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170" activeTab="3"/>
  </bookViews>
  <sheets>
    <sheet name="G. Abstractfinal" sheetId="6" r:id="rId1"/>
    <sheet name="C.Abstract " sheetId="4" r:id="rId2"/>
    <sheet name="Abstract A3" sheetId="5" r:id="rId3"/>
    <sheet name="Main" sheetId="2" r:id="rId4"/>
    <sheet name="PP" sheetId="3" r:id="rId5"/>
    <sheet name="Data" sheetId="7" state="hidden" r:id="rId6"/>
    <sheet name="Data est" sheetId="8" state="hidden" r:id="rId7"/>
    <sheet name="Est Data" sheetId="9" r:id="rId8"/>
  </sheets>
  <externalReferences>
    <externalReference r:id="rId9"/>
    <externalReference r:id="rId10"/>
    <externalReference r:id="rId11"/>
    <externalReference r:id="rId12"/>
    <externalReference r:id="rId13"/>
    <externalReference r:id="rId14"/>
    <externalReference r:id="rId15"/>
  </externalReferences>
  <definedNames>
    <definedName name="______kk232" localSheetId="6">#REF!</definedName>
    <definedName name="______kk232">#REF!</definedName>
    <definedName name="____kk232" localSheetId="6">#REF!</definedName>
    <definedName name="____kk232">#REF!</definedName>
    <definedName name="____xx559" localSheetId="6">#REF!</definedName>
    <definedName name="____xx559">#REF!</definedName>
    <definedName name="___add1157" localSheetId="6">#REF!</definedName>
    <definedName name="___add1157">#REF!</definedName>
    <definedName name="__add1157" localSheetId="6">#REF!</definedName>
    <definedName name="__add1157">#REF!</definedName>
    <definedName name="__kk232" localSheetId="6">#REF!</definedName>
    <definedName name="__kk232">#REF!</definedName>
    <definedName name="__xx559" localSheetId="6">#REF!</definedName>
    <definedName name="__xx559">#REF!</definedName>
    <definedName name="_add1157" localSheetId="6">#REF!</definedName>
    <definedName name="_add1157">#REF!</definedName>
    <definedName name="_xlnm._FilterDatabase" localSheetId="2" hidden="1">'Abstract A3'!$A$4:$T$222</definedName>
    <definedName name="_xlnm._FilterDatabase" localSheetId="1" hidden="1">'C.Abstract '!$A$4:$F$115</definedName>
    <definedName name="_kK1312" localSheetId="6">#REF!</definedName>
    <definedName name="_kK1312">#REF!</definedName>
    <definedName name="_m" localSheetId="6">#REF!</definedName>
    <definedName name="_m" localSheetId="3">#REF!</definedName>
    <definedName name="_m">#REF!</definedName>
    <definedName name="_xx559" localSheetId="6">#REF!</definedName>
    <definedName name="_xx559">#REF!</definedName>
    <definedName name="A" localSheetId="6">#REF!</definedName>
    <definedName name="A">#REF!</definedName>
    <definedName name="aa" localSheetId="6">#REF!</definedName>
    <definedName name="aa" localSheetId="3">#REF!</definedName>
    <definedName name="aa">#REF!</definedName>
    <definedName name="AB100an905" localSheetId="6">#REF!</definedName>
    <definedName name="AB100an905">#REF!</definedName>
    <definedName name="Abs" localSheetId="6">#REF!</definedName>
    <definedName name="Abs" localSheetId="3">#REF!</definedName>
    <definedName name="Abs">#REF!</definedName>
    <definedName name="afsf" localSheetId="6">[1]Data!#REF!</definedName>
    <definedName name="afsf">[1]Data!#REF!</definedName>
    <definedName name="ag" localSheetId="6">#REF!</definedName>
    <definedName name="ag" localSheetId="3">#REF!</definedName>
    <definedName name="ag">#REF!</definedName>
    <definedName name="ahfk" localSheetId="2">#REF!</definedName>
    <definedName name="ahfk" localSheetId="1">#REF!</definedName>
    <definedName name="ahfk" localSheetId="5">#REF!</definedName>
    <definedName name="ahfk" localSheetId="6">#REF!</definedName>
    <definedName name="ahfk" localSheetId="0">#REF!</definedName>
    <definedName name="ahfk" localSheetId="3">#REF!</definedName>
    <definedName name="ahfk" localSheetId="4">#REF!</definedName>
    <definedName name="ahfk">#REF!</definedName>
    <definedName name="anbu\" localSheetId="6">#REF!</definedName>
    <definedName name="anbu\" localSheetId="3">#REF!</definedName>
    <definedName name="anbu\">#REF!</definedName>
    <definedName name="asq" localSheetId="6">#REF!</definedName>
    <definedName name="asq">#REF!</definedName>
    <definedName name="b" localSheetId="6">#REF!</definedName>
    <definedName name="b" localSheetId="3">#REF!</definedName>
    <definedName name="b">#REF!</definedName>
    <definedName name="bor" localSheetId="6">#REF!</definedName>
    <definedName name="bor" localSheetId="3">#REF!</definedName>
    <definedName name="bor">#REF!</definedName>
    <definedName name="Brick_work" localSheetId="6">#REF!</definedName>
    <definedName name="Brick_work">#REF!</definedName>
    <definedName name="Brick_work_11" localSheetId="6">#REF!</definedName>
    <definedName name="Brick_work_11">#REF!</definedName>
    <definedName name="Brick_work_3" localSheetId="6">#REF!</definedName>
    <definedName name="Brick_work_3">#REF!</definedName>
    <definedName name="Brick_work_6" localSheetId="6">#REF!</definedName>
    <definedName name="Brick_work_6">#REF!</definedName>
    <definedName name="Bricks" localSheetId="6">[1]Data!#REF!</definedName>
    <definedName name="Bricks">[1]Data!#REF!</definedName>
    <definedName name="Bricks_11" localSheetId="6">#REF!</definedName>
    <definedName name="Bricks_11">#REF!</definedName>
    <definedName name="Bricks_3" localSheetId="6">#REF!</definedName>
    <definedName name="Bricks_3">#REF!</definedName>
    <definedName name="Bricks_6" localSheetId="6">#REF!</definedName>
    <definedName name="Bricks_6">#REF!</definedName>
    <definedName name="Bricks_7" localSheetId="6">[1]Data!#REF!</definedName>
    <definedName name="Bricks_7">[1]Data!#REF!</definedName>
    <definedName name="Bricks_8" localSheetId="6">[1]Data!#REF!</definedName>
    <definedName name="Bricks_8">[1]Data!#REF!</definedName>
    <definedName name="Buildingevelopment." localSheetId="6">#REF!</definedName>
    <definedName name="Buildingevelopment." localSheetId="3">#REF!</definedName>
    <definedName name="Buildingevelopment.">#REF!</definedName>
    <definedName name="c.data" localSheetId="6">#REF!</definedName>
    <definedName name="c.data" localSheetId="3">#REF!</definedName>
    <definedName name="c.data">#REF!</definedName>
    <definedName name="Cement_mortar" localSheetId="6">#REF!</definedName>
    <definedName name="Cement_mortar">#REF!</definedName>
    <definedName name="Cement_mortar_11" localSheetId="6">#REF!</definedName>
    <definedName name="Cement_mortar_11">#REF!</definedName>
    <definedName name="Cement_mortar_3" localSheetId="6">#REF!</definedName>
    <definedName name="Cement_mortar_3">#REF!</definedName>
    <definedName name="Cement_mortar_6" localSheetId="6">#REF!</definedName>
    <definedName name="Cement_mortar_6">#REF!</definedName>
    <definedName name="centering" localSheetId="6">#REF!</definedName>
    <definedName name="centering">#REF!</definedName>
    <definedName name="Civil_Data" localSheetId="6">#REF!</definedName>
    <definedName name="Civil_Data">#REF!</definedName>
    <definedName name="Concrete" localSheetId="6">#REF!</definedName>
    <definedName name="Concrete">#REF!</definedName>
    <definedName name="Concrete_11" localSheetId="6">#REF!</definedName>
    <definedName name="Concrete_11">#REF!</definedName>
    <definedName name="Concrete_3" localSheetId="6">#REF!</definedName>
    <definedName name="Concrete_3">#REF!</definedName>
    <definedName name="Concrete_6" localSheetId="6">#REF!</definedName>
    <definedName name="Concrete_6">#REF!</definedName>
    <definedName name="Conveyance_chart" localSheetId="6">#REF!</definedName>
    <definedName name="Conveyance_chart">#REF!</definedName>
    <definedName name="Conveyance_chart_11" localSheetId="6">#REF!</definedName>
    <definedName name="Conveyance_chart_11">#REF!</definedName>
    <definedName name="Conveyance_chart_3" localSheetId="6">#REF!</definedName>
    <definedName name="Conveyance_chart_3">#REF!</definedName>
    <definedName name="Conveyance_chart_6" localSheetId="6">#REF!</definedName>
    <definedName name="Conveyance_chart_6">#REF!</definedName>
    <definedName name="Data_civil" localSheetId="6">#REF!</definedName>
    <definedName name="Data_civil">#REF!</definedName>
    <definedName name="Data_civil_11" localSheetId="6">#REF!</definedName>
    <definedName name="Data_civil_11">#REF!</definedName>
    <definedName name="Data_civil_3" localSheetId="6">#REF!</definedName>
    <definedName name="Data_civil_3">#REF!</definedName>
    <definedName name="Data_civil_6" localSheetId="6">#REF!</definedName>
    <definedName name="Data_civil_6">#REF!</definedName>
    <definedName name="Data_electrical" localSheetId="6">#REF!</definedName>
    <definedName name="Data_electrical">#REF!</definedName>
    <definedName name="Data_electrical_11" localSheetId="6">#REF!</definedName>
    <definedName name="Data_electrical_11">#REF!</definedName>
    <definedName name="Data_electrical_3" localSheetId="6">#REF!</definedName>
    <definedName name="Data_electrical_3">#REF!</definedName>
    <definedName name="Data_electrical_6" localSheetId="6">#REF!</definedName>
    <definedName name="Data_electrical_6">#REF!</definedName>
    <definedName name="Data_for_Civil_work" localSheetId="6">#REF!</definedName>
    <definedName name="Data_for_Civil_work">#REF!</definedName>
    <definedName name="Data_for_Road_Work" localSheetId="6">#REF!</definedName>
    <definedName name="Data_for_Road_Work">#REF!</definedName>
    <definedName name="Data_road" localSheetId="6">#REF!</definedName>
    <definedName name="Data_road">#REF!</definedName>
    <definedName name="Data_road_11" localSheetId="6">#REF!</definedName>
    <definedName name="Data_road_11">#REF!</definedName>
    <definedName name="Data_road_3" localSheetId="6">#REF!</definedName>
    <definedName name="Data_road_3">#REF!</definedName>
    <definedName name="Data_road_6" localSheetId="6">#REF!</definedName>
    <definedName name="Data_road_6">#REF!</definedName>
    <definedName name="Data_sanitary" localSheetId="6">#REF!</definedName>
    <definedName name="Data_sanitary">#REF!</definedName>
    <definedName name="Data_sanitary_11" localSheetId="6">#REF!</definedName>
    <definedName name="Data_sanitary_11">#REF!</definedName>
    <definedName name="Data_sanitary_3" localSheetId="6">#REF!</definedName>
    <definedName name="Data_sanitary_3">#REF!</definedName>
    <definedName name="Data_sanitary_6" localSheetId="6">#REF!</definedName>
    <definedName name="Data_sanitary_6">#REF!</definedName>
    <definedName name="DATA3" localSheetId="6">#REF!</definedName>
    <definedName name="DATA3">#REF!</definedName>
    <definedName name="der" localSheetId="6">#REF!</definedName>
    <definedName name="der">#REF!</definedName>
    <definedName name="Dev_Name" localSheetId="6">#REF!</definedName>
    <definedName name="Dev_Name">#REF!</definedName>
    <definedName name="Dev_Road_Name" localSheetId="6">#REF!,#REF!</definedName>
    <definedName name="Dev_Road_Name">#REF!,#REF!</definedName>
    <definedName name="df" localSheetId="6">#REF!</definedName>
    <definedName name="df">#REF!</definedName>
    <definedName name="dfe" localSheetId="6">#REF!</definedName>
    <definedName name="dfe">#REF!</definedName>
    <definedName name="Door" localSheetId="6">[1]Data!#REF!</definedName>
    <definedName name="Door">[1]Data!#REF!</definedName>
    <definedName name="Door_11" localSheetId="6">#REF!</definedName>
    <definedName name="Door_11">#REF!</definedName>
    <definedName name="Door_3" localSheetId="6">#REF!</definedName>
    <definedName name="Door_3">#REF!</definedName>
    <definedName name="Door_6" localSheetId="6">#REF!</definedName>
    <definedName name="Door_6">#REF!</definedName>
    <definedName name="Door_7" localSheetId="6">[1]Data!#REF!</definedName>
    <definedName name="Door_7">[1]Data!#REF!</definedName>
    <definedName name="Door_8" localSheetId="6">[1]Data!#REF!</definedName>
    <definedName name="Door_8">[1]Data!#REF!</definedName>
    <definedName name="Door_Window" localSheetId="6">#REF!</definedName>
    <definedName name="Door_Window">#REF!</definedName>
    <definedName name="Door_Window_11" localSheetId="6">#REF!</definedName>
    <definedName name="Door_Window_11">#REF!</definedName>
    <definedName name="Door_Window_3" localSheetId="6">#REF!</definedName>
    <definedName name="Door_Window_3">#REF!</definedName>
    <definedName name="Door_Window_6" localSheetId="6">#REF!</definedName>
    <definedName name="Door_Window_6">#REF!</definedName>
    <definedName name="Earth_work_sand" localSheetId="6">#REF!</definedName>
    <definedName name="Earth_work_sand">#REF!</definedName>
    <definedName name="Earth_work_sand_11" localSheetId="6">#REF!</definedName>
    <definedName name="Earth_work_sand_11">#REF!</definedName>
    <definedName name="Earth_work_sand_3" localSheetId="6">#REF!</definedName>
    <definedName name="Earth_work_sand_3">#REF!</definedName>
    <definedName name="Earth_work_sand_6" localSheetId="6">#REF!</definedName>
    <definedName name="Earth_work_sand_6">#REF!</definedName>
    <definedName name="ED" localSheetId="3">#REF!</definedName>
    <definedName name="ED">#REF!</definedName>
    <definedName name="electri" localSheetId="2">#REF!</definedName>
    <definedName name="electri" localSheetId="1">#REF!</definedName>
    <definedName name="electri" localSheetId="5">#REF!</definedName>
    <definedName name="electri" localSheetId="6">#REF!</definedName>
    <definedName name="electri" localSheetId="0">#REF!</definedName>
    <definedName name="electri" localSheetId="3">#REF!</definedName>
    <definedName name="electri" localSheetId="4">#REF!</definedName>
    <definedName name="electri">#REF!</definedName>
    <definedName name="er" localSheetId="6">#REF!</definedName>
    <definedName name="er">#REF!</definedName>
    <definedName name="ert" localSheetId="6">#REF!</definedName>
    <definedName name="ert">#REF!</definedName>
    <definedName name="ewr" localSheetId="6">[1]Data!#REF!</definedName>
    <definedName name="ewr">[1]Data!#REF!</definedName>
    <definedName name="Excel_BuiltIn__FilterDatabase_6" localSheetId="6">[2]Abstract!#REF!</definedName>
    <definedName name="Excel_BuiltIn__FilterDatabase_6">[2]Abstract!#REF!</definedName>
    <definedName name="Excel_BuiltIn_Print_Area" localSheetId="6">#REF!</definedName>
    <definedName name="Excel_BuiltIn_Print_Area">#REF!</definedName>
    <definedName name="Excel_BuiltIn_Print_Titles" localSheetId="6">#REF!</definedName>
    <definedName name="Excel_BuiltIn_Print_Titles">#REF!</definedName>
    <definedName name="Excel_BuiltIn_Print_Titles_3" localSheetId="6">#REF!</definedName>
    <definedName name="Excel_BuiltIn_Print_Titles_3">#REF!</definedName>
    <definedName name="Excel_BuiltIn_Print_Titles_4" localSheetId="6">#REF!</definedName>
    <definedName name="Excel_BuiltIn_Print_Titles_4">#REF!</definedName>
    <definedName name="ff" localSheetId="6">#REF!</definedName>
    <definedName name="ff">#REF!</definedName>
    <definedName name="fhd" localSheetId="2">#REF!</definedName>
    <definedName name="fhd" localSheetId="1">#REF!</definedName>
    <definedName name="fhd" localSheetId="5">#REF!</definedName>
    <definedName name="fhd" localSheetId="6">#REF!</definedName>
    <definedName name="fhd" localSheetId="0">#REF!</definedName>
    <definedName name="fhd" localSheetId="3">#REF!</definedName>
    <definedName name="fhd" localSheetId="4">#REF!</definedName>
    <definedName name="fhd">#REF!</definedName>
    <definedName name="Filling" localSheetId="6">#REF!</definedName>
    <definedName name="Filling">#REF!</definedName>
    <definedName name="fr" localSheetId="6">#REF!</definedName>
    <definedName name="fr">#REF!</definedName>
    <definedName name="frt" localSheetId="6">#REF!</definedName>
    <definedName name="frt">#REF!</definedName>
    <definedName name="gfrt" localSheetId="6">#REF!</definedName>
    <definedName name="gfrt">#REF!</definedName>
    <definedName name="gt" localSheetId="6">#REF!</definedName>
    <definedName name="gt">#REF!</definedName>
    <definedName name="gtr" localSheetId="6">#REF!</definedName>
    <definedName name="gtr">#REF!</definedName>
    <definedName name="hia" localSheetId="2">#REF!</definedName>
    <definedName name="hia" localSheetId="1">#REF!</definedName>
    <definedName name="hia" localSheetId="5">#REF!</definedName>
    <definedName name="hia" localSheetId="6">#REF!</definedName>
    <definedName name="hia" localSheetId="0">#REF!</definedName>
    <definedName name="hia" localSheetId="3">#REF!</definedName>
    <definedName name="hia" localSheetId="4">#REF!</definedName>
    <definedName name="hia">#REF!</definedName>
    <definedName name="hj" localSheetId="6">[1]Data!#REF!</definedName>
    <definedName name="hj">[1]Data!#REF!</definedName>
    <definedName name="hyu" localSheetId="6">#REF!</definedName>
    <definedName name="hyu">#REF!</definedName>
    <definedName name="ins" localSheetId="2">#REF!</definedName>
    <definedName name="ins" localSheetId="1">#REF!</definedName>
    <definedName name="ins" localSheetId="5">#REF!</definedName>
    <definedName name="ins" localSheetId="6">#REF!</definedName>
    <definedName name="ins" localSheetId="0">#REF!</definedName>
    <definedName name="ins" localSheetId="3">#REF!</definedName>
    <definedName name="ins" localSheetId="4">#REF!</definedName>
    <definedName name="ins">#REF!</definedName>
    <definedName name="jh" localSheetId="6">#REF!</definedName>
    <definedName name="jh">#REF!</definedName>
    <definedName name="jj" localSheetId="6">#REF!</definedName>
    <definedName name="jj" localSheetId="3">#REF!</definedName>
    <definedName name="jj">#REF!</definedName>
    <definedName name="jk" localSheetId="6">#REF!</definedName>
    <definedName name="jk">#REF!</definedName>
    <definedName name="Junior_Engineer" localSheetId="6">#REF!</definedName>
    <definedName name="Junior_Engineer" localSheetId="3">#REF!</definedName>
    <definedName name="Junior_Engineer">#REF!</definedName>
    <definedName name="k11.1" localSheetId="6">#REF!</definedName>
    <definedName name="k11.1">#REF!</definedName>
    <definedName name="k404." localSheetId="2">#REF!</definedName>
    <definedName name="k404." localSheetId="1">#REF!</definedName>
    <definedName name="k404." localSheetId="5">#REF!</definedName>
    <definedName name="k404." localSheetId="6">#REF!</definedName>
    <definedName name="k404." localSheetId="0">#REF!</definedName>
    <definedName name="k404." localSheetId="3">#REF!</definedName>
    <definedName name="k404." localSheetId="4">#REF!</definedName>
    <definedName name="k404.">#REF!</definedName>
    <definedName name="kalil" localSheetId="6">#REF!</definedName>
    <definedName name="kalil">#REF!</definedName>
    <definedName name="klo" localSheetId="6">#REF!</definedName>
    <definedName name="klo">#REF!</definedName>
    <definedName name="Labour_Board" localSheetId="6">#REF!</definedName>
    <definedName name="Labour_Board">#REF!</definedName>
    <definedName name="Labour_Board_11" localSheetId="6">#REF!</definedName>
    <definedName name="Labour_Board_11">#REF!</definedName>
    <definedName name="Labour_Board_3" localSheetId="6">#REF!</definedName>
    <definedName name="Labour_Board_3">#REF!</definedName>
    <definedName name="Labour_Board_6" localSheetId="6">#REF!</definedName>
    <definedName name="Labour_Board_6">#REF!</definedName>
    <definedName name="Labour_Data" localSheetId="6">#REF!</definedName>
    <definedName name="Labour_Data">#REF!</definedName>
    <definedName name="Labour_PWD" localSheetId="6">#REF!</definedName>
    <definedName name="Labour_PWD">#REF!</definedName>
    <definedName name="Labour_PWD_11" localSheetId="6">#REF!</definedName>
    <definedName name="Labour_PWD_11">#REF!</definedName>
    <definedName name="Labour_PWD_3" localSheetId="6">#REF!</definedName>
    <definedName name="Labour_PWD_3">#REF!</definedName>
    <definedName name="Labour_PWD_6" localSheetId="6">#REF!</definedName>
    <definedName name="Labour_PWD_6">#REF!</definedName>
    <definedName name="Labour_Rate" localSheetId="6">#REF!</definedName>
    <definedName name="Labour_Rate">#REF!</definedName>
    <definedName name="Labour_rate_civil" localSheetId="6">#REF!</definedName>
    <definedName name="Labour_rate_civil">#REF!</definedName>
    <definedName name="Labour_rate_civil_11" localSheetId="6">#REF!</definedName>
    <definedName name="Labour_rate_civil_11">#REF!</definedName>
    <definedName name="Labour_rate_civil_3" localSheetId="6">#REF!</definedName>
    <definedName name="Labour_rate_civil_3">#REF!</definedName>
    <definedName name="Labour_rate_civil_6" localSheetId="6">#REF!</definedName>
    <definedName name="Labour_rate_civil_6">#REF!</definedName>
    <definedName name="Labour_rate_electrical" localSheetId="6">#REF!</definedName>
    <definedName name="Labour_rate_electrical">#REF!</definedName>
    <definedName name="Labour_rate_electrical_11" localSheetId="6">#REF!</definedName>
    <definedName name="Labour_rate_electrical_11">#REF!</definedName>
    <definedName name="Labour_rate_electrical_3" localSheetId="6">#REF!</definedName>
    <definedName name="Labour_rate_electrical_3">#REF!</definedName>
    <definedName name="Labour_rate_electrical_6" localSheetId="6">#REF!</definedName>
    <definedName name="Labour_rate_electrical_6">#REF!</definedName>
    <definedName name="Labour_rate_road" localSheetId="6">#REF!</definedName>
    <definedName name="Labour_rate_road">#REF!</definedName>
    <definedName name="Labour_rate_road_11" localSheetId="6">#REF!</definedName>
    <definedName name="Labour_rate_road_11">#REF!</definedName>
    <definedName name="Labour_rate_road_3" localSheetId="6">#REF!</definedName>
    <definedName name="Labour_rate_road_3">#REF!</definedName>
    <definedName name="Labour_rate_road_6" localSheetId="6">#REF!</definedName>
    <definedName name="Labour_rate_road_6">#REF!</definedName>
    <definedName name="Labour_road" localSheetId="6">#REF!</definedName>
    <definedName name="Labour_road">#REF!</definedName>
    <definedName name="Labour_road_11" localSheetId="6">#REF!</definedName>
    <definedName name="Labour_road_11">#REF!</definedName>
    <definedName name="Labour_road_3" localSheetId="6">#REF!</definedName>
    <definedName name="Labour_road_3">#REF!</definedName>
    <definedName name="Labour_road_6" localSheetId="6">#REF!</definedName>
    <definedName name="Labour_road_6">#REF!</definedName>
    <definedName name="lead" localSheetId="6">#REF!</definedName>
    <definedName name="lead">#REF!</definedName>
    <definedName name="Lead_statement" localSheetId="6">#REF!</definedName>
    <definedName name="Lead_statement">#REF!</definedName>
    <definedName name="Lead_statement_11" localSheetId="6">#REF!</definedName>
    <definedName name="Lead_statement_11">#REF!</definedName>
    <definedName name="Lead_statement_3" localSheetId="6">#REF!</definedName>
    <definedName name="Lead_statement_3">#REF!</definedName>
    <definedName name="Lead_statement_6" localSheetId="6">#REF!</definedName>
    <definedName name="Lead_statement_6">#REF!</definedName>
    <definedName name="Material_Board" localSheetId="6">#REF!</definedName>
    <definedName name="Material_Board">#REF!</definedName>
    <definedName name="Material_Board_11" localSheetId="6">#REF!</definedName>
    <definedName name="Material_Board_11">#REF!</definedName>
    <definedName name="Material_Board_3" localSheetId="6">#REF!</definedName>
    <definedName name="Material_Board_3">#REF!</definedName>
    <definedName name="Material_Board_6" localSheetId="6">#REF!</definedName>
    <definedName name="Material_Board_6">#REF!</definedName>
    <definedName name="Material_PWD" localSheetId="6">#REF!</definedName>
    <definedName name="Material_PWD">#REF!</definedName>
    <definedName name="Material_PWD_11" localSheetId="6">#REF!</definedName>
    <definedName name="Material_PWD_11">#REF!</definedName>
    <definedName name="Material_PWD_3" localSheetId="6">#REF!</definedName>
    <definedName name="Material_PWD_3">#REF!</definedName>
    <definedName name="Material_PWD_6" localSheetId="6">#REF!</definedName>
    <definedName name="Material_PWD_6">#REF!</definedName>
    <definedName name="Material_Rate" localSheetId="6">#REF!</definedName>
    <definedName name="Material_Rate">#REF!</definedName>
    <definedName name="Material_road" localSheetId="6">#REF!</definedName>
    <definedName name="Material_road">#REF!</definedName>
    <definedName name="Material_road_11" localSheetId="6">#REF!</definedName>
    <definedName name="Material_road_11">#REF!</definedName>
    <definedName name="Material_road_3" localSheetId="6">#REF!</definedName>
    <definedName name="Material_road_3">#REF!</definedName>
    <definedName name="Material_road_6" localSheetId="6">#REF!</definedName>
    <definedName name="Material_road_6">#REF!</definedName>
    <definedName name="N" localSheetId="6">#REF!</definedName>
    <definedName name="N">#REF!</definedName>
    <definedName name="Name_Road" localSheetId="6">#REF!,#REF!,#REF!,#REF!,#REF!</definedName>
    <definedName name="Name_Road">#REF!,#REF!,#REF!,#REF!,#REF!</definedName>
    <definedName name="P" localSheetId="6">#REF!</definedName>
    <definedName name="P" localSheetId="3">#REF!</definedName>
    <definedName name="P">#REF!</definedName>
    <definedName name="pa" localSheetId="6">#REF!</definedName>
    <definedName name="pa">#REF!</definedName>
    <definedName name="pc" localSheetId="2">#REF!</definedName>
    <definedName name="pc" localSheetId="1">#REF!</definedName>
    <definedName name="pc" localSheetId="5">#REF!</definedName>
    <definedName name="pc" localSheetId="6">#REF!</definedName>
    <definedName name="pc" localSheetId="0">#REF!</definedName>
    <definedName name="pc" localSheetId="3">#REF!</definedName>
    <definedName name="pc" localSheetId="4">#REF!</definedName>
    <definedName name="pc">#REF!</definedName>
    <definedName name="PC_Name" localSheetId="6">#REF!</definedName>
    <definedName name="PC_Name">#REF!</definedName>
    <definedName name="PC_Road_Name" localSheetId="6">#REF!</definedName>
    <definedName name="PC_Road_Name">#REF!</definedName>
    <definedName name="Plastering_pointing" localSheetId="6">#REF!</definedName>
    <definedName name="Plastering_pointing">#REF!</definedName>
    <definedName name="Plastering_pointing_11" localSheetId="6">#REF!</definedName>
    <definedName name="Plastering_pointing_11">#REF!</definedName>
    <definedName name="Plastering_pointing_3" localSheetId="6">#REF!</definedName>
    <definedName name="Plastering_pointing_3">#REF!</definedName>
    <definedName name="Plastering_pointing_6" localSheetId="6">#REF!</definedName>
    <definedName name="Plastering_pointing_6">#REF!</definedName>
    <definedName name="pls" localSheetId="6">#REF!</definedName>
    <definedName name="pls">#REF!</definedName>
    <definedName name="pri" localSheetId="6">#REF!</definedName>
    <definedName name="pri" localSheetId="3">#REF!</definedName>
    <definedName name="pri">#REF!</definedName>
    <definedName name="PRIN_TITLES_MI" localSheetId="6">#REF!</definedName>
    <definedName name="PRIN_TITLES_MI" localSheetId="3">#REF!</definedName>
    <definedName name="PRIN_TITLES_MI">#REF!</definedName>
    <definedName name="print" localSheetId="2">#REF!</definedName>
    <definedName name="print" localSheetId="1">#REF!</definedName>
    <definedName name="print" localSheetId="5">#REF!</definedName>
    <definedName name="print" localSheetId="6">#REF!</definedName>
    <definedName name="print" localSheetId="0">#REF!</definedName>
    <definedName name="print" localSheetId="3">#REF!</definedName>
    <definedName name="print" localSheetId="4">#REF!</definedName>
    <definedName name="print">#REF!</definedName>
    <definedName name="PRINT_ARE" localSheetId="6">#REF!</definedName>
    <definedName name="PRINT_ARE" localSheetId="3">#REF!</definedName>
    <definedName name="PRINT_ARE">#REF!</definedName>
    <definedName name="_xlnm.Print_Area" localSheetId="2">'Abstract A3'!$A$1:$J$114</definedName>
    <definedName name="_xlnm.Print_Area" localSheetId="1">'C.Abstract '!$A$1:$F$115</definedName>
    <definedName name="_xlnm.Print_Area" localSheetId="5">Data!$T$1:$AE$48</definedName>
    <definedName name="_xlnm.Print_Area" localSheetId="6">'Data est'!$A$1:$F$982</definedName>
    <definedName name="_xlnm.Print_Area" localSheetId="7">'Est Data'!$A$1:$F$1127</definedName>
    <definedName name="_xlnm.Print_Area" localSheetId="0">'G. Abstractfinal'!$A$1:$F$16</definedName>
    <definedName name="_xlnm.Print_Area" localSheetId="3">Main!$A$1:$H$606</definedName>
    <definedName name="_xlnm.Print_Area" localSheetId="4">#REF!</definedName>
    <definedName name="_xlnm.Print_Area">#REF!</definedName>
    <definedName name="PRINT_AREA_" localSheetId="6">#REF!</definedName>
    <definedName name="PRINT_AREA_" localSheetId="3">#REF!</definedName>
    <definedName name="PRINT_AREA_">#REF!</definedName>
    <definedName name="PRINT_AREA_M" localSheetId="6">#REF!</definedName>
    <definedName name="PRINT_AREA_M" localSheetId="3">#REF!</definedName>
    <definedName name="PRINT_AREA_M">#REF!</definedName>
    <definedName name="PRINT_AREA_MI" localSheetId="2">#REF!</definedName>
    <definedName name="PRINT_AREA_MI" localSheetId="1">#REF!</definedName>
    <definedName name="Print_Area_MI" localSheetId="5">Data!$F$1:$K$214</definedName>
    <definedName name="PRINT_AREA_MI" localSheetId="6">#REF!</definedName>
    <definedName name="PRINT_AREA_MI" localSheetId="0">#REF!</definedName>
    <definedName name="PRINT_AREA_MI" localSheetId="3">#REF!</definedName>
    <definedName name="PRINT_AREA_MI" localSheetId="4">#REF!</definedName>
    <definedName name="PRINT_AREA_MI">#REF!</definedName>
    <definedName name="PRINT_AREA_MI_2" localSheetId="6">#REF!</definedName>
    <definedName name="PRINT_AREA_MI_2">#REF!</definedName>
    <definedName name="Print_T" localSheetId="6">#REF!</definedName>
    <definedName name="Print_T" localSheetId="3">#REF!</definedName>
    <definedName name="Print_T">#REF!</definedName>
    <definedName name="Print_Tit" localSheetId="6">#REF!</definedName>
    <definedName name="Print_Tit" localSheetId="3">#REF!</definedName>
    <definedName name="Print_Tit">#REF!</definedName>
    <definedName name="Print_Titl" localSheetId="6">#REF!</definedName>
    <definedName name="Print_Titl" localSheetId="3">#REF!</definedName>
    <definedName name="Print_Titl">#REF!</definedName>
    <definedName name="Print_Title" localSheetId="6">#REF!</definedName>
    <definedName name="Print_Title" localSheetId="3">#REF!</definedName>
    <definedName name="Print_Title">#REF!</definedName>
    <definedName name="_xlnm.Print_Titles" localSheetId="6">#REF!</definedName>
    <definedName name="_xlnm.Print_Titles" localSheetId="4">#REF!</definedName>
    <definedName name="_xlnm.Print_Titles">#REF!</definedName>
    <definedName name="PRINT_TITLES_MI" localSheetId="2">#REF!</definedName>
    <definedName name="PRINT_TITLES_MI" localSheetId="1">#REF!</definedName>
    <definedName name="PRINT_TITLES_MI" localSheetId="5">Data!$GJ$7:$IG$7594</definedName>
    <definedName name="PRINT_TITLES_MI" localSheetId="6">#REF!</definedName>
    <definedName name="PRINT_TITLES_MI" localSheetId="0">#REF!</definedName>
    <definedName name="PRINT_TITLES_MI" localSheetId="3">#REF!</definedName>
    <definedName name="PRINT_TITLES_MI" localSheetId="4">#REF!</definedName>
    <definedName name="PRINT_TITLES_MI">#REF!</definedName>
    <definedName name="PRINT_TITLES_MI_2" localSheetId="6">#REF!</definedName>
    <definedName name="PRINT_TITLES_MI_2">#REF!</definedName>
    <definedName name="Print_titlesnew" localSheetId="6">#REF!</definedName>
    <definedName name="Print_titlesnew" localSheetId="3">#REF!</definedName>
    <definedName name="Print_titlesnew">#REF!</definedName>
    <definedName name="printarea1" localSheetId="6">#REF!</definedName>
    <definedName name="printarea1" localSheetId="3">#REF!</definedName>
    <definedName name="printarea1">#REF!</definedName>
    <definedName name="QQE" localSheetId="2">#REF!</definedName>
    <definedName name="QQE" localSheetId="1">#REF!</definedName>
    <definedName name="QQE" localSheetId="5">#REF!</definedName>
    <definedName name="QQE" localSheetId="6">#REF!</definedName>
    <definedName name="QQE" localSheetId="0">#REF!</definedName>
    <definedName name="QQE" localSheetId="3">#REF!</definedName>
    <definedName name="QQE" localSheetId="4">#REF!</definedName>
    <definedName name="QQE">#REF!</definedName>
    <definedName name="QWE" localSheetId="2">#REF!</definedName>
    <definedName name="QWE" localSheetId="1">#REF!</definedName>
    <definedName name="QWE" localSheetId="5">#REF!</definedName>
    <definedName name="QWE" localSheetId="6">#REF!</definedName>
    <definedName name="QWE" localSheetId="0">#REF!</definedName>
    <definedName name="QWE" localSheetId="3">#REF!</definedName>
    <definedName name="QWE" localSheetId="4">#REF!</definedName>
    <definedName name="QWE">#REF!</definedName>
    <definedName name="Rates_Charges" localSheetId="6">#REF!</definedName>
    <definedName name="Rates_Charges">#REF!</definedName>
    <definedName name="Rates_Labour" localSheetId="6">#REF!</definedName>
    <definedName name="Rates_Labour">#REF!</definedName>
    <definedName name="Rates_Materials" localSheetId="6">#REF!</definedName>
    <definedName name="Rates_Materials">#REF!</definedName>
    <definedName name="RCC" localSheetId="6">#REF!</definedName>
    <definedName name="RCC">#REF!</definedName>
    <definedName name="RCC_11" localSheetId="6">#REF!</definedName>
    <definedName name="RCC_11">#REF!</definedName>
    <definedName name="RCC_3" localSheetId="6">#REF!</definedName>
    <definedName name="RCC_3">#REF!</definedName>
    <definedName name="RCC_6" localSheetId="6">#REF!</definedName>
    <definedName name="RCC_6">#REF!</definedName>
    <definedName name="re" localSheetId="6">#REF!</definedName>
    <definedName name="re">#REF!</definedName>
    <definedName name="red" localSheetId="6">#REF!</definedName>
    <definedName name="red" localSheetId="3">#REF!</definedName>
    <definedName name="red">#REF!</definedName>
    <definedName name="Road_Data" localSheetId="6">[1]Data!#REF!</definedName>
    <definedName name="Road_Data">[1]Data!#REF!</definedName>
    <definedName name="Road_data_1" localSheetId="6">#REF!</definedName>
    <definedName name="Road_data_1">#REF!</definedName>
    <definedName name="Road_Data_11" localSheetId="6">#REF!</definedName>
    <definedName name="Road_Data_11">#REF!</definedName>
    <definedName name="Road_data_2" localSheetId="6">#REF!</definedName>
    <definedName name="Road_data_2">#REF!</definedName>
    <definedName name="Road_Data_3" localSheetId="6">#REF!</definedName>
    <definedName name="Road_Data_3">#REF!</definedName>
    <definedName name="Road_data_5" localSheetId="6">#REF!</definedName>
    <definedName name="Road_data_5">#REF!</definedName>
    <definedName name="Road_data_6" localSheetId="6">#REF!</definedName>
    <definedName name="Road_data_6">#REF!</definedName>
    <definedName name="Road_Data_7" localSheetId="6">[1]Data!#REF!</definedName>
    <definedName name="Road_Data_7">[1]Data!#REF!</definedName>
    <definedName name="Road_Data_8" localSheetId="6">[1]Data!#REF!</definedName>
    <definedName name="Road_Data_8">[1]Data!#REF!</definedName>
    <definedName name="Roof_finishing" localSheetId="6">#REF!</definedName>
    <definedName name="Roof_finishing">#REF!</definedName>
    <definedName name="Roof_finishing_11" localSheetId="6">#REF!</definedName>
    <definedName name="Roof_finishing_11">#REF!</definedName>
    <definedName name="Roof_finishing_3" localSheetId="6">#REF!</definedName>
    <definedName name="Roof_finishing_3">#REF!</definedName>
    <definedName name="Roof_finishing_6" localSheetId="6">#REF!</definedName>
    <definedName name="Roof_finishing_6">#REF!</definedName>
    <definedName name="RR_masonary" localSheetId="6">#REF!</definedName>
    <definedName name="RR_masonary">#REF!</definedName>
    <definedName name="RR_masonary_11" localSheetId="6">#REF!</definedName>
    <definedName name="RR_masonary_11">#REF!</definedName>
    <definedName name="RR_masonary_3" localSheetId="6">#REF!</definedName>
    <definedName name="RR_masonary_3">#REF!</definedName>
    <definedName name="RR_masonary_6" localSheetId="6">#REF!</definedName>
    <definedName name="RR_masonary_6">#REF!</definedName>
    <definedName name="rrr" localSheetId="6">#REF!</definedName>
    <definedName name="rrr">#REF!</definedName>
    <definedName name="S" localSheetId="6">#REF!</definedName>
    <definedName name="S" localSheetId="3">#REF!</definedName>
    <definedName name="S">#REF!</definedName>
    <definedName name="Sanitary_Data" localSheetId="6">[1]Data!#REF!</definedName>
    <definedName name="Sanitary_Data">[1]Data!#REF!</definedName>
    <definedName name="Sanitary_Data_11" localSheetId="6">#REF!</definedName>
    <definedName name="Sanitary_Data_11">#REF!</definedName>
    <definedName name="Sanitary_Data_3" localSheetId="6">#REF!</definedName>
    <definedName name="Sanitary_Data_3">#REF!</definedName>
    <definedName name="Sanitary_Data_6" localSheetId="6">#REF!</definedName>
    <definedName name="Sanitary_Data_6">#REF!</definedName>
    <definedName name="Sanitary_Data_7" localSheetId="6">[1]Data!#REF!</definedName>
    <definedName name="Sanitary_Data_7">[1]Data!#REF!</definedName>
    <definedName name="Sanitary_Data_8" localSheetId="6">[1]Data!#REF!</definedName>
    <definedName name="Sanitary_Data_8">[1]Data!#REF!</definedName>
    <definedName name="Sanitary_Item" localSheetId="6">#REF!</definedName>
    <definedName name="Sanitary_Item">#REF!</definedName>
    <definedName name="sd" localSheetId="6">#REF!</definedName>
    <definedName name="sd">#REF!</definedName>
    <definedName name="SR" localSheetId="6">#REF!</definedName>
    <definedName name="SR">#REF!</definedName>
    <definedName name="ss" localSheetId="6">#REF!</definedName>
    <definedName name="ss" localSheetId="3">#REF!</definedName>
    <definedName name="ss">#REF!</definedName>
    <definedName name="ssdde" localSheetId="6">#REF!</definedName>
    <definedName name="ssdde" localSheetId="3">#REF!</definedName>
    <definedName name="ssdde">#REF!</definedName>
    <definedName name="Steel_Form_work" localSheetId="6">#REF!</definedName>
    <definedName name="Steel_Form_work">#REF!</definedName>
    <definedName name="Steel_Form_work_11" localSheetId="6">#REF!</definedName>
    <definedName name="Steel_Form_work_11">#REF!</definedName>
    <definedName name="Steel_Form_work_3" localSheetId="6">#REF!</definedName>
    <definedName name="Steel_Form_work_3">#REF!</definedName>
    <definedName name="Steel_Form_work_6" localSheetId="6">#REF!</definedName>
    <definedName name="Steel_Form_work_6">#REF!</definedName>
    <definedName name="tj" localSheetId="6">#REF!</definedName>
    <definedName name="tj">#REF!</definedName>
    <definedName name="TP" localSheetId="6">#REF!</definedName>
    <definedName name="TP">#REF!</definedName>
    <definedName name="ty" localSheetId="6">#REF!</definedName>
    <definedName name="ty">#REF!</definedName>
    <definedName name="uo" localSheetId="6">#REF!</definedName>
    <definedName name="uo">#REF!</definedName>
    <definedName name="v" localSheetId="6">#REF!</definedName>
    <definedName name="v">#REF!</definedName>
    <definedName name="Vambay">[1]Data!$X$195:$AD$249,[1]Data!$X$251:$AD$357,[1]Data!$X$358:$AD$361,[1]Data!$X$362:$AD$374,[1]Data!$X$376:$AD$398,[1]Data!$X$399:$AD$456,[1]Data!$X$459:$AD$460</definedName>
    <definedName name="Vambay_11" localSheetId="6">#REF!,#REF!,#REF!,#REF!,#REF!,#REF!,#REF!</definedName>
    <definedName name="Vambay_11">#REF!,#REF!,#REF!,#REF!,#REF!,#REF!,#REF!</definedName>
    <definedName name="Vambay_3" localSheetId="6">#REF!,#REF!,#REF!,#REF!,#REF!,#REF!,#REF!</definedName>
    <definedName name="Vambay_3">#REF!,#REF!,#REF!,#REF!,#REF!,#REF!,#REF!</definedName>
    <definedName name="Vambay_6" localSheetId="6">#REF!,#REF!,#REF!,#REF!,#REF!,#REF!,#REF!</definedName>
    <definedName name="Vambay_6">#REF!,#REF!,#REF!,#REF!,#REF!,#REF!,#REF!</definedName>
    <definedName name="Vambay_7">[1]Data!$X$195:$AD$249,[1]Data!$X$251:$AD$357,[1]Data!$X$358:$AD$361,[1]Data!$X$362:$AD$374,[1]Data!$X$376:$AD$398,[1]Data!$X$399:$AD$456,[1]Data!$X$459:$AD$460</definedName>
    <definedName name="Vambay_8">[1]Data!$X$195:$AD$249,[1]Data!$X$251:$AD$357,[1]Data!$X$358:$AD$361,[1]Data!$X$362:$AD$374,[1]Data!$X$376:$AD$398,[1]Data!$X$399:$AD$456,[1]Data!$X$459:$AD$460</definedName>
    <definedName name="w" localSheetId="6">#REF!</definedName>
    <definedName name="w">#REF!</definedName>
    <definedName name="WW_Colour" localSheetId="6">#REF!</definedName>
    <definedName name="WW_Colour">#REF!</definedName>
    <definedName name="WW_Colour_11" localSheetId="6">#REF!</definedName>
    <definedName name="WW_Colour_11">#REF!</definedName>
    <definedName name="WW_Colour_3" localSheetId="6">#REF!</definedName>
    <definedName name="WW_Colour_3">#REF!</definedName>
    <definedName name="WW_Colour_6" localSheetId="6">#REF!</definedName>
    <definedName name="WW_Colour_6">#REF!</definedName>
    <definedName name="yt" localSheetId="6">#REF!</definedName>
    <definedName name="yt">#REF!</definedName>
    <definedName name="yuk" localSheetId="6">[1]Data!#REF!</definedName>
    <definedName name="yuk">[1]Data!#REF!</definedName>
  </definedNames>
  <calcPr calcId="124519"/>
</workbook>
</file>

<file path=xl/calcChain.xml><?xml version="1.0" encoding="utf-8"?>
<calcChain xmlns="http://schemas.openxmlformats.org/spreadsheetml/2006/main">
  <c r="E100" i="5"/>
  <c r="B604" i="2"/>
  <c r="H605"/>
  <c r="H606" s="1"/>
  <c r="C60" i="5" l="1"/>
  <c r="C59"/>
  <c r="A110" i="2"/>
  <c r="A90"/>
  <c r="A47"/>
  <c r="A40"/>
  <c r="A32"/>
  <c r="A20"/>
  <c r="A6"/>
  <c r="B424" l="1"/>
  <c r="H133"/>
  <c r="H182"/>
  <c r="H183"/>
  <c r="H184"/>
  <c r="H181"/>
  <c r="H119" l="1"/>
  <c r="H190"/>
  <c r="H189"/>
  <c r="H195"/>
  <c r="H194"/>
  <c r="E192"/>
  <c r="H34"/>
  <c r="H35"/>
  <c r="H36"/>
  <c r="H37"/>
  <c r="H33"/>
  <c r="D193"/>
  <c r="D192"/>
  <c r="H172"/>
  <c r="H174"/>
  <c r="H175"/>
  <c r="H176"/>
  <c r="H177"/>
  <c r="H179"/>
  <c r="H171"/>
  <c r="H160"/>
  <c r="H161"/>
  <c r="H162"/>
  <c r="H164"/>
  <c r="H165"/>
  <c r="H166"/>
  <c r="H159"/>
  <c r="E193"/>
  <c r="H193" s="1"/>
  <c r="B193"/>
  <c r="B192"/>
  <c r="G125"/>
  <c r="G128" s="1"/>
  <c r="H107"/>
  <c r="H106"/>
  <c r="G99"/>
  <c r="G95"/>
  <c r="G96" s="1"/>
  <c r="H94"/>
  <c r="H93"/>
  <c r="H192" l="1"/>
  <c r="H186"/>
  <c r="E96" i="5" s="1"/>
  <c r="H95" i="2"/>
  <c r="G98"/>
  <c r="H98" s="1"/>
  <c r="H96"/>
  <c r="F57"/>
  <c r="E57"/>
  <c r="H78"/>
  <c r="H77"/>
  <c r="B57"/>
  <c r="B56"/>
  <c r="D54"/>
  <c r="D57" s="1"/>
  <c r="D53"/>
  <c r="D56" s="1"/>
  <c r="H28"/>
  <c r="H27"/>
  <c r="H26"/>
  <c r="H25"/>
  <c r="H197" l="1"/>
  <c r="E97" i="5" s="1"/>
  <c r="H39" i="2"/>
  <c r="E18" i="5" s="1"/>
  <c r="H99" i="2"/>
  <c r="G100"/>
  <c r="H100" s="1"/>
  <c r="C66" i="4" l="1"/>
  <c r="C65"/>
  <c r="D111"/>
  <c r="D103"/>
  <c r="D102"/>
  <c r="D99"/>
  <c r="C110" i="5" l="1"/>
  <c r="D113" i="4" s="1"/>
  <c r="C108" i="5"/>
  <c r="C107"/>
  <c r="D109" i="4" s="1"/>
  <c r="C106" i="5"/>
  <c r="D108" i="4" s="1"/>
  <c r="C105" i="5"/>
  <c r="D107" i="4" s="1"/>
  <c r="C104" i="5"/>
  <c r="D106" i="4" s="1"/>
  <c r="C103" i="5"/>
  <c r="D105" i="4" s="1"/>
  <c r="C102" i="5"/>
  <c r="D104" i="4" s="1"/>
  <c r="C101" i="5"/>
  <c r="D101" i="4" s="1"/>
  <c r="C86" i="5"/>
  <c r="D86" i="4" s="1"/>
  <c r="C99" i="5"/>
  <c r="D100" i="4" s="1"/>
  <c r="C97" i="5"/>
  <c r="D98" i="4" s="1"/>
  <c r="C96" i="5"/>
  <c r="D97" i="4" s="1"/>
  <c r="C95" i="5"/>
  <c r="D96" i="4" s="1"/>
  <c r="C93" i="5"/>
  <c r="D94" i="4" s="1"/>
  <c r="C92" i="5"/>
  <c r="D93" i="4" s="1"/>
  <c r="C89" i="5"/>
  <c r="D90" i="4" s="1"/>
  <c r="C88" i="5"/>
  <c r="D88" i="4" s="1"/>
  <c r="C87" i="5"/>
  <c r="D87" i="4" s="1"/>
  <c r="C85" i="5"/>
  <c r="D85" i="4" s="1"/>
  <c r="C84" i="5"/>
  <c r="D84" i="4" s="1"/>
  <c r="C82" i="5"/>
  <c r="D82" i="4" s="1"/>
  <c r="C81" i="5"/>
  <c r="D81" i="4" s="1"/>
  <c r="C80" i="5"/>
  <c r="D80" i="4" s="1"/>
  <c r="C79" i="5"/>
  <c r="D79" i="4" s="1"/>
  <c r="C78" i="5"/>
  <c r="D78" i="4" s="1"/>
  <c r="C77" i="5"/>
  <c r="D77" i="4" s="1"/>
  <c r="C76" i="5"/>
  <c r="D76" i="4" s="1"/>
  <c r="C75" i="5"/>
  <c r="D75" i="4" s="1"/>
  <c r="C74" i="5"/>
  <c r="D74" i="4" s="1"/>
  <c r="C73" i="5"/>
  <c r="D89" i="4" s="1"/>
  <c r="C71" i="5"/>
  <c r="D72" i="4" s="1"/>
  <c r="C70" i="5"/>
  <c r="D71" i="4" s="1"/>
  <c r="C69" i="5"/>
  <c r="D70" i="4" s="1"/>
  <c r="C67" i="5"/>
  <c r="D68" i="4" s="1"/>
  <c r="C66" i="5"/>
  <c r="D67" i="4" s="1"/>
  <c r="C65" i="5"/>
  <c r="D66" i="4" s="1"/>
  <c r="C64" i="5"/>
  <c r="D65" i="4" s="1"/>
  <c r="C63" i="5"/>
  <c r="D64" i="4" s="1"/>
  <c r="C62" i="5"/>
  <c r="D62" i="4" s="1"/>
  <c r="C61" i="5"/>
  <c r="D61" i="4" s="1"/>
  <c r="C57" i="5"/>
  <c r="D57" i="4" s="1"/>
  <c r="C56" i="5"/>
  <c r="D56" i="4" s="1"/>
  <c r="C55" i="5"/>
  <c r="D55" i="4" s="1"/>
  <c r="C54" i="5"/>
  <c r="D54" i="4" s="1"/>
  <c r="C52" i="5"/>
  <c r="D52" i="4" s="1"/>
  <c r="C51" i="5"/>
  <c r="D51" i="4" s="1"/>
  <c r="C50" i="5"/>
  <c r="D50" i="4" s="1"/>
  <c r="C49" i="5"/>
  <c r="D49" i="4" s="1"/>
  <c r="C48" i="5"/>
  <c r="D48" i="4" s="1"/>
  <c r="C47" i="5"/>
  <c r="D47" i="4" s="1"/>
  <c r="C45" i="5"/>
  <c r="D45" i="4" s="1"/>
  <c r="C44" i="5"/>
  <c r="D44" i="4" s="1"/>
  <c r="C43" i="5"/>
  <c r="D43" i="4" s="1"/>
  <c r="C42" i="5"/>
  <c r="D42" i="4" s="1"/>
  <c r="C41" i="5"/>
  <c r="D41" i="4" s="1"/>
  <c r="C40" i="5"/>
  <c r="D40" i="4" s="1"/>
  <c r="C39" i="5"/>
  <c r="D39" i="4" s="1"/>
  <c r="C38" i="5"/>
  <c r="D38" i="4" s="1"/>
  <c r="C36" i="5"/>
  <c r="D36" i="4" s="1"/>
  <c r="C35" i="5"/>
  <c r="D35" i="4" s="1"/>
  <c r="C34" i="5"/>
  <c r="D34" i="4" s="1"/>
  <c r="C32" i="5"/>
  <c r="D32" i="4" s="1"/>
  <c r="C29" i="5"/>
  <c r="D29" i="4" s="1"/>
  <c r="C28" i="5"/>
  <c r="D28" i="4" s="1"/>
  <c r="C26" i="5"/>
  <c r="D26" i="4" s="1"/>
  <c r="C24" i="5"/>
  <c r="D24" i="4" s="1"/>
  <c r="C22" i="5"/>
  <c r="D22" i="4" s="1"/>
  <c r="C20" i="5"/>
  <c r="D20" i="4" s="1"/>
  <c r="C18" i="5"/>
  <c r="D18" i="4" s="1"/>
  <c r="C17" i="5"/>
  <c r="D17" i="4" s="1"/>
  <c r="C15" i="5"/>
  <c r="D15" i="4" s="1"/>
  <c r="C14" i="5"/>
  <c r="D14" i="4" s="1"/>
  <c r="C13" i="5"/>
  <c r="D13" i="4" s="1"/>
  <c r="C11" i="5"/>
  <c r="D11" i="4" s="1"/>
  <c r="C9" i="5"/>
  <c r="D9" i="4" s="1"/>
  <c r="C8" i="5"/>
  <c r="D8" i="4" s="1"/>
  <c r="C7" i="5"/>
  <c r="D7" i="4" s="1"/>
  <c r="C6" i="5"/>
  <c r="D6" i="4" s="1"/>
  <c r="D25" i="9"/>
  <c r="F25" s="1"/>
  <c r="D24"/>
  <c r="F24" s="1"/>
  <c r="D23"/>
  <c r="F23" s="1"/>
  <c r="D22"/>
  <c r="F22" s="1"/>
  <c r="D21"/>
  <c r="F21" s="1"/>
  <c r="D20"/>
  <c r="F20" s="1"/>
  <c r="D19"/>
  <c r="F19" s="1"/>
  <c r="D18"/>
  <c r="F18" s="1"/>
  <c r="D17"/>
  <c r="F17" s="1"/>
  <c r="D16"/>
  <c r="F16" s="1"/>
  <c r="D110" i="4" l="1"/>
  <c r="F27" i="9"/>
  <c r="F29" s="1"/>
  <c r="C30" i="5" s="1"/>
  <c r="D30" i="4" s="1"/>
  <c r="C24" i="7"/>
  <c r="C23"/>
  <c r="C22"/>
  <c r="C21"/>
  <c r="C20"/>
  <c r="C19"/>
  <c r="A1" i="5" l="1"/>
  <c r="A1" i="4" s="1"/>
  <c r="A1" i="6" s="1"/>
  <c r="H67" i="2"/>
  <c r="H66"/>
  <c r="H65"/>
  <c r="H61"/>
  <c r="H62"/>
  <c r="H63"/>
  <c r="H60"/>
  <c r="H56"/>
  <c r="H51"/>
  <c r="H50"/>
  <c r="H132" l="1"/>
  <c r="H131"/>
  <c r="H321"/>
  <c r="H322"/>
  <c r="B33" i="5"/>
  <c r="C33" i="4" s="1"/>
  <c r="F31"/>
  <c r="I31" i="5"/>
  <c r="J31" s="1"/>
  <c r="F31"/>
  <c r="B32"/>
  <c r="C32" i="4" s="1"/>
  <c r="B31" i="5"/>
  <c r="C31" i="4" s="1"/>
  <c r="E7" i="6"/>
  <c r="C111" i="4"/>
  <c r="C63"/>
  <c r="A63"/>
  <c r="C50"/>
  <c r="F12" l="1"/>
  <c r="E14"/>
  <c r="E15" s="1"/>
  <c r="C15"/>
  <c r="C14"/>
  <c r="C13"/>
  <c r="C12"/>
  <c r="A12"/>
  <c r="C103"/>
  <c r="C102"/>
  <c r="A104"/>
  <c r="C104"/>
  <c r="E104"/>
  <c r="E102" s="1"/>
  <c r="E103" s="1"/>
  <c r="C30" l="1"/>
  <c r="I10" i="5"/>
  <c r="J10" s="1"/>
  <c r="I12"/>
  <c r="J12" s="1"/>
  <c r="I16"/>
  <c r="J16" s="1"/>
  <c r="I19"/>
  <c r="J19" s="1"/>
  <c r="I21"/>
  <c r="J21" s="1"/>
  <c r="I23"/>
  <c r="J23" s="1"/>
  <c r="I25"/>
  <c r="J25" s="1"/>
  <c r="I27"/>
  <c r="J27" s="1"/>
  <c r="I33"/>
  <c r="J33" s="1"/>
  <c r="I46"/>
  <c r="J46" s="1"/>
  <c r="I53"/>
  <c r="J53" s="1"/>
  <c r="I58"/>
  <c r="J58" s="1"/>
  <c r="I68"/>
  <c r="J68" s="1"/>
  <c r="I72"/>
  <c r="J72" s="1"/>
  <c r="I83"/>
  <c r="J83" s="1"/>
  <c r="I90"/>
  <c r="J90" s="1"/>
  <c r="I91"/>
  <c r="J91" s="1"/>
  <c r="I94"/>
  <c r="J94" s="1"/>
  <c r="I109"/>
  <c r="J109" s="1"/>
  <c r="H10"/>
  <c r="H12"/>
  <c r="H16"/>
  <c r="H19"/>
  <c r="H21"/>
  <c r="H23"/>
  <c r="H25"/>
  <c r="H27"/>
  <c r="H33"/>
  <c r="H46"/>
  <c r="H53"/>
  <c r="H58"/>
  <c r="H68"/>
  <c r="H72"/>
  <c r="H83"/>
  <c r="H89"/>
  <c r="H90"/>
  <c r="H91"/>
  <c r="H94"/>
  <c r="H109"/>
  <c r="H111"/>
  <c r="H112"/>
  <c r="H113"/>
  <c r="F10"/>
  <c r="F12"/>
  <c r="F16"/>
  <c r="F19"/>
  <c r="F21"/>
  <c r="F23"/>
  <c r="F25"/>
  <c r="F27"/>
  <c r="F33"/>
  <c r="F46"/>
  <c r="F53"/>
  <c r="F58"/>
  <c r="F68"/>
  <c r="F72"/>
  <c r="F83"/>
  <c r="F90"/>
  <c r="F91"/>
  <c r="F94"/>
  <c r="F109"/>
  <c r="H84" l="1"/>
  <c r="E74" i="8"/>
  <c r="D74"/>
  <c r="C74"/>
  <c r="B74"/>
  <c r="A74"/>
  <c r="E73"/>
  <c r="D73"/>
  <c r="C73"/>
  <c r="B73"/>
  <c r="A73"/>
  <c r="E72"/>
  <c r="D72"/>
  <c r="C72"/>
  <c r="B72"/>
  <c r="A72"/>
  <c r="E71"/>
  <c r="D71"/>
  <c r="B71"/>
  <c r="A71"/>
  <c r="E70"/>
  <c r="D70"/>
  <c r="C70"/>
  <c r="B70"/>
  <c r="A70"/>
  <c r="E69"/>
  <c r="C69"/>
  <c r="B69"/>
  <c r="A69"/>
  <c r="E68"/>
  <c r="C68"/>
  <c r="B68"/>
  <c r="E67"/>
  <c r="C67"/>
  <c r="B67"/>
  <c r="A67"/>
  <c r="E66"/>
  <c r="C66"/>
  <c r="B66"/>
  <c r="A66"/>
  <c r="E65"/>
  <c r="C65"/>
  <c r="B65"/>
  <c r="A65"/>
  <c r="E64"/>
  <c r="C64"/>
  <c r="B64"/>
  <c r="E63"/>
  <c r="C63"/>
  <c r="B63"/>
  <c r="E62"/>
  <c r="C62"/>
  <c r="B62"/>
  <c r="E61"/>
  <c r="C61"/>
  <c r="B61"/>
  <c r="E60"/>
  <c r="C60"/>
  <c r="B60"/>
  <c r="F59"/>
  <c r="E59"/>
  <c r="D59"/>
  <c r="C59"/>
  <c r="B59"/>
  <c r="A59"/>
  <c r="D57"/>
  <c r="A68" s="1"/>
  <c r="F56"/>
  <c r="E56"/>
  <c r="D56"/>
  <c r="A64" s="1"/>
  <c r="B56"/>
  <c r="A56"/>
  <c r="F55"/>
  <c r="E55"/>
  <c r="D55"/>
  <c r="A63" s="1"/>
  <c r="B55"/>
  <c r="A55"/>
  <c r="I54"/>
  <c r="I55" s="1"/>
  <c r="F54"/>
  <c r="E54"/>
  <c r="D54"/>
  <c r="A61" s="1"/>
  <c r="B54"/>
  <c r="A54"/>
  <c r="I53"/>
  <c r="F53"/>
  <c r="E53"/>
  <c r="D53"/>
  <c r="B53"/>
  <c r="A53"/>
  <c r="F52"/>
  <c r="E52"/>
  <c r="D52"/>
  <c r="C52"/>
  <c r="B52"/>
  <c r="A52"/>
  <c r="F51"/>
  <c r="D51"/>
  <c r="C71" s="1"/>
  <c r="B51"/>
  <c r="A51"/>
  <c r="F50"/>
  <c r="E50"/>
  <c r="D50"/>
  <c r="C50"/>
  <c r="B50"/>
  <c r="A50"/>
  <c r="F49"/>
  <c r="E49"/>
  <c r="D49"/>
  <c r="C49"/>
  <c r="B49"/>
  <c r="A49"/>
  <c r="F48"/>
  <c r="E48"/>
  <c r="D48"/>
  <c r="C48"/>
  <c r="B48"/>
  <c r="A48"/>
  <c r="A62" l="1"/>
  <c r="A60"/>
  <c r="B73" i="5" l="1"/>
  <c r="L94"/>
  <c r="H585" i="2"/>
  <c r="H97" i="5" l="1"/>
  <c r="K97" s="1"/>
  <c r="H95"/>
  <c r="L95" s="1"/>
  <c r="H96"/>
  <c r="K96" s="1"/>
  <c r="K95"/>
  <c r="L97"/>
  <c r="L96" l="1"/>
  <c r="L4078" i="7"/>
  <c r="I4071"/>
  <c r="K4071" s="1"/>
  <c r="I4069"/>
  <c r="J4063"/>
  <c r="F4069" s="1"/>
  <c r="K4069" s="1"/>
  <c r="J4062"/>
  <c r="K4060"/>
  <c r="J4060"/>
  <c r="F4068" s="1"/>
  <c r="J4057"/>
  <c r="F4067" s="1"/>
  <c r="J4052"/>
  <c r="J4051"/>
  <c r="J4054" s="1"/>
  <c r="F4066" s="1"/>
  <c r="I4028"/>
  <c r="K4013"/>
  <c r="I4011"/>
  <c r="I4026" s="1"/>
  <c r="K3995"/>
  <c r="I3966"/>
  <c r="I3983" s="1"/>
  <c r="I3964"/>
  <c r="I3981" s="1"/>
  <c r="K3981" s="1"/>
  <c r="H3964"/>
  <c r="I3961"/>
  <c r="I3978" s="1"/>
  <c r="K3978" s="1"/>
  <c r="H3960"/>
  <c r="K3950"/>
  <c r="K3948"/>
  <c r="I3945"/>
  <c r="K3945" s="1"/>
  <c r="I3944"/>
  <c r="I3943"/>
  <c r="I3959" s="1"/>
  <c r="I3942"/>
  <c r="K3930"/>
  <c r="K3927"/>
  <c r="K3926"/>
  <c r="K3925"/>
  <c r="K3924"/>
  <c r="G3899"/>
  <c r="E3899"/>
  <c r="G3898"/>
  <c r="G3901" s="1"/>
  <c r="G3902" s="1"/>
  <c r="H3894"/>
  <c r="J3894" s="1"/>
  <c r="H3893"/>
  <c r="J3893" s="1"/>
  <c r="H3892"/>
  <c r="J3892" s="1"/>
  <c r="H3891"/>
  <c r="J3891" s="1"/>
  <c r="H3887"/>
  <c r="H3878"/>
  <c r="H3868"/>
  <c r="H3867"/>
  <c r="H3866"/>
  <c r="H3865"/>
  <c r="I3863"/>
  <c r="J3857"/>
  <c r="H3857"/>
  <c r="H3847"/>
  <c r="H3846"/>
  <c r="H3845"/>
  <c r="H3844"/>
  <c r="I3842"/>
  <c r="K3823"/>
  <c r="K3807"/>
  <c r="K3791"/>
  <c r="K3790"/>
  <c r="K3789"/>
  <c r="K3788"/>
  <c r="K3787"/>
  <c r="K3786"/>
  <c r="K3785"/>
  <c r="K3784"/>
  <c r="K3768"/>
  <c r="K3767"/>
  <c r="K3765"/>
  <c r="K3766" s="1"/>
  <c r="I3763"/>
  <c r="K3763" s="1"/>
  <c r="K3764" s="1"/>
  <c r="K3752"/>
  <c r="I3747"/>
  <c r="K3747" s="1"/>
  <c r="K3736"/>
  <c r="X3732"/>
  <c r="V3722"/>
  <c r="X3722" s="1"/>
  <c r="X3721"/>
  <c r="V3721"/>
  <c r="V3720"/>
  <c r="X3720" s="1"/>
  <c r="V3719"/>
  <c r="X3719" s="1"/>
  <c r="J3719"/>
  <c r="V3718"/>
  <c r="J3718"/>
  <c r="K3717"/>
  <c r="J3717"/>
  <c r="K3716"/>
  <c r="J3716"/>
  <c r="K3715"/>
  <c r="J3715"/>
  <c r="N3711"/>
  <c r="X3708"/>
  <c r="X3707"/>
  <c r="X3706"/>
  <c r="X3705"/>
  <c r="K3705"/>
  <c r="V3696"/>
  <c r="X3696" s="1"/>
  <c r="V3695"/>
  <c r="X3695" s="1"/>
  <c r="H3695"/>
  <c r="V3694"/>
  <c r="X3694" s="1"/>
  <c r="I3694"/>
  <c r="H3694"/>
  <c r="F3694"/>
  <c r="K3694" s="1"/>
  <c r="X3693"/>
  <c r="V3693"/>
  <c r="I3693"/>
  <c r="H3693"/>
  <c r="F3693"/>
  <c r="K3693" s="1"/>
  <c r="V3692"/>
  <c r="X3692" s="1"/>
  <c r="H3691"/>
  <c r="V3690"/>
  <c r="X3690" s="1"/>
  <c r="H3690"/>
  <c r="X3689"/>
  <c r="V3689"/>
  <c r="H3689"/>
  <c r="V3688"/>
  <c r="X3688" s="1"/>
  <c r="H3688"/>
  <c r="X3687"/>
  <c r="V3687"/>
  <c r="H3687"/>
  <c r="F3687"/>
  <c r="K3687" s="1"/>
  <c r="V3686"/>
  <c r="X3686" s="1"/>
  <c r="F3685"/>
  <c r="K3685" s="1"/>
  <c r="H3684"/>
  <c r="H3683"/>
  <c r="F3683"/>
  <c r="K3673"/>
  <c r="K3672"/>
  <c r="X3666"/>
  <c r="K3666"/>
  <c r="X3665"/>
  <c r="X3664"/>
  <c r="K3664"/>
  <c r="X3663"/>
  <c r="X3662"/>
  <c r="X3660"/>
  <c r="X3659"/>
  <c r="X3658"/>
  <c r="X3657"/>
  <c r="X3646"/>
  <c r="X3645"/>
  <c r="X3644"/>
  <c r="X3643"/>
  <c r="X3642"/>
  <c r="X3641"/>
  <c r="K3641"/>
  <c r="X3640"/>
  <c r="X3639"/>
  <c r="V3638"/>
  <c r="X3638" s="1"/>
  <c r="V3637"/>
  <c r="X3637" s="1"/>
  <c r="V3636"/>
  <c r="X3636" s="1"/>
  <c r="I3630"/>
  <c r="K3630" s="1"/>
  <c r="I3629"/>
  <c r="K3629" s="1"/>
  <c r="I3628"/>
  <c r="K3628" s="1"/>
  <c r="K3627"/>
  <c r="I3627"/>
  <c r="H3626"/>
  <c r="I3625"/>
  <c r="K3625" s="1"/>
  <c r="V3620"/>
  <c r="X3621" s="1"/>
  <c r="J3619"/>
  <c r="W3618"/>
  <c r="S3619" s="1"/>
  <c r="S3620" s="1"/>
  <c r="X3613"/>
  <c r="K3609"/>
  <c r="K3608"/>
  <c r="K3607"/>
  <c r="K3606"/>
  <c r="K3605"/>
  <c r="I3604"/>
  <c r="I3626" s="1"/>
  <c r="K3626" s="1"/>
  <c r="V3603"/>
  <c r="S3604" s="1"/>
  <c r="S3605" s="1"/>
  <c r="K3603"/>
  <c r="X3596"/>
  <c r="V3586"/>
  <c r="S3587" s="1"/>
  <c r="S3588" s="1"/>
  <c r="I3576"/>
  <c r="I3575"/>
  <c r="I3585" s="1"/>
  <c r="K3585" s="1"/>
  <c r="V3571"/>
  <c r="S3573" s="1"/>
  <c r="K3564"/>
  <c r="I3562"/>
  <c r="K3562" s="1"/>
  <c r="K3559"/>
  <c r="V3555"/>
  <c r="S3557" s="1"/>
  <c r="P3544"/>
  <c r="P3543"/>
  <c r="M3545" s="1"/>
  <c r="R3545" s="1"/>
  <c r="AE3541"/>
  <c r="AB3541"/>
  <c r="AG3541" s="1"/>
  <c r="V3541"/>
  <c r="V3540"/>
  <c r="V3619" s="1"/>
  <c r="X3619" s="1"/>
  <c r="AE3539"/>
  <c r="AB3540" s="1"/>
  <c r="AG3540" s="1"/>
  <c r="V3539"/>
  <c r="S3540" s="1"/>
  <c r="X3540" s="1"/>
  <c r="I3539"/>
  <c r="F3540" s="1"/>
  <c r="K3540" s="1"/>
  <c r="I3531"/>
  <c r="I3547" s="1"/>
  <c r="P3529"/>
  <c r="V3557" s="1"/>
  <c r="I3529"/>
  <c r="I3545" s="1"/>
  <c r="P3528"/>
  <c r="V3556" s="1"/>
  <c r="I3528"/>
  <c r="P3527"/>
  <c r="M3528" s="1"/>
  <c r="M3529" s="1"/>
  <c r="F3524"/>
  <c r="F3525" s="1"/>
  <c r="K3525" s="1"/>
  <c r="K3512"/>
  <c r="K3510"/>
  <c r="I3510"/>
  <c r="M3509"/>
  <c r="K3504"/>
  <c r="K3502"/>
  <c r="I3489"/>
  <c r="K3489" s="1"/>
  <c r="I3488"/>
  <c r="K3488" s="1"/>
  <c r="I3487"/>
  <c r="K3487" s="1"/>
  <c r="I3486"/>
  <c r="K3486" s="1"/>
  <c r="K3483"/>
  <c r="J3481"/>
  <c r="J3480"/>
  <c r="J3479"/>
  <c r="I3468"/>
  <c r="P3464"/>
  <c r="R3464" s="1"/>
  <c r="K3464"/>
  <c r="I3464"/>
  <c r="P3462"/>
  <c r="R3462" s="1"/>
  <c r="K3456"/>
  <c r="P3443"/>
  <c r="R3443" s="1"/>
  <c r="P3442"/>
  <c r="R3442" s="1"/>
  <c r="P3441"/>
  <c r="R3441" s="1"/>
  <c r="R3440"/>
  <c r="K3430"/>
  <c r="K3429"/>
  <c r="K3428"/>
  <c r="K3427"/>
  <c r="K3426"/>
  <c r="I3424"/>
  <c r="I3418"/>
  <c r="I3417"/>
  <c r="I3413"/>
  <c r="I3412"/>
  <c r="I3414" s="1"/>
  <c r="F3423" s="1"/>
  <c r="I3411"/>
  <c r="F3422" s="1"/>
  <c r="I3410"/>
  <c r="F3425" s="1"/>
  <c r="I3391"/>
  <c r="K3368"/>
  <c r="I3368"/>
  <c r="I3355" s="1"/>
  <c r="K3355" s="1"/>
  <c r="K3342"/>
  <c r="P3330"/>
  <c r="P3365" s="1"/>
  <c r="R3365" s="1"/>
  <c r="R3329"/>
  <c r="P3329"/>
  <c r="P3328"/>
  <c r="R3328" s="1"/>
  <c r="K3322"/>
  <c r="I3312"/>
  <c r="I3311"/>
  <c r="K3309"/>
  <c r="I3309"/>
  <c r="I3306"/>
  <c r="K3306" s="1"/>
  <c r="I3305"/>
  <c r="K3305" s="1"/>
  <c r="I3304"/>
  <c r="K3304" s="1"/>
  <c r="I3303"/>
  <c r="K3303" s="1"/>
  <c r="P3295"/>
  <c r="P3327" s="1"/>
  <c r="I3292"/>
  <c r="I3330" s="1"/>
  <c r="I3432" s="1"/>
  <c r="K3291"/>
  <c r="K3290"/>
  <c r="K3289"/>
  <c r="K3288"/>
  <c r="K3287"/>
  <c r="K3286"/>
  <c r="K3283"/>
  <c r="R3269"/>
  <c r="P3269"/>
  <c r="I3329" s="1"/>
  <c r="P3268"/>
  <c r="I3268"/>
  <c r="K3268" s="1"/>
  <c r="L3234" s="1"/>
  <c r="P3267"/>
  <c r="P3266"/>
  <c r="I3326" s="1"/>
  <c r="K3264"/>
  <c r="R3262"/>
  <c r="V3260"/>
  <c r="X3260" s="1"/>
  <c r="X3259"/>
  <c r="V3259"/>
  <c r="X3258"/>
  <c r="V3258"/>
  <c r="K3258"/>
  <c r="V3257"/>
  <c r="X3257" s="1"/>
  <c r="V3256"/>
  <c r="X3256" s="1"/>
  <c r="V3255"/>
  <c r="X3255" s="1"/>
  <c r="V3254"/>
  <c r="X3254" s="1"/>
  <c r="V3251"/>
  <c r="X3251" s="1"/>
  <c r="K3245"/>
  <c r="L3238"/>
  <c r="P3235"/>
  <c r="P3449" s="1"/>
  <c r="R3449" s="1"/>
  <c r="P3234"/>
  <c r="P3233"/>
  <c r="P3447" s="1"/>
  <c r="R3447" s="1"/>
  <c r="P3232"/>
  <c r="P3231"/>
  <c r="I3527" s="1"/>
  <c r="P3230"/>
  <c r="I3526" s="1"/>
  <c r="R3229"/>
  <c r="I3229"/>
  <c r="K3229" s="1"/>
  <c r="R3228"/>
  <c r="R3227"/>
  <c r="R3226"/>
  <c r="P3225"/>
  <c r="P3439" s="1"/>
  <c r="R3439" s="1"/>
  <c r="K3214"/>
  <c r="L3212"/>
  <c r="P3201"/>
  <c r="P3236" s="1"/>
  <c r="S3200"/>
  <c r="T3200" s="1"/>
  <c r="R3200"/>
  <c r="K3200"/>
  <c r="R3199"/>
  <c r="R3198"/>
  <c r="R3197"/>
  <c r="L3196"/>
  <c r="P3195"/>
  <c r="R3195" s="1"/>
  <c r="R3193"/>
  <c r="R3192"/>
  <c r="I3174"/>
  <c r="K3158"/>
  <c r="I3157"/>
  <c r="P3164" s="1"/>
  <c r="R3164" s="1"/>
  <c r="I3156"/>
  <c r="P3163" s="1"/>
  <c r="U3155"/>
  <c r="K3155"/>
  <c r="I3155"/>
  <c r="P3162" s="1"/>
  <c r="U3154"/>
  <c r="I3154"/>
  <c r="P3161" s="1"/>
  <c r="R3161" s="1"/>
  <c r="U3153"/>
  <c r="I3153"/>
  <c r="P3160" s="1"/>
  <c r="P3196" s="1"/>
  <c r="R3196" s="1"/>
  <c r="I3152"/>
  <c r="P3159" s="1"/>
  <c r="R3159" s="1"/>
  <c r="U3151"/>
  <c r="U3150"/>
  <c r="I3150"/>
  <c r="P3157" s="1"/>
  <c r="F3150"/>
  <c r="K3150" s="1"/>
  <c r="P3149"/>
  <c r="P3148"/>
  <c r="P3145"/>
  <c r="M3156" s="1"/>
  <c r="P3143"/>
  <c r="M3155" s="1"/>
  <c r="P3142"/>
  <c r="M3158" s="1"/>
  <c r="X3138"/>
  <c r="V3138"/>
  <c r="V3163" s="1"/>
  <c r="X3163" s="1"/>
  <c r="V3136"/>
  <c r="R3122"/>
  <c r="K3122"/>
  <c r="X3121"/>
  <c r="R3121"/>
  <c r="K3121"/>
  <c r="V3120"/>
  <c r="I4070" s="1"/>
  <c r="K4070" s="1"/>
  <c r="X3119"/>
  <c r="V3117"/>
  <c r="I4068" s="1"/>
  <c r="I3112"/>
  <c r="AU3110"/>
  <c r="AQ3110"/>
  <c r="AS3110" s="1"/>
  <c r="V3110"/>
  <c r="AQ3109"/>
  <c r="AS3109" s="1"/>
  <c r="AH3109"/>
  <c r="V3109"/>
  <c r="V3111" s="1"/>
  <c r="K3107"/>
  <c r="V3106"/>
  <c r="V3104"/>
  <c r="V3103"/>
  <c r="K3084"/>
  <c r="F3077"/>
  <c r="I3058"/>
  <c r="F3058"/>
  <c r="I3057"/>
  <c r="I3076" s="1"/>
  <c r="K3076" s="1"/>
  <c r="K3040"/>
  <c r="K3019"/>
  <c r="K3043" s="1"/>
  <c r="K3016"/>
  <c r="K3014"/>
  <c r="I3011"/>
  <c r="K3011" s="1"/>
  <c r="K2997"/>
  <c r="I2973"/>
  <c r="P2980" s="1"/>
  <c r="R2980" s="1"/>
  <c r="I2972"/>
  <c r="I2969"/>
  <c r="I2966"/>
  <c r="I2965"/>
  <c r="P2927"/>
  <c r="P2926"/>
  <c r="P2925"/>
  <c r="I2886"/>
  <c r="K2886" s="1"/>
  <c r="K2885"/>
  <c r="I2873"/>
  <c r="K2873" s="1"/>
  <c r="I2872"/>
  <c r="K2872" s="1"/>
  <c r="I2871"/>
  <c r="K2871" s="1"/>
  <c r="I2870"/>
  <c r="K2870" s="1"/>
  <c r="K2869"/>
  <c r="K2868"/>
  <c r="M2857"/>
  <c r="M2856"/>
  <c r="I2856"/>
  <c r="K2837"/>
  <c r="K2836"/>
  <c r="J2833"/>
  <c r="R2830"/>
  <c r="P2830"/>
  <c r="P2863" s="1"/>
  <c r="R2863" s="1"/>
  <c r="P2829"/>
  <c r="P2828"/>
  <c r="P2861" s="1"/>
  <c r="R2861" s="1"/>
  <c r="P2827"/>
  <c r="P2860" s="1"/>
  <c r="R2860" s="1"/>
  <c r="M2824"/>
  <c r="I2824"/>
  <c r="M2823"/>
  <c r="K2823"/>
  <c r="K2822"/>
  <c r="K2821"/>
  <c r="K2820"/>
  <c r="F2816"/>
  <c r="AE2795"/>
  <c r="AG2795" s="1"/>
  <c r="AE2794"/>
  <c r="AG2794" s="1"/>
  <c r="S2794"/>
  <c r="K2794"/>
  <c r="AE2793"/>
  <c r="AG2793" s="1"/>
  <c r="S2793"/>
  <c r="AE2792"/>
  <c r="AG2792" s="1"/>
  <c r="S2792"/>
  <c r="V2791"/>
  <c r="S2791"/>
  <c r="X2791" s="1"/>
  <c r="AG2790"/>
  <c r="V2790"/>
  <c r="S2790"/>
  <c r="V2789"/>
  <c r="S2789"/>
  <c r="X2789" s="1"/>
  <c r="V2788"/>
  <c r="S2788"/>
  <c r="S2787"/>
  <c r="V2786"/>
  <c r="X2786" s="1"/>
  <c r="S2784"/>
  <c r="S2783"/>
  <c r="L2780"/>
  <c r="F2817" s="1"/>
  <c r="Y2779"/>
  <c r="K2776"/>
  <c r="K2775"/>
  <c r="E2759"/>
  <c r="E2761" s="1"/>
  <c r="E2757"/>
  <c r="E2758" s="1"/>
  <c r="I2735"/>
  <c r="K2735" s="1"/>
  <c r="I2719"/>
  <c r="K2719" s="1"/>
  <c r="I2711"/>
  <c r="K2711" s="1"/>
  <c r="I2696"/>
  <c r="K2696" s="1"/>
  <c r="L2688"/>
  <c r="K2685"/>
  <c r="I2684"/>
  <c r="K2684" s="1"/>
  <c r="K2681"/>
  <c r="I2681"/>
  <c r="I2682" s="1"/>
  <c r="I2680"/>
  <c r="K2680" s="1"/>
  <c r="K2670"/>
  <c r="I2670"/>
  <c r="I3110" s="1"/>
  <c r="I2669"/>
  <c r="P2676" s="1"/>
  <c r="I2668"/>
  <c r="P2675" s="1"/>
  <c r="I2667"/>
  <c r="P2674" s="1"/>
  <c r="K2665"/>
  <c r="AE2659"/>
  <c r="AG2659" s="1"/>
  <c r="AG2657"/>
  <c r="AG2656"/>
  <c r="AG2655"/>
  <c r="AG2654"/>
  <c r="AG2653"/>
  <c r="AB2649"/>
  <c r="P2648"/>
  <c r="R2648" s="1"/>
  <c r="P2647"/>
  <c r="R2647" s="1"/>
  <c r="AE2646"/>
  <c r="AB2651" s="1"/>
  <c r="P2646"/>
  <c r="R2646" s="1"/>
  <c r="AE2645"/>
  <c r="P2645"/>
  <c r="R2645" s="1"/>
  <c r="AE2644"/>
  <c r="P2644"/>
  <c r="R2644" s="1"/>
  <c r="P2642"/>
  <c r="K2641"/>
  <c r="AE2640"/>
  <c r="M2640"/>
  <c r="K2640"/>
  <c r="AE2639"/>
  <c r="K2639"/>
  <c r="K2638"/>
  <c r="AE2637"/>
  <c r="AB2652" s="1"/>
  <c r="P2637"/>
  <c r="M2642" s="1"/>
  <c r="R2642" s="1"/>
  <c r="K2637"/>
  <c r="K2635"/>
  <c r="P2632"/>
  <c r="M2641" s="1"/>
  <c r="K2629"/>
  <c r="I2629"/>
  <c r="I2630" s="1"/>
  <c r="I2625"/>
  <c r="AE2623"/>
  <c r="AG2623" s="1"/>
  <c r="AE2620"/>
  <c r="AG2620" s="1"/>
  <c r="AB2615"/>
  <c r="AE2611"/>
  <c r="AE2610"/>
  <c r="AE2612" s="1"/>
  <c r="AB2617" s="1"/>
  <c r="K2610"/>
  <c r="X2609"/>
  <c r="I2609"/>
  <c r="H3856" s="1"/>
  <c r="X2608"/>
  <c r="Z2606" s="1"/>
  <c r="V2608"/>
  <c r="AE2622" s="1"/>
  <c r="AG2622" s="1"/>
  <c r="Z2607"/>
  <c r="V2607"/>
  <c r="AE2606"/>
  <c r="V2606"/>
  <c r="X2606" s="1"/>
  <c r="AE2605"/>
  <c r="AE2607" s="1"/>
  <c r="AB2616" s="1"/>
  <c r="V2605"/>
  <c r="AE2619" s="1"/>
  <c r="AG2619" s="1"/>
  <c r="Z2604"/>
  <c r="I2604"/>
  <c r="AE2603"/>
  <c r="AB2618" s="1"/>
  <c r="Z2603"/>
  <c r="V2603"/>
  <c r="AE2651" s="1"/>
  <c r="Z2601"/>
  <c r="S2601"/>
  <c r="V2597"/>
  <c r="V2596"/>
  <c r="V2598" s="1"/>
  <c r="S2603" s="1"/>
  <c r="X2603" s="1"/>
  <c r="V2592"/>
  <c r="V2591"/>
  <c r="V2593" s="1"/>
  <c r="S2602" s="1"/>
  <c r="V2589"/>
  <c r="S2604" s="1"/>
  <c r="O2580"/>
  <c r="P2576"/>
  <c r="R2576" s="1"/>
  <c r="K2575"/>
  <c r="H2574"/>
  <c r="P2569"/>
  <c r="I2569"/>
  <c r="K2543"/>
  <c r="K2540"/>
  <c r="I2534"/>
  <c r="N2522"/>
  <c r="R2517"/>
  <c r="P2517"/>
  <c r="K2514"/>
  <c r="R2510"/>
  <c r="K2510"/>
  <c r="I2509"/>
  <c r="P2516" s="1"/>
  <c r="R2516" s="1"/>
  <c r="P2507"/>
  <c r="P2506"/>
  <c r="P2505"/>
  <c r="P2504"/>
  <c r="I2503"/>
  <c r="H2487"/>
  <c r="I2479"/>
  <c r="I2481" s="1"/>
  <c r="F2485" s="1"/>
  <c r="H2472"/>
  <c r="I2469"/>
  <c r="K2469" s="1"/>
  <c r="I2468"/>
  <c r="I2539" s="1"/>
  <c r="I2467"/>
  <c r="I2486" s="1"/>
  <c r="I2466"/>
  <c r="I2485" s="1"/>
  <c r="I2462"/>
  <c r="I2442"/>
  <c r="K2442" s="1"/>
  <c r="R2437"/>
  <c r="R2429"/>
  <c r="I2426"/>
  <c r="P2433" s="1"/>
  <c r="K2422"/>
  <c r="R2408"/>
  <c r="I2408"/>
  <c r="K2408" s="1"/>
  <c r="R2407"/>
  <c r="R2406"/>
  <c r="R2405"/>
  <c r="R2404"/>
  <c r="R2403"/>
  <c r="R2402"/>
  <c r="R2401"/>
  <c r="R2400"/>
  <c r="R2399"/>
  <c r="R2398"/>
  <c r="R2397"/>
  <c r="K2397"/>
  <c r="R2396"/>
  <c r="R2395"/>
  <c r="R2394"/>
  <c r="R2393"/>
  <c r="R2392"/>
  <c r="E2392"/>
  <c r="E2393" s="1"/>
  <c r="R2391"/>
  <c r="K2388"/>
  <c r="K2387"/>
  <c r="P2372"/>
  <c r="R2372" s="1"/>
  <c r="P2371"/>
  <c r="R2371" s="1"/>
  <c r="K2366"/>
  <c r="K2365"/>
  <c r="K2364"/>
  <c r="D2347"/>
  <c r="P2335"/>
  <c r="R2335" s="1"/>
  <c r="R2334"/>
  <c r="I2328"/>
  <c r="K2328" s="1"/>
  <c r="K2327"/>
  <c r="E2313"/>
  <c r="I2347" s="1"/>
  <c r="K2347" s="1"/>
  <c r="I2312"/>
  <c r="K2312" s="1"/>
  <c r="I2311"/>
  <c r="K2311" s="1"/>
  <c r="I2310"/>
  <c r="K2310" s="1"/>
  <c r="I2309"/>
  <c r="K2309" s="1"/>
  <c r="L2307"/>
  <c r="L2308" s="1"/>
  <c r="I2299"/>
  <c r="I2314" s="1"/>
  <c r="K2314" s="1"/>
  <c r="H2299"/>
  <c r="K2297"/>
  <c r="I2297"/>
  <c r="I2313" s="1"/>
  <c r="K2313" s="1"/>
  <c r="K2295"/>
  <c r="K2291"/>
  <c r="I3020" s="1"/>
  <c r="K3020" s="1"/>
  <c r="K2290"/>
  <c r="K2289"/>
  <c r="K2287"/>
  <c r="K2286"/>
  <c r="K2285"/>
  <c r="K2283"/>
  <c r="K2282"/>
  <c r="K2281"/>
  <c r="K2280"/>
  <c r="K2277"/>
  <c r="K2276"/>
  <c r="K2275"/>
  <c r="K2273"/>
  <c r="L2270"/>
  <c r="K2269"/>
  <c r="K2268"/>
  <c r="K2267"/>
  <c r="K2266"/>
  <c r="K2265"/>
  <c r="K2264"/>
  <c r="K2263"/>
  <c r="K2262"/>
  <c r="K2261"/>
  <c r="L2260"/>
  <c r="L2259"/>
  <c r="M2255"/>
  <c r="K2248"/>
  <c r="I2247"/>
  <c r="K2247" s="1"/>
  <c r="I2246"/>
  <c r="K2246" s="1"/>
  <c r="I2245"/>
  <c r="K2245" s="1"/>
  <c r="I2244"/>
  <c r="K2244" s="1"/>
  <c r="I2221"/>
  <c r="K2221" s="1"/>
  <c r="K2225" s="1"/>
  <c r="K2212"/>
  <c r="K2216" s="1"/>
  <c r="I2212"/>
  <c r="I2202"/>
  <c r="K2202" s="1"/>
  <c r="K2206" s="1"/>
  <c r="J2197"/>
  <c r="K2197" s="1"/>
  <c r="K2200" s="1"/>
  <c r="I2189"/>
  <c r="K2189" s="1"/>
  <c r="K2193" s="1"/>
  <c r="I2176"/>
  <c r="K2176" s="1"/>
  <c r="H2174"/>
  <c r="I2163"/>
  <c r="K2163" s="1"/>
  <c r="R2151"/>
  <c r="I2149"/>
  <c r="I2144"/>
  <c r="K2144" s="1"/>
  <c r="I2129"/>
  <c r="K2129" s="1"/>
  <c r="I2124"/>
  <c r="K2124" s="1"/>
  <c r="I2116"/>
  <c r="K2116" s="1"/>
  <c r="K2119" s="1"/>
  <c r="I2104"/>
  <c r="K2104" s="1"/>
  <c r="K2096"/>
  <c r="K2095"/>
  <c r="I2094"/>
  <c r="K2094" s="1"/>
  <c r="I2093"/>
  <c r="K2093" s="1"/>
  <c r="I2076"/>
  <c r="K2076" s="1"/>
  <c r="I2075"/>
  <c r="K2075" s="1"/>
  <c r="I2074"/>
  <c r="K2074" s="1"/>
  <c r="I2073"/>
  <c r="K2073" s="1"/>
  <c r="I2052"/>
  <c r="K2052" s="1"/>
  <c r="I2051"/>
  <c r="K2051" s="1"/>
  <c r="K2050"/>
  <c r="I2049"/>
  <c r="K2049" s="1"/>
  <c r="P2032"/>
  <c r="I2024"/>
  <c r="P2024" s="1"/>
  <c r="R2024" s="1"/>
  <c r="P2014"/>
  <c r="K2005"/>
  <c r="I2005"/>
  <c r="P2006" s="1"/>
  <c r="R2006" s="1"/>
  <c r="P1996"/>
  <c r="P1990"/>
  <c r="P1988"/>
  <c r="I1986"/>
  <c r="P1986" s="1"/>
  <c r="R1986" s="1"/>
  <c r="P1975"/>
  <c r="I1968"/>
  <c r="N1943"/>
  <c r="K1941"/>
  <c r="K1939"/>
  <c r="I1936"/>
  <c r="K1936" s="1"/>
  <c r="K1925"/>
  <c r="K1922"/>
  <c r="I1922"/>
  <c r="I1923" s="1"/>
  <c r="K1923" s="1"/>
  <c r="I1909"/>
  <c r="K1909" s="1"/>
  <c r="P1908"/>
  <c r="P1909" s="1"/>
  <c r="R1909" s="1"/>
  <c r="I1908"/>
  <c r="K1908" s="1"/>
  <c r="I1907"/>
  <c r="K1907" s="1"/>
  <c r="P1897"/>
  <c r="I1895"/>
  <c r="I1896" s="1"/>
  <c r="K1896" s="1"/>
  <c r="R1890"/>
  <c r="R1889"/>
  <c r="R1887"/>
  <c r="K1887"/>
  <c r="I1887"/>
  <c r="K1886"/>
  <c r="I1878"/>
  <c r="I1879" s="1"/>
  <c r="K1879" s="1"/>
  <c r="P1877"/>
  <c r="P1878" s="1"/>
  <c r="R1878" s="1"/>
  <c r="I1870"/>
  <c r="I2765" s="1"/>
  <c r="P1866"/>
  <c r="P1865"/>
  <c r="P1896" s="1"/>
  <c r="P1864"/>
  <c r="P1895" s="1"/>
  <c r="R1859"/>
  <c r="R1858"/>
  <c r="P1857"/>
  <c r="P1888" s="1"/>
  <c r="K1848"/>
  <c r="I1843"/>
  <c r="K1843" s="1"/>
  <c r="I1842"/>
  <c r="K1842" s="1"/>
  <c r="I1840"/>
  <c r="P1856" s="1"/>
  <c r="R1856" s="1"/>
  <c r="K1830"/>
  <c r="K1825"/>
  <c r="I1825"/>
  <c r="I1824"/>
  <c r="K1824" s="1"/>
  <c r="K1822"/>
  <c r="I1822"/>
  <c r="K1812"/>
  <c r="I1807"/>
  <c r="I2738" s="1"/>
  <c r="K2738" s="1"/>
  <c r="I1806"/>
  <c r="I2737" s="1"/>
  <c r="K2737" s="1"/>
  <c r="I1804"/>
  <c r="K1804" s="1"/>
  <c r="K1797"/>
  <c r="K1796"/>
  <c r="C100" i="5" s="1"/>
  <c r="D63" i="4" s="1"/>
  <c r="K1793" i="7"/>
  <c r="K1786"/>
  <c r="I1785"/>
  <c r="K1785" s="1"/>
  <c r="I1770"/>
  <c r="K1770" s="1"/>
  <c r="I1769"/>
  <c r="K1769" s="1"/>
  <c r="K1768"/>
  <c r="K1756"/>
  <c r="K1755"/>
  <c r="K1754"/>
  <c r="K1751"/>
  <c r="K1723"/>
  <c r="K1722"/>
  <c r="K1721"/>
  <c r="AE1695"/>
  <c r="AE1694"/>
  <c r="K1694"/>
  <c r="AE1693"/>
  <c r="AE1692"/>
  <c r="AE1691"/>
  <c r="AE1690"/>
  <c r="AE1689"/>
  <c r="AE1688"/>
  <c r="AE1687"/>
  <c r="K1687"/>
  <c r="K1690" s="1"/>
  <c r="AE1686"/>
  <c r="AE1685"/>
  <c r="AE1684"/>
  <c r="AE1683"/>
  <c r="AE1682"/>
  <c r="AE1681"/>
  <c r="AE1680"/>
  <c r="K1680"/>
  <c r="AE1679"/>
  <c r="AE1678"/>
  <c r="K1678"/>
  <c r="K1682" s="1"/>
  <c r="AE1677"/>
  <c r="AE1676"/>
  <c r="AE1675"/>
  <c r="AE1674"/>
  <c r="AE1673"/>
  <c r="AE1672"/>
  <c r="AE1671"/>
  <c r="AE1670"/>
  <c r="AE1669"/>
  <c r="AE1668"/>
  <c r="AE1667"/>
  <c r="K1667"/>
  <c r="AE1666"/>
  <c r="K1666"/>
  <c r="AE1665"/>
  <c r="AE1664"/>
  <c r="AE1663"/>
  <c r="AE1662"/>
  <c r="AE1661"/>
  <c r="AE1660"/>
  <c r="AE1659"/>
  <c r="AE1658"/>
  <c r="AE1657"/>
  <c r="AE1656"/>
  <c r="AE1655"/>
  <c r="AE1654"/>
  <c r="AE1653"/>
  <c r="AE1652"/>
  <c r="AE1651"/>
  <c r="AE1650"/>
  <c r="AE1649"/>
  <c r="AE1648"/>
  <c r="AE1647"/>
  <c r="AE1646"/>
  <c r="AE1645"/>
  <c r="AE1644"/>
  <c r="AE1643"/>
  <c r="AE1642"/>
  <c r="AE1641"/>
  <c r="AE1640"/>
  <c r="S1640"/>
  <c r="AE1639"/>
  <c r="AE1638"/>
  <c r="AE1637"/>
  <c r="AE1636"/>
  <c r="AE1635"/>
  <c r="R1635"/>
  <c r="AE1634"/>
  <c r="P1634"/>
  <c r="AE1633"/>
  <c r="AE1632"/>
  <c r="Q1632"/>
  <c r="AE1631"/>
  <c r="R1631"/>
  <c r="Q1631"/>
  <c r="AE1630"/>
  <c r="Q1630"/>
  <c r="I1630"/>
  <c r="AE1629"/>
  <c r="R1629"/>
  <c r="Q1629"/>
  <c r="I1629"/>
  <c r="K1629" s="1"/>
  <c r="AE1628"/>
  <c r="Q1628"/>
  <c r="I1628"/>
  <c r="P1630" s="1"/>
  <c r="R1630" s="1"/>
  <c r="AE1627"/>
  <c r="I1627"/>
  <c r="K1627" s="1"/>
  <c r="AE1626"/>
  <c r="I1626"/>
  <c r="P1628" s="1"/>
  <c r="R1628" s="1"/>
  <c r="AE1625"/>
  <c r="AE1624"/>
  <c r="AE1623"/>
  <c r="AE1622"/>
  <c r="AE1621"/>
  <c r="AE1620"/>
  <c r="AE1619"/>
  <c r="AE1618"/>
  <c r="AE1617"/>
  <c r="AE1616"/>
  <c r="AE1615"/>
  <c r="O1615"/>
  <c r="AE1614"/>
  <c r="I1614"/>
  <c r="K1614" s="1"/>
  <c r="AE1613"/>
  <c r="AE1612"/>
  <c r="AE1611"/>
  <c r="AE1610"/>
  <c r="AE1609"/>
  <c r="AE1608"/>
  <c r="AE1607"/>
  <c r="AE1606"/>
  <c r="AE1605"/>
  <c r="AE1604"/>
  <c r="AE1603"/>
  <c r="P1603"/>
  <c r="P1615" s="1"/>
  <c r="R1615" s="1"/>
  <c r="AE1602"/>
  <c r="AE1601"/>
  <c r="AE1600"/>
  <c r="AE1599"/>
  <c r="AE1598"/>
  <c r="AE1597"/>
  <c r="AE1596"/>
  <c r="AE1595"/>
  <c r="AE1594"/>
  <c r="AE1593"/>
  <c r="AE1592"/>
  <c r="AE1591"/>
  <c r="K1591"/>
  <c r="AE1590"/>
  <c r="AE1589"/>
  <c r="AE1588"/>
  <c r="AE1587"/>
  <c r="I1587"/>
  <c r="I1602" s="1"/>
  <c r="K1602" s="1"/>
  <c r="AE1586"/>
  <c r="AE1585"/>
  <c r="AE1584"/>
  <c r="AE1583"/>
  <c r="AE1582"/>
  <c r="AE1581"/>
  <c r="AE1580"/>
  <c r="AE1579"/>
  <c r="AE1578"/>
  <c r="K1578"/>
  <c r="AE1577"/>
  <c r="AE1576"/>
  <c r="AE1575"/>
  <c r="AE1574"/>
  <c r="I1574"/>
  <c r="K1574" s="1"/>
  <c r="AE1573"/>
  <c r="AE1572"/>
  <c r="AE1571"/>
  <c r="AE1570"/>
  <c r="AE1569"/>
  <c r="AE1568"/>
  <c r="AE1567"/>
  <c r="AE1566"/>
  <c r="AE1565"/>
  <c r="AE1564"/>
  <c r="AE1563"/>
  <c r="I1563"/>
  <c r="K1563" s="1"/>
  <c r="AE1562"/>
  <c r="K1562"/>
  <c r="AE1561"/>
  <c r="AE1560"/>
  <c r="AE1559"/>
  <c r="I1559"/>
  <c r="K1559" s="1"/>
  <c r="AE1558"/>
  <c r="AE1557"/>
  <c r="AE1556"/>
  <c r="AE1555"/>
  <c r="AE1554"/>
  <c r="AE1553"/>
  <c r="AE1552"/>
  <c r="AE1551"/>
  <c r="AE1550"/>
  <c r="AE1549"/>
  <c r="AE1548"/>
  <c r="AE1547"/>
  <c r="I1547"/>
  <c r="AE1546"/>
  <c r="AE1545"/>
  <c r="AE1544"/>
  <c r="AE1543"/>
  <c r="AE1542"/>
  <c r="AE1541"/>
  <c r="AE1540"/>
  <c r="AE1539"/>
  <c r="AE1538"/>
  <c r="P1538"/>
  <c r="R1538" s="1"/>
  <c r="AE1537"/>
  <c r="AE1536"/>
  <c r="AE1535"/>
  <c r="AE1534"/>
  <c r="I1534"/>
  <c r="AE1533"/>
  <c r="AE1532"/>
  <c r="I1532"/>
  <c r="K1532" s="1"/>
  <c r="AE1531"/>
  <c r="AE1530"/>
  <c r="AE1529"/>
  <c r="AE1528"/>
  <c r="AE1527"/>
  <c r="AE1526"/>
  <c r="AE1525"/>
  <c r="AE1524"/>
  <c r="AE1523"/>
  <c r="AE1522"/>
  <c r="AE1521"/>
  <c r="R1521"/>
  <c r="AE1520"/>
  <c r="AE1519"/>
  <c r="AE1518"/>
  <c r="AE1517"/>
  <c r="I1517"/>
  <c r="K1517" s="1"/>
  <c r="AE1516"/>
  <c r="AE1515"/>
  <c r="AE1514"/>
  <c r="AE1513"/>
  <c r="AE1512"/>
  <c r="AE1511"/>
  <c r="AE1510"/>
  <c r="AE1509"/>
  <c r="AE1508"/>
  <c r="AE1507"/>
  <c r="AE1506"/>
  <c r="AE1505"/>
  <c r="I1505"/>
  <c r="AE1504"/>
  <c r="AE1503"/>
  <c r="AE1502"/>
  <c r="AE1501"/>
  <c r="AE1500"/>
  <c r="M1500"/>
  <c r="AE1499"/>
  <c r="AE1498"/>
  <c r="AE1497"/>
  <c r="AE1496"/>
  <c r="O1496"/>
  <c r="AE1495"/>
  <c r="O1495"/>
  <c r="AE1494"/>
  <c r="O1494"/>
  <c r="AE1493"/>
  <c r="AE1492"/>
  <c r="AE1491"/>
  <c r="AE1490"/>
  <c r="AE1489"/>
  <c r="AE1488"/>
  <c r="AE1487"/>
  <c r="AE1486"/>
  <c r="AE1485"/>
  <c r="AE1484"/>
  <c r="AE1483"/>
  <c r="AE1482"/>
  <c r="U1482"/>
  <c r="S1482"/>
  <c r="T1482" s="1"/>
  <c r="AE1481"/>
  <c r="AE1480"/>
  <c r="AE1479"/>
  <c r="AE1478"/>
  <c r="AE1477"/>
  <c r="AE1476"/>
  <c r="AE1475"/>
  <c r="AE1474"/>
  <c r="AE1473"/>
  <c r="AE1472"/>
  <c r="AE1471"/>
  <c r="AE1470"/>
  <c r="AE1469"/>
  <c r="AE1468"/>
  <c r="AE1467"/>
  <c r="AE1466"/>
  <c r="AE1465"/>
  <c r="AE1464"/>
  <c r="AE1463"/>
  <c r="AE1462"/>
  <c r="AE1461"/>
  <c r="AE1460"/>
  <c r="AE1459"/>
  <c r="AE1458"/>
  <c r="AE1457"/>
  <c r="AE1456"/>
  <c r="AE1455"/>
  <c r="AE1454"/>
  <c r="S1454"/>
  <c r="AE1453"/>
  <c r="AE1452"/>
  <c r="M1452"/>
  <c r="AE1451"/>
  <c r="AE1450"/>
  <c r="AE1449"/>
  <c r="AE1448"/>
  <c r="AE1447"/>
  <c r="AE1446"/>
  <c r="AE1445"/>
  <c r="AE1444"/>
  <c r="AE1443"/>
  <c r="AE1442"/>
  <c r="AE1441"/>
  <c r="AE1440"/>
  <c r="AE1439"/>
  <c r="AE1438"/>
  <c r="AE1437"/>
  <c r="I1437"/>
  <c r="K1437" s="1"/>
  <c r="AE1436"/>
  <c r="AE1435"/>
  <c r="AE1434"/>
  <c r="AE1433"/>
  <c r="U1433"/>
  <c r="AE1432"/>
  <c r="AE1431"/>
  <c r="AE1430"/>
  <c r="S1430"/>
  <c r="AE1429"/>
  <c r="X1429"/>
  <c r="AE1428"/>
  <c r="X1428"/>
  <c r="AE1427"/>
  <c r="X1427"/>
  <c r="AE1426"/>
  <c r="AE1425"/>
  <c r="AE1424"/>
  <c r="AE1423"/>
  <c r="AE1422"/>
  <c r="AE1421"/>
  <c r="AE1420"/>
  <c r="AE1419"/>
  <c r="Y1419"/>
  <c r="L1419"/>
  <c r="AE1418"/>
  <c r="R1418"/>
  <c r="P1418"/>
  <c r="P1435" s="1"/>
  <c r="AE1417"/>
  <c r="Y1417"/>
  <c r="R1417"/>
  <c r="P1417"/>
  <c r="P1434" s="1"/>
  <c r="AE1416"/>
  <c r="P1416"/>
  <c r="P1433" s="1"/>
  <c r="AE1415"/>
  <c r="AE1414"/>
  <c r="P1414"/>
  <c r="P1431" s="1"/>
  <c r="AE1413"/>
  <c r="P1413"/>
  <c r="P1430" s="1"/>
  <c r="AE1412"/>
  <c r="P1412"/>
  <c r="AE1411"/>
  <c r="AE1410"/>
  <c r="AE1409"/>
  <c r="AE1408"/>
  <c r="P1408"/>
  <c r="P1425" s="1"/>
  <c r="AE1407"/>
  <c r="AE1406"/>
  <c r="S1406"/>
  <c r="AE1405"/>
  <c r="S1405"/>
  <c r="AE1404"/>
  <c r="S1404"/>
  <c r="L1404"/>
  <c r="AE1403"/>
  <c r="S1403"/>
  <c r="AE1402"/>
  <c r="S1402"/>
  <c r="AE1401"/>
  <c r="R1401"/>
  <c r="AE1400"/>
  <c r="R1400"/>
  <c r="AE1399"/>
  <c r="R1399"/>
  <c r="AE1398"/>
  <c r="AE1397"/>
  <c r="R1397"/>
  <c r="AE1396"/>
  <c r="R1396"/>
  <c r="AE1395"/>
  <c r="R1395"/>
  <c r="AE1394"/>
  <c r="P1394"/>
  <c r="P1411" s="1"/>
  <c r="AE1393"/>
  <c r="P1393"/>
  <c r="AE1392"/>
  <c r="P1392"/>
  <c r="P1409" s="1"/>
  <c r="AE1391"/>
  <c r="R1391"/>
  <c r="AE1390"/>
  <c r="AE1389"/>
  <c r="AE1388"/>
  <c r="AE1387"/>
  <c r="AE1386"/>
  <c r="AE1385"/>
  <c r="AE1384"/>
  <c r="AE1383"/>
  <c r="AE1382"/>
  <c r="AE1381"/>
  <c r="AE1380"/>
  <c r="AE1379"/>
  <c r="V1379"/>
  <c r="V1396" s="1"/>
  <c r="AE1378"/>
  <c r="V1378"/>
  <c r="K1378"/>
  <c r="I1378"/>
  <c r="AE1377"/>
  <c r="V1377"/>
  <c r="V1394" s="1"/>
  <c r="AE1376"/>
  <c r="AE1375"/>
  <c r="V1375"/>
  <c r="V1392" s="1"/>
  <c r="I1375"/>
  <c r="K1375" s="1"/>
  <c r="AE1374"/>
  <c r="V1374"/>
  <c r="V1391" s="1"/>
  <c r="AE1373"/>
  <c r="AE1372"/>
  <c r="P1372"/>
  <c r="R1372" s="1"/>
  <c r="AE1371"/>
  <c r="AE1370"/>
  <c r="AE1369"/>
  <c r="V1369"/>
  <c r="V1386" s="1"/>
  <c r="AE1368"/>
  <c r="AE1367"/>
  <c r="AE1366"/>
  <c r="AE1365"/>
  <c r="AE1364"/>
  <c r="AE1363"/>
  <c r="AE1362"/>
  <c r="X1362"/>
  <c r="V1362"/>
  <c r="AE1361"/>
  <c r="V1361"/>
  <c r="AE1360"/>
  <c r="AB1360"/>
  <c r="V1360"/>
  <c r="X1360" s="1"/>
  <c r="AE1359"/>
  <c r="AE1358"/>
  <c r="AB1358"/>
  <c r="V1358"/>
  <c r="X1358" s="1"/>
  <c r="AE1357"/>
  <c r="V1357"/>
  <c r="AE1356"/>
  <c r="AB1356"/>
  <c r="V1356"/>
  <c r="I1356"/>
  <c r="K1356" s="1"/>
  <c r="AE1355"/>
  <c r="X1355"/>
  <c r="V1355"/>
  <c r="R1355"/>
  <c r="AE1354"/>
  <c r="AE1353"/>
  <c r="AB1353"/>
  <c r="V1353"/>
  <c r="R1353"/>
  <c r="AE1352"/>
  <c r="V1352"/>
  <c r="X1352" s="1"/>
  <c r="AE1351"/>
  <c r="AE1350"/>
  <c r="AB1350"/>
  <c r="AE1349"/>
  <c r="AE1348"/>
  <c r="AE1347"/>
  <c r="Y1347"/>
  <c r="AE1346"/>
  <c r="AE1345"/>
  <c r="AE1344"/>
  <c r="AE1343"/>
  <c r="AE1342"/>
  <c r="X1342"/>
  <c r="AE1341"/>
  <c r="X1341"/>
  <c r="AE1340"/>
  <c r="X1340"/>
  <c r="AE1339"/>
  <c r="X1339"/>
  <c r="V1339"/>
  <c r="AE1338"/>
  <c r="X1338"/>
  <c r="AE1337"/>
  <c r="AE1336"/>
  <c r="AE1335"/>
  <c r="AE1334"/>
  <c r="AE1333"/>
  <c r="AE1332"/>
  <c r="R1332"/>
  <c r="AE1331"/>
  <c r="X1331"/>
  <c r="AE1330"/>
  <c r="AE1329"/>
  <c r="AE1328"/>
  <c r="AE1327"/>
  <c r="AE1326"/>
  <c r="AE1325"/>
  <c r="AE1324"/>
  <c r="X1324"/>
  <c r="V1324"/>
  <c r="AE1323"/>
  <c r="AE1322"/>
  <c r="AE1321"/>
  <c r="AE1320"/>
  <c r="P1320"/>
  <c r="AE1319"/>
  <c r="R1319"/>
  <c r="AE1318"/>
  <c r="V1318"/>
  <c r="X1318" s="1"/>
  <c r="AE1317"/>
  <c r="AE1316"/>
  <c r="AE1315"/>
  <c r="AE1314"/>
  <c r="AE1313"/>
  <c r="AE1312"/>
  <c r="AE1311"/>
  <c r="AE1310"/>
  <c r="AE1309"/>
  <c r="AE1308"/>
  <c r="AE1307"/>
  <c r="AE1306"/>
  <c r="P1306"/>
  <c r="R1306" s="1"/>
  <c r="AE1305"/>
  <c r="V1305"/>
  <c r="V1325" s="1"/>
  <c r="AE1304"/>
  <c r="X1304"/>
  <c r="AE1303"/>
  <c r="AE1302"/>
  <c r="AE1301"/>
  <c r="AE1300"/>
  <c r="R1300"/>
  <c r="AE1299"/>
  <c r="AE1298"/>
  <c r="X1298"/>
  <c r="AE1297"/>
  <c r="AE1296"/>
  <c r="AE1295"/>
  <c r="AE1294"/>
  <c r="AE1293"/>
  <c r="AE1292"/>
  <c r="AE1291"/>
  <c r="AE1290"/>
  <c r="AE1289"/>
  <c r="AE1288"/>
  <c r="AE1287"/>
  <c r="AE1286"/>
  <c r="AE1285"/>
  <c r="V1285"/>
  <c r="X1285" s="1"/>
  <c r="AE1284"/>
  <c r="AE1283"/>
  <c r="K1283"/>
  <c r="AE1282"/>
  <c r="AE1281"/>
  <c r="AE1280"/>
  <c r="AE1279"/>
  <c r="V1279"/>
  <c r="AE1278"/>
  <c r="AE1277"/>
  <c r="X1277"/>
  <c r="AE1276"/>
  <c r="AE1275"/>
  <c r="AE1274"/>
  <c r="AE1273"/>
  <c r="AE1272"/>
  <c r="AE1271"/>
  <c r="AE1270"/>
  <c r="I1270"/>
  <c r="K1270" s="1"/>
  <c r="AE1269"/>
  <c r="K1269"/>
  <c r="AE1268"/>
  <c r="AE1267"/>
  <c r="AD1267"/>
  <c r="AE1266"/>
  <c r="AC1266"/>
  <c r="AE1265"/>
  <c r="AC1265"/>
  <c r="AE1264"/>
  <c r="AC1264"/>
  <c r="P1264"/>
  <c r="AE1263"/>
  <c r="AC1263"/>
  <c r="AB1263"/>
  <c r="AD1263" s="1"/>
  <c r="AE1262"/>
  <c r="AC1262"/>
  <c r="AB1262"/>
  <c r="AD1262" s="1"/>
  <c r="AE1261"/>
  <c r="AE1260"/>
  <c r="AE1259"/>
  <c r="AE1258"/>
  <c r="R1257"/>
  <c r="AE1256"/>
  <c r="K1256"/>
  <c r="AE1255"/>
  <c r="AE1254"/>
  <c r="AE1253"/>
  <c r="AB1253"/>
  <c r="AE1252"/>
  <c r="AE1251"/>
  <c r="AE1250"/>
  <c r="AE1249"/>
  <c r="AD1249"/>
  <c r="AE1248"/>
  <c r="I1248"/>
  <c r="K1248" s="1"/>
  <c r="AE1247"/>
  <c r="AE1246"/>
  <c r="AE1245"/>
  <c r="AE1244"/>
  <c r="AE1243"/>
  <c r="AE1242"/>
  <c r="AE1241"/>
  <c r="AD1241"/>
  <c r="AE1240"/>
  <c r="AE1239"/>
  <c r="AE1238"/>
  <c r="AE1237"/>
  <c r="X1237"/>
  <c r="AE1236"/>
  <c r="AE1235"/>
  <c r="AE1234"/>
  <c r="R1234"/>
  <c r="AE1233"/>
  <c r="I1233"/>
  <c r="K1233" s="1"/>
  <c r="AE1232"/>
  <c r="I1232"/>
  <c r="K1232" s="1"/>
  <c r="AE1231"/>
  <c r="I1231"/>
  <c r="K1231" s="1"/>
  <c r="AE1230"/>
  <c r="AE1229"/>
  <c r="AE1228"/>
  <c r="AE1227"/>
  <c r="AE1226"/>
  <c r="AB1226"/>
  <c r="S1226"/>
  <c r="AE1225"/>
  <c r="AB1225"/>
  <c r="AE1224"/>
  <c r="AE1223"/>
  <c r="AE1222"/>
  <c r="P1222"/>
  <c r="R1222" s="1"/>
  <c r="T1222" s="1"/>
  <c r="AE1221"/>
  <c r="AB1221"/>
  <c r="AD1221" s="1"/>
  <c r="AE1220"/>
  <c r="AE1219"/>
  <c r="AE1218"/>
  <c r="AE1217"/>
  <c r="AE1216"/>
  <c r="AE1215"/>
  <c r="AB1215"/>
  <c r="T1215"/>
  <c r="R1215"/>
  <c r="AE1214"/>
  <c r="AE1213"/>
  <c r="AD1213"/>
  <c r="AE1212"/>
  <c r="AC1212"/>
  <c r="AE1211"/>
  <c r="AE1210"/>
  <c r="AE1209"/>
  <c r="AE1203"/>
  <c r="AE1202"/>
  <c r="AC1198"/>
  <c r="AC1197"/>
  <c r="AJ1197" s="1"/>
  <c r="K1193"/>
  <c r="AE1191"/>
  <c r="K1191"/>
  <c r="AE1190"/>
  <c r="AE1189"/>
  <c r="AK1188"/>
  <c r="AE1188"/>
  <c r="AD1188"/>
  <c r="AE1187"/>
  <c r="AE1186"/>
  <c r="AE1185"/>
  <c r="AE1184"/>
  <c r="AE1183"/>
  <c r="AE1182"/>
  <c r="T1182"/>
  <c r="S1182"/>
  <c r="AE1181"/>
  <c r="AE1180"/>
  <c r="AE1179"/>
  <c r="AE1178"/>
  <c r="K1178"/>
  <c r="AE1177"/>
  <c r="K1177"/>
  <c r="AE1176"/>
  <c r="Q1176"/>
  <c r="K1176"/>
  <c r="AE1175"/>
  <c r="AE1174"/>
  <c r="AE1173"/>
  <c r="AE1172"/>
  <c r="AE1171"/>
  <c r="AE1170"/>
  <c r="AE1169"/>
  <c r="AE1168"/>
  <c r="AE1167"/>
  <c r="AE1166"/>
  <c r="AE1165"/>
  <c r="AE1164"/>
  <c r="AE1163"/>
  <c r="AE1162"/>
  <c r="AE1161"/>
  <c r="AE1160"/>
  <c r="I1160"/>
  <c r="K1160" s="1"/>
  <c r="AE1159"/>
  <c r="I1159"/>
  <c r="K1159" s="1"/>
  <c r="AE1158"/>
  <c r="T1158"/>
  <c r="S1158"/>
  <c r="AE1157"/>
  <c r="AE1156"/>
  <c r="AE1155"/>
  <c r="AE1154"/>
  <c r="AE1153"/>
  <c r="X1153"/>
  <c r="AE1152"/>
  <c r="AE1151"/>
  <c r="P1151"/>
  <c r="AE1150"/>
  <c r="P1150"/>
  <c r="AE1149"/>
  <c r="P1149"/>
  <c r="AE1147"/>
  <c r="AE1146"/>
  <c r="I1146"/>
  <c r="K1146" s="1"/>
  <c r="AE1145"/>
  <c r="I1145"/>
  <c r="K1145" s="1"/>
  <c r="AE1144"/>
  <c r="AE1143"/>
  <c r="AE1142"/>
  <c r="Q1142"/>
  <c r="AE1141"/>
  <c r="AE1140"/>
  <c r="AE1139"/>
  <c r="AE1138"/>
  <c r="AE1137"/>
  <c r="AE1136"/>
  <c r="AE1135"/>
  <c r="K1135"/>
  <c r="AE1134"/>
  <c r="K1134"/>
  <c r="AE1133"/>
  <c r="I1133"/>
  <c r="K1133" s="1"/>
  <c r="AE1132"/>
  <c r="I1132"/>
  <c r="K1132" s="1"/>
  <c r="AE1131"/>
  <c r="AE1130"/>
  <c r="K1130"/>
  <c r="AE1129"/>
  <c r="AE1128"/>
  <c r="AE1127"/>
  <c r="AE1126"/>
  <c r="AE1125"/>
  <c r="AE1124"/>
  <c r="AE1123"/>
  <c r="AE1122"/>
  <c r="AE1121"/>
  <c r="AE1120"/>
  <c r="AE1119"/>
  <c r="AE1118"/>
  <c r="AE1116"/>
  <c r="AE1115"/>
  <c r="AE1114"/>
  <c r="AE1113"/>
  <c r="AE1112"/>
  <c r="AE1111"/>
  <c r="AE1110"/>
  <c r="AE1109"/>
  <c r="AE1108"/>
  <c r="AE1107"/>
  <c r="K1107"/>
  <c r="I1107"/>
  <c r="AE1106"/>
  <c r="I1106"/>
  <c r="K1106" s="1"/>
  <c r="AE1105"/>
  <c r="K1105"/>
  <c r="I1105"/>
  <c r="AE1104"/>
  <c r="AE1103"/>
  <c r="I1103"/>
  <c r="K1103" s="1"/>
  <c r="AE1101"/>
  <c r="AE1100"/>
  <c r="AE1099"/>
  <c r="AE1098"/>
  <c r="AE1097"/>
  <c r="AE1096"/>
  <c r="AE1095"/>
  <c r="AE1094"/>
  <c r="AE1093"/>
  <c r="AE1092"/>
  <c r="R1092"/>
  <c r="I1092"/>
  <c r="K1092" s="1"/>
  <c r="AE1091"/>
  <c r="AE1090"/>
  <c r="I1090"/>
  <c r="K1090" s="1"/>
  <c r="AE1089"/>
  <c r="I1089"/>
  <c r="K1089" s="1"/>
  <c r="AE1088"/>
  <c r="AE1087"/>
  <c r="I1087"/>
  <c r="K1087" s="1"/>
  <c r="H1087"/>
  <c r="H1103" s="1"/>
  <c r="AE1086"/>
  <c r="AE1085"/>
  <c r="AE1084"/>
  <c r="AE1083"/>
  <c r="AE1082"/>
  <c r="AE1081"/>
  <c r="AE1080"/>
  <c r="AE1079"/>
  <c r="AE1078"/>
  <c r="AE1077"/>
  <c r="I1077"/>
  <c r="K1077" s="1"/>
  <c r="I1075"/>
  <c r="K1075" s="1"/>
  <c r="I1074"/>
  <c r="K1074" s="1"/>
  <c r="K1072"/>
  <c r="AE1068"/>
  <c r="AG1068" s="1"/>
  <c r="I1062"/>
  <c r="I1061"/>
  <c r="AE1070" s="1"/>
  <c r="AG1070" s="1"/>
  <c r="I1060"/>
  <c r="AE1069" s="1"/>
  <c r="AG1069" s="1"/>
  <c r="I1059"/>
  <c r="K1059" s="1"/>
  <c r="I1058"/>
  <c r="I1057"/>
  <c r="I1055"/>
  <c r="P1054"/>
  <c r="R1054" s="1"/>
  <c r="P1052"/>
  <c r="R1052" s="1"/>
  <c r="P1050"/>
  <c r="R1050" s="1"/>
  <c r="P1048"/>
  <c r="R1048" s="1"/>
  <c r="AE1041"/>
  <c r="AE1040"/>
  <c r="AE1039"/>
  <c r="AE1038"/>
  <c r="AE1037"/>
  <c r="AE1036"/>
  <c r="AE1034"/>
  <c r="AE1033"/>
  <c r="AE1032"/>
  <c r="AE1031"/>
  <c r="AE1030"/>
  <c r="AE1029"/>
  <c r="AE1028"/>
  <c r="AE1027"/>
  <c r="AE1026"/>
  <c r="AE1025"/>
  <c r="I1025"/>
  <c r="AE1024"/>
  <c r="I1024"/>
  <c r="AE1023"/>
  <c r="I1023"/>
  <c r="AE1022"/>
  <c r="K1022"/>
  <c r="I1022"/>
  <c r="P1096" s="1"/>
  <c r="P1117" s="1"/>
  <c r="R1117" s="1"/>
  <c r="AE1021"/>
  <c r="I1021"/>
  <c r="K1021" s="1"/>
  <c r="AE1020"/>
  <c r="K1020"/>
  <c r="I1020"/>
  <c r="P1094" s="1"/>
  <c r="AE1019"/>
  <c r="AE1018"/>
  <c r="AE1017"/>
  <c r="AE1016"/>
  <c r="AE1015"/>
  <c r="AE1014"/>
  <c r="AE1013"/>
  <c r="AE1012"/>
  <c r="AE1011"/>
  <c r="AE1010"/>
  <c r="AE1009"/>
  <c r="AE1008"/>
  <c r="AE1007"/>
  <c r="AE1006"/>
  <c r="AE1004"/>
  <c r="AE1003"/>
  <c r="AE1002"/>
  <c r="AE1001"/>
  <c r="AE1000"/>
  <c r="AE999"/>
  <c r="AE998"/>
  <c r="AE997"/>
  <c r="AE996"/>
  <c r="I996"/>
  <c r="AE995"/>
  <c r="K995"/>
  <c r="I995"/>
  <c r="I2843" s="1"/>
  <c r="AE994"/>
  <c r="I994"/>
  <c r="AE993"/>
  <c r="P993"/>
  <c r="R993" s="1"/>
  <c r="I993"/>
  <c r="AE992"/>
  <c r="I992"/>
  <c r="AE991"/>
  <c r="K991"/>
  <c r="I991"/>
  <c r="I2839" s="1"/>
  <c r="AE990"/>
  <c r="I990"/>
  <c r="AE989"/>
  <c r="AE988"/>
  <c r="AE987"/>
  <c r="AE986"/>
  <c r="AE985"/>
  <c r="AE984"/>
  <c r="AE983"/>
  <c r="AE982"/>
  <c r="AE981"/>
  <c r="AE980"/>
  <c r="AE979"/>
  <c r="AE978"/>
  <c r="AE977"/>
  <c r="AE976"/>
  <c r="AE975"/>
  <c r="AE974"/>
  <c r="AE973"/>
  <c r="AE972"/>
  <c r="AE971"/>
  <c r="AE970"/>
  <c r="AE969"/>
  <c r="AE968"/>
  <c r="AE967"/>
  <c r="AE966"/>
  <c r="AE965"/>
  <c r="AE964"/>
  <c r="AE963"/>
  <c r="AE962"/>
  <c r="AE961"/>
  <c r="K961"/>
  <c r="AE960"/>
  <c r="K960"/>
  <c r="I960"/>
  <c r="AE959"/>
  <c r="I959"/>
  <c r="AE958"/>
  <c r="I958"/>
  <c r="K958" s="1"/>
  <c r="AE957"/>
  <c r="K957"/>
  <c r="I957"/>
  <c r="AE956"/>
  <c r="I956"/>
  <c r="K956" s="1"/>
  <c r="AE955"/>
  <c r="I955"/>
  <c r="AE954"/>
  <c r="AE953"/>
  <c r="P953"/>
  <c r="AE952"/>
  <c r="AE951"/>
  <c r="P951"/>
  <c r="R951" s="1"/>
  <c r="AE950"/>
  <c r="R950"/>
  <c r="P950"/>
  <c r="AE949"/>
  <c r="P949"/>
  <c r="R949" s="1"/>
  <c r="AE948"/>
  <c r="AE947"/>
  <c r="AE946"/>
  <c r="AE945"/>
  <c r="AE944"/>
  <c r="AE943"/>
  <c r="AE942"/>
  <c r="AE941"/>
  <c r="AE940"/>
  <c r="AE939"/>
  <c r="AE938"/>
  <c r="AE937"/>
  <c r="AE936"/>
  <c r="AE935"/>
  <c r="AE934"/>
  <c r="AE933"/>
  <c r="AE932"/>
  <c r="AE931"/>
  <c r="AE930"/>
  <c r="AE929"/>
  <c r="AE928"/>
  <c r="AE927"/>
  <c r="AE926"/>
  <c r="AE925"/>
  <c r="AE924"/>
  <c r="AE923"/>
  <c r="AE922"/>
  <c r="AE921"/>
  <c r="AE920"/>
  <c r="AE919"/>
  <c r="AE918"/>
  <c r="AE917"/>
  <c r="AE916"/>
  <c r="AE915"/>
  <c r="AE914"/>
  <c r="AE913"/>
  <c r="AE912"/>
  <c r="AE911"/>
  <c r="AE910"/>
  <c r="AE909"/>
  <c r="AE908"/>
  <c r="AE907"/>
  <c r="AE906"/>
  <c r="AE905"/>
  <c r="AE904"/>
  <c r="R904"/>
  <c r="AE903"/>
  <c r="R903"/>
  <c r="AE902"/>
  <c r="R902"/>
  <c r="R908" s="1"/>
  <c r="AE901"/>
  <c r="K901"/>
  <c r="H901"/>
  <c r="AE900"/>
  <c r="AE899"/>
  <c r="AE898"/>
  <c r="AE897"/>
  <c r="H897"/>
  <c r="AE896"/>
  <c r="AE895"/>
  <c r="AE894"/>
  <c r="AE893"/>
  <c r="AE892"/>
  <c r="AE891"/>
  <c r="AE890"/>
  <c r="AE889"/>
  <c r="AE888"/>
  <c r="AE887"/>
  <c r="AE886"/>
  <c r="AE885"/>
  <c r="V885"/>
  <c r="V901" s="1"/>
  <c r="X901" s="1"/>
  <c r="K885"/>
  <c r="AE884"/>
  <c r="AE883"/>
  <c r="AE882"/>
  <c r="V882"/>
  <c r="I882"/>
  <c r="AE881"/>
  <c r="I881"/>
  <c r="AE880"/>
  <c r="R880"/>
  <c r="K880"/>
  <c r="I880"/>
  <c r="I896" s="1"/>
  <c r="K896" s="1"/>
  <c r="AE879"/>
  <c r="V879"/>
  <c r="R879"/>
  <c r="K879"/>
  <c r="I879"/>
  <c r="I895" s="1"/>
  <c r="K895" s="1"/>
  <c r="AE878"/>
  <c r="R878"/>
  <c r="AE877"/>
  <c r="R877"/>
  <c r="AE876"/>
  <c r="R876"/>
  <c r="AE875"/>
  <c r="R875"/>
  <c r="AE874"/>
  <c r="P874"/>
  <c r="R874" s="1"/>
  <c r="AE873"/>
  <c r="AE872"/>
  <c r="AE871"/>
  <c r="AE870"/>
  <c r="AE869"/>
  <c r="AE868"/>
  <c r="AE867"/>
  <c r="X867"/>
  <c r="V867"/>
  <c r="K867"/>
  <c r="AE866"/>
  <c r="AE865"/>
  <c r="AE864"/>
  <c r="V864"/>
  <c r="X864" s="1"/>
  <c r="K864"/>
  <c r="AE863"/>
  <c r="V863"/>
  <c r="X863" s="1"/>
  <c r="K863"/>
  <c r="AE862"/>
  <c r="V862"/>
  <c r="X862" s="1"/>
  <c r="P862"/>
  <c r="K862"/>
  <c r="AE861"/>
  <c r="V861"/>
  <c r="X861" s="1"/>
  <c r="K861"/>
  <c r="AE860"/>
  <c r="P860"/>
  <c r="R860" s="1"/>
  <c r="AE859"/>
  <c r="AE858"/>
  <c r="AE857"/>
  <c r="P857"/>
  <c r="R857" s="1"/>
  <c r="AE856"/>
  <c r="R856"/>
  <c r="P856"/>
  <c r="AE855"/>
  <c r="P855"/>
  <c r="R855" s="1"/>
  <c r="AE854"/>
  <c r="P854"/>
  <c r="R854" s="1"/>
  <c r="AE853"/>
  <c r="AE852"/>
  <c r="AE851"/>
  <c r="AE850"/>
  <c r="AE849"/>
  <c r="AE848"/>
  <c r="AE847"/>
  <c r="AE846"/>
  <c r="AE845"/>
  <c r="AE844"/>
  <c r="R844"/>
  <c r="AE843"/>
  <c r="R843"/>
  <c r="AE842"/>
  <c r="R842"/>
  <c r="AE841"/>
  <c r="R841"/>
  <c r="AE840"/>
  <c r="R840"/>
  <c r="AE839"/>
  <c r="R839"/>
  <c r="AE838"/>
  <c r="P838"/>
  <c r="R838" s="1"/>
  <c r="AE837"/>
  <c r="AE827"/>
  <c r="AE826"/>
  <c r="AE825"/>
  <c r="V825"/>
  <c r="AE824"/>
  <c r="V824"/>
  <c r="AE823"/>
  <c r="V823"/>
  <c r="AE822"/>
  <c r="AE821"/>
  <c r="AE820"/>
  <c r="AE819"/>
  <c r="W819"/>
  <c r="AE818"/>
  <c r="AE817"/>
  <c r="R817"/>
  <c r="AE816"/>
  <c r="R816"/>
  <c r="AE815"/>
  <c r="R815"/>
  <c r="AE814"/>
  <c r="R814"/>
  <c r="AE813"/>
  <c r="R813"/>
  <c r="AE812"/>
  <c r="R812"/>
  <c r="AE811"/>
  <c r="P811"/>
  <c r="R811" s="1"/>
  <c r="AE810"/>
  <c r="AE809"/>
  <c r="AE808"/>
  <c r="R808"/>
  <c r="R820" s="1"/>
  <c r="P808"/>
  <c r="P826" s="1"/>
  <c r="AE807"/>
  <c r="AE806"/>
  <c r="AE805"/>
  <c r="AE804"/>
  <c r="W804"/>
  <c r="AE803"/>
  <c r="AE802"/>
  <c r="AE801"/>
  <c r="AE800"/>
  <c r="AE799"/>
  <c r="AE798"/>
  <c r="AE797"/>
  <c r="AE796"/>
  <c r="AE795"/>
  <c r="AE794"/>
  <c r="AE793"/>
  <c r="AE792"/>
  <c r="P792"/>
  <c r="R792" s="1"/>
  <c r="AE791"/>
  <c r="AE790"/>
  <c r="AE789"/>
  <c r="K789"/>
  <c r="AE788"/>
  <c r="K788"/>
  <c r="AE787"/>
  <c r="I787"/>
  <c r="K787" s="1"/>
  <c r="AE786"/>
  <c r="AE785"/>
  <c r="AE784"/>
  <c r="A784"/>
  <c r="AE783"/>
  <c r="R783"/>
  <c r="I783"/>
  <c r="K783" s="1"/>
  <c r="AE782"/>
  <c r="AE781"/>
  <c r="AE780"/>
  <c r="AE779"/>
  <c r="AE778"/>
  <c r="AE777"/>
  <c r="AE776"/>
  <c r="AE775"/>
  <c r="R775"/>
  <c r="AE774"/>
  <c r="AE773"/>
  <c r="AE772"/>
  <c r="AE771"/>
  <c r="AE770"/>
  <c r="R770"/>
  <c r="AE769"/>
  <c r="AE768"/>
  <c r="AE767"/>
  <c r="AE766"/>
  <c r="K766"/>
  <c r="AE765"/>
  <c r="K765"/>
  <c r="AE764"/>
  <c r="AE763"/>
  <c r="AE762"/>
  <c r="AE761"/>
  <c r="K761"/>
  <c r="AE760"/>
  <c r="I760"/>
  <c r="K760" s="1"/>
  <c r="AE759"/>
  <c r="I759"/>
  <c r="K759" s="1"/>
  <c r="I780" s="1"/>
  <c r="K780" s="1"/>
  <c r="AE758"/>
  <c r="AE757"/>
  <c r="AE756"/>
  <c r="P756"/>
  <c r="R756" s="1"/>
  <c r="AE755"/>
  <c r="P755"/>
  <c r="R755" s="1"/>
  <c r="AE754"/>
  <c r="P754"/>
  <c r="R754" s="1"/>
  <c r="AE753"/>
  <c r="P753"/>
  <c r="R753" s="1"/>
  <c r="AE752"/>
  <c r="AE751"/>
  <c r="P751"/>
  <c r="R751" s="1"/>
  <c r="AE750"/>
  <c r="AE749"/>
  <c r="AE748"/>
  <c r="AE747"/>
  <c r="AE746"/>
  <c r="AE745"/>
  <c r="I745"/>
  <c r="K745" s="1"/>
  <c r="AE744"/>
  <c r="AE743"/>
  <c r="I743"/>
  <c r="AE742"/>
  <c r="AE741"/>
  <c r="AE740"/>
  <c r="P740"/>
  <c r="R740" s="1"/>
  <c r="AE739"/>
  <c r="P739"/>
  <c r="R739" s="1"/>
  <c r="AE738"/>
  <c r="P738"/>
  <c r="R738" s="1"/>
  <c r="AE737"/>
  <c r="P737"/>
  <c r="R737" s="1"/>
  <c r="AE736"/>
  <c r="AE735"/>
  <c r="P735"/>
  <c r="R735" s="1"/>
  <c r="AE734"/>
  <c r="AE733"/>
  <c r="AE732"/>
  <c r="AE731"/>
  <c r="AE730"/>
  <c r="AE729"/>
  <c r="AE728"/>
  <c r="AE727"/>
  <c r="AE726"/>
  <c r="AE725"/>
  <c r="P725"/>
  <c r="R725" s="1"/>
  <c r="AE724"/>
  <c r="R724"/>
  <c r="P724"/>
  <c r="AE723"/>
  <c r="P723"/>
  <c r="R723" s="1"/>
  <c r="AE722"/>
  <c r="P722"/>
  <c r="R722" s="1"/>
  <c r="AE721"/>
  <c r="AE720"/>
  <c r="P720"/>
  <c r="R720" s="1"/>
  <c r="I720"/>
  <c r="K720" s="1"/>
  <c r="AE719"/>
  <c r="AE718"/>
  <c r="I718"/>
  <c r="K718" s="1"/>
  <c r="AE717"/>
  <c r="V717"/>
  <c r="I717"/>
  <c r="K717" s="1"/>
  <c r="AE716"/>
  <c r="V716"/>
  <c r="AE715"/>
  <c r="AE714"/>
  <c r="V714"/>
  <c r="AE713"/>
  <c r="V713"/>
  <c r="AE712"/>
  <c r="AE711"/>
  <c r="AE710"/>
  <c r="W710"/>
  <c r="AE709"/>
  <c r="V709"/>
  <c r="S709"/>
  <c r="X709" s="1"/>
  <c r="Z709" s="1"/>
  <c r="P709"/>
  <c r="R709" s="1"/>
  <c r="R713" s="1"/>
  <c r="AE708"/>
  <c r="AE707"/>
  <c r="J707"/>
  <c r="J708" s="1"/>
  <c r="J709" s="1"/>
  <c r="J710" s="1"/>
  <c r="AE706"/>
  <c r="J706"/>
  <c r="AE705"/>
  <c r="AE704"/>
  <c r="AE703"/>
  <c r="AE702"/>
  <c r="AE701"/>
  <c r="K701"/>
  <c r="AE700"/>
  <c r="I700"/>
  <c r="K700" s="1"/>
  <c r="AE699"/>
  <c r="I699"/>
  <c r="K699" s="1"/>
  <c r="K704" s="1"/>
  <c r="I706" s="1"/>
  <c r="AE698"/>
  <c r="P698"/>
  <c r="R698" s="1"/>
  <c r="R702" s="1"/>
  <c r="AE697"/>
  <c r="AE696"/>
  <c r="AE695"/>
  <c r="AE694"/>
  <c r="AE693"/>
  <c r="AE692"/>
  <c r="AF691"/>
  <c r="AE691"/>
  <c r="AE690"/>
  <c r="AF689"/>
  <c r="AE689"/>
  <c r="AE688"/>
  <c r="P688"/>
  <c r="R688" s="1"/>
  <c r="R692" s="1"/>
  <c r="AE687"/>
  <c r="J687"/>
  <c r="J688" s="1"/>
  <c r="J689" s="1"/>
  <c r="J690" s="1"/>
  <c r="AE686"/>
  <c r="J686"/>
  <c r="AE685"/>
  <c r="AC685"/>
  <c r="AE684"/>
  <c r="AC684"/>
  <c r="AE683"/>
  <c r="AA683"/>
  <c r="AE682"/>
  <c r="K682"/>
  <c r="AE681"/>
  <c r="I681"/>
  <c r="K681" s="1"/>
  <c r="AE680"/>
  <c r="K680"/>
  <c r="I680"/>
  <c r="AE679"/>
  <c r="X679"/>
  <c r="V679"/>
  <c r="AE678"/>
  <c r="P678"/>
  <c r="R678" s="1"/>
  <c r="R682" s="1"/>
  <c r="AE677"/>
  <c r="AE676"/>
  <c r="AE675"/>
  <c r="AE674"/>
  <c r="AE673"/>
  <c r="P660"/>
  <c r="R660" s="1"/>
  <c r="J660"/>
  <c r="J661" s="1"/>
  <c r="J662" s="1"/>
  <c r="J663" s="1"/>
  <c r="P659"/>
  <c r="R659" s="1"/>
  <c r="J659"/>
  <c r="R658"/>
  <c r="P658"/>
  <c r="AD648"/>
  <c r="AF648" s="1"/>
  <c r="X648"/>
  <c r="P642"/>
  <c r="R642" s="1"/>
  <c r="AE637"/>
  <c r="AE636"/>
  <c r="AE635"/>
  <c r="AE634"/>
  <c r="AE633"/>
  <c r="AE632"/>
  <c r="AE631"/>
  <c r="AE630"/>
  <c r="AE629"/>
  <c r="P629"/>
  <c r="R629" s="1"/>
  <c r="J629"/>
  <c r="J630" s="1"/>
  <c r="J631" s="1"/>
  <c r="J632" s="1"/>
  <c r="AE628"/>
  <c r="J628"/>
  <c r="AE627"/>
  <c r="AE626"/>
  <c r="AE625"/>
  <c r="AE624"/>
  <c r="AE623"/>
  <c r="AE622"/>
  <c r="AE621"/>
  <c r="AE620"/>
  <c r="AE619"/>
  <c r="I619"/>
  <c r="K619" s="1"/>
  <c r="AE618"/>
  <c r="AE617"/>
  <c r="AE616"/>
  <c r="J616"/>
  <c r="AE615"/>
  <c r="J615"/>
  <c r="V593" s="1"/>
  <c r="C615"/>
  <c r="AE614"/>
  <c r="J614"/>
  <c r="V592" s="1"/>
  <c r="AE613"/>
  <c r="J613"/>
  <c r="AE612"/>
  <c r="J612"/>
  <c r="V590" s="1"/>
  <c r="AE611"/>
  <c r="AE610"/>
  <c r="AE609"/>
  <c r="AE608"/>
  <c r="E608"/>
  <c r="E609" s="1"/>
  <c r="AE607"/>
  <c r="AE606"/>
  <c r="AE605"/>
  <c r="AE604"/>
  <c r="I604"/>
  <c r="AE603"/>
  <c r="AE602"/>
  <c r="AE601"/>
  <c r="AE600"/>
  <c r="AE599"/>
  <c r="J599"/>
  <c r="AE598"/>
  <c r="J598"/>
  <c r="AE597"/>
  <c r="J597"/>
  <c r="AE596"/>
  <c r="J596"/>
  <c r="AE595"/>
  <c r="J595"/>
  <c r="AE594"/>
  <c r="V594"/>
  <c r="J594"/>
  <c r="AE593"/>
  <c r="J593"/>
  <c r="AE592"/>
  <c r="J592"/>
  <c r="AE591"/>
  <c r="V591"/>
  <c r="J591"/>
  <c r="AE590"/>
  <c r="J590"/>
  <c r="AE589"/>
  <c r="AE588"/>
  <c r="AE587"/>
  <c r="AE586"/>
  <c r="AE585"/>
  <c r="V585"/>
  <c r="R585"/>
  <c r="P585"/>
  <c r="AE584"/>
  <c r="R584"/>
  <c r="P584"/>
  <c r="AE583"/>
  <c r="P583"/>
  <c r="R583" s="1"/>
  <c r="AE582"/>
  <c r="K582"/>
  <c r="I582"/>
  <c r="AE581"/>
  <c r="AE580"/>
  <c r="AE579"/>
  <c r="AE578"/>
  <c r="P578"/>
  <c r="R578" s="1"/>
  <c r="AE577"/>
  <c r="AE576"/>
  <c r="AE575"/>
  <c r="AE574"/>
  <c r="AE573"/>
  <c r="AE572"/>
  <c r="AC572"/>
  <c r="AB572"/>
  <c r="AD572" s="1"/>
  <c r="AC566"/>
  <c r="AE564"/>
  <c r="AE563"/>
  <c r="AE562"/>
  <c r="M562"/>
  <c r="AE561"/>
  <c r="M561"/>
  <c r="AE560"/>
  <c r="M560"/>
  <c r="J560"/>
  <c r="W562" s="1"/>
  <c r="AC562" s="1"/>
  <c r="AE559"/>
  <c r="M559"/>
  <c r="M563" s="1"/>
  <c r="J559"/>
  <c r="W561" s="1"/>
  <c r="AC561" s="1"/>
  <c r="AE558"/>
  <c r="AE557"/>
  <c r="AE556"/>
  <c r="AE555"/>
  <c r="V555"/>
  <c r="AE554"/>
  <c r="AE553"/>
  <c r="R553"/>
  <c r="E553"/>
  <c r="AE552"/>
  <c r="AE551"/>
  <c r="AE550"/>
  <c r="AE549"/>
  <c r="AC549"/>
  <c r="W549"/>
  <c r="AE548"/>
  <c r="W548"/>
  <c r="AC548" s="1"/>
  <c r="P548"/>
  <c r="R548" s="1"/>
  <c r="AE539"/>
  <c r="P539"/>
  <c r="R539" s="1"/>
  <c r="AE538"/>
  <c r="AE537"/>
  <c r="P537"/>
  <c r="R537" s="1"/>
  <c r="AE536"/>
  <c r="J536"/>
  <c r="J537" s="1"/>
  <c r="J538" s="1"/>
  <c r="W538" s="1"/>
  <c r="AC538" s="1"/>
  <c r="AE535"/>
  <c r="J535"/>
  <c r="W537" s="1"/>
  <c r="AC537" s="1"/>
  <c r="AE534"/>
  <c r="AE533"/>
  <c r="AE532"/>
  <c r="AE531"/>
  <c r="AB531"/>
  <c r="AB555" s="1"/>
  <c r="AE530"/>
  <c r="AE529"/>
  <c r="AE528"/>
  <c r="AE527"/>
  <c r="AE526"/>
  <c r="AE525"/>
  <c r="R525"/>
  <c r="AE524"/>
  <c r="AE523"/>
  <c r="AE522"/>
  <c r="AE521"/>
  <c r="AE520"/>
  <c r="P520"/>
  <c r="R520" s="1"/>
  <c r="AE519"/>
  <c r="P519"/>
  <c r="R519" s="1"/>
  <c r="AE518"/>
  <c r="AE517"/>
  <c r="R517"/>
  <c r="P517"/>
  <c r="AE516"/>
  <c r="AE515"/>
  <c r="AE514"/>
  <c r="AE513"/>
  <c r="AE512"/>
  <c r="AE511"/>
  <c r="AE510"/>
  <c r="AE509"/>
  <c r="AE508"/>
  <c r="AE507"/>
  <c r="R507"/>
  <c r="AE506"/>
  <c r="AE505"/>
  <c r="AE504"/>
  <c r="AE503"/>
  <c r="AE502"/>
  <c r="P502"/>
  <c r="R502" s="1"/>
  <c r="AE501"/>
  <c r="P501"/>
  <c r="R501" s="1"/>
  <c r="AE500"/>
  <c r="AE499"/>
  <c r="P499"/>
  <c r="R499" s="1"/>
  <c r="AE498"/>
  <c r="AE497"/>
  <c r="AE496"/>
  <c r="AE495"/>
  <c r="AE494"/>
  <c r="AE493"/>
  <c r="AE492"/>
  <c r="I492"/>
  <c r="K492" s="1"/>
  <c r="AE491"/>
  <c r="AC491"/>
  <c r="AE490"/>
  <c r="AE489"/>
  <c r="AE488"/>
  <c r="AE487"/>
  <c r="W487"/>
  <c r="AC487" s="1"/>
  <c r="AE486"/>
  <c r="W486"/>
  <c r="AC486" s="1"/>
  <c r="AE485"/>
  <c r="AE484"/>
  <c r="P484"/>
  <c r="R484" s="1"/>
  <c r="AE483"/>
  <c r="P483"/>
  <c r="R483" s="1"/>
  <c r="AE482"/>
  <c r="P482"/>
  <c r="R482" s="1"/>
  <c r="AE481"/>
  <c r="AE480"/>
  <c r="AB480"/>
  <c r="AE479"/>
  <c r="AE471"/>
  <c r="AE470"/>
  <c r="R470"/>
  <c r="P470"/>
  <c r="AE469"/>
  <c r="AE468"/>
  <c r="AE467"/>
  <c r="AE466"/>
  <c r="AE465"/>
  <c r="AE464"/>
  <c r="P459"/>
  <c r="R459" s="1"/>
  <c r="P458"/>
  <c r="R458" s="1"/>
  <c r="P457"/>
  <c r="R457" s="1"/>
  <c r="AJ452"/>
  <c r="P452"/>
  <c r="R452" s="1"/>
  <c r="AF450"/>
  <c r="AF451" s="1"/>
  <c r="AF452" s="1"/>
  <c r="AF453" s="1"/>
  <c r="AF454" s="1"/>
  <c r="AF455" s="1"/>
  <c r="AF456" s="1"/>
  <c r="AF457" s="1"/>
  <c r="AF458" s="1"/>
  <c r="AF459" s="1"/>
  <c r="AF460" s="1"/>
  <c r="AF461" s="1"/>
  <c r="AF462" s="1"/>
  <c r="AF463" s="1"/>
  <c r="AF449"/>
  <c r="AF448"/>
  <c r="P441"/>
  <c r="R441" s="1"/>
  <c r="P440"/>
  <c r="R440" s="1"/>
  <c r="P439"/>
  <c r="R439" s="1"/>
  <c r="W435"/>
  <c r="W436" s="1"/>
  <c r="W437" s="1"/>
  <c r="W438" s="1"/>
  <c r="W434"/>
  <c r="P433"/>
  <c r="R433" s="1"/>
  <c r="AB432"/>
  <c r="AB431"/>
  <c r="AB430"/>
  <c r="AB429"/>
  <c r="AB428"/>
  <c r="AB424"/>
  <c r="AD422"/>
  <c r="X416"/>
  <c r="AF413"/>
  <c r="AF414" s="1"/>
  <c r="AF415" s="1"/>
  <c r="AF416" s="1"/>
  <c r="AF417" s="1"/>
  <c r="AF418" s="1"/>
  <c r="AF419" s="1"/>
  <c r="AF420" s="1"/>
  <c r="AF421" s="1"/>
  <c r="AF422" s="1"/>
  <c r="F411"/>
  <c r="H410"/>
  <c r="F410"/>
  <c r="H408"/>
  <c r="W403"/>
  <c r="W405" s="1"/>
  <c r="W406" s="1"/>
  <c r="W402"/>
  <c r="AD388"/>
  <c r="AB388"/>
  <c r="AD386"/>
  <c r="H379"/>
  <c r="F379"/>
  <c r="H377"/>
  <c r="P367"/>
  <c r="R367" s="1"/>
  <c r="AD364"/>
  <c r="H355"/>
  <c r="X341"/>
  <c r="AB336"/>
  <c r="F336"/>
  <c r="AD335"/>
  <c r="AB335"/>
  <c r="H335"/>
  <c r="F335"/>
  <c r="AD333"/>
  <c r="AD362" s="1"/>
  <c r="H333"/>
  <c r="H353" s="1"/>
  <c r="AD311"/>
  <c r="AD424" s="1"/>
  <c r="H311"/>
  <c r="AD278"/>
  <c r="AC278"/>
  <c r="AD277"/>
  <c r="AC277"/>
  <c r="AD276"/>
  <c r="AC276"/>
  <c r="AD275"/>
  <c r="AC275"/>
  <c r="AD274"/>
  <c r="AC274"/>
  <c r="K257"/>
  <c r="I256"/>
  <c r="K256" s="1"/>
  <c r="K245"/>
  <c r="I241"/>
  <c r="K241" s="1"/>
  <c r="R219"/>
  <c r="P219"/>
  <c r="P218"/>
  <c r="R218" s="1"/>
  <c r="AU217"/>
  <c r="AV217" s="1"/>
  <c r="P217"/>
  <c r="R217" s="1"/>
  <c r="AU216"/>
  <c r="AV216" s="1"/>
  <c r="P216"/>
  <c r="R216" s="1"/>
  <c r="AU215"/>
  <c r="AV215" s="1"/>
  <c r="P215"/>
  <c r="R215" s="1"/>
  <c r="AU214"/>
  <c r="AV214" s="1"/>
  <c r="P214"/>
  <c r="R214" s="1"/>
  <c r="AU213"/>
  <c r="AV213" s="1"/>
  <c r="AU212"/>
  <c r="AV212" s="1"/>
  <c r="P212"/>
  <c r="R212" s="1"/>
  <c r="AV211"/>
  <c r="AU211"/>
  <c r="AU210"/>
  <c r="AV210" s="1"/>
  <c r="AV209"/>
  <c r="AU209"/>
  <c r="AU208"/>
  <c r="AV208" s="1"/>
  <c r="AU207"/>
  <c r="AV207" s="1"/>
  <c r="AV206"/>
  <c r="AU206"/>
  <c r="AU205"/>
  <c r="AV205" s="1"/>
  <c r="AU204"/>
  <c r="AV204" s="1"/>
  <c r="AU203"/>
  <c r="AV203" s="1"/>
  <c r="AU202"/>
  <c r="AV202" s="1"/>
  <c r="AU201"/>
  <c r="AV201" s="1"/>
  <c r="AV200"/>
  <c r="AU200"/>
  <c r="AU199"/>
  <c r="AV199" s="1"/>
  <c r="AU198"/>
  <c r="AV198" s="1"/>
  <c r="AU197"/>
  <c r="AV197" s="1"/>
  <c r="AV196"/>
  <c r="AU196"/>
  <c r="AU195"/>
  <c r="AV195" s="1"/>
  <c r="AV194"/>
  <c r="AU194"/>
  <c r="AU193"/>
  <c r="AV193" s="1"/>
  <c r="AU192"/>
  <c r="AV192" s="1"/>
  <c r="AU186"/>
  <c r="AV186" s="1"/>
  <c r="I186"/>
  <c r="K186" s="1"/>
  <c r="I185"/>
  <c r="K185" s="1"/>
  <c r="AV184"/>
  <c r="AU184"/>
  <c r="AU182"/>
  <c r="AV182" s="1"/>
  <c r="AU181"/>
  <c r="AV181" s="1"/>
  <c r="AV178"/>
  <c r="AU178"/>
  <c r="AU177"/>
  <c r="AV177" s="1"/>
  <c r="AV176"/>
  <c r="AU176"/>
  <c r="AU175"/>
  <c r="AV175" s="1"/>
  <c r="AV174"/>
  <c r="AU174"/>
  <c r="AU172"/>
  <c r="AV172" s="1"/>
  <c r="AV170"/>
  <c r="AU170"/>
  <c r="AU169"/>
  <c r="AV169" s="1"/>
  <c r="AN164"/>
  <c r="AP163"/>
  <c r="AN163"/>
  <c r="AU162"/>
  <c r="AV162" s="1"/>
  <c r="AV161"/>
  <c r="AU161"/>
  <c r="AP161"/>
  <c r="AU160"/>
  <c r="AV160" s="1"/>
  <c r="K157"/>
  <c r="I157"/>
  <c r="I155"/>
  <c r="K155" s="1"/>
  <c r="AV154"/>
  <c r="AU154"/>
  <c r="I153"/>
  <c r="K153" s="1"/>
  <c r="AV152"/>
  <c r="AU152"/>
  <c r="AU150"/>
  <c r="AV150" s="1"/>
  <c r="AU149"/>
  <c r="AV149" s="1"/>
  <c r="AU146"/>
  <c r="AV146" s="1"/>
  <c r="AU145"/>
  <c r="AV145" s="1"/>
  <c r="AU144"/>
  <c r="AV144" s="1"/>
  <c r="AV143"/>
  <c r="AU143"/>
  <c r="AU141"/>
  <c r="AV141" s="1"/>
  <c r="AV139"/>
  <c r="AU139"/>
  <c r="AU138"/>
  <c r="AV138" s="1"/>
  <c r="AP132"/>
  <c r="AN132"/>
  <c r="AP130"/>
  <c r="AU118"/>
  <c r="AV118" s="1"/>
  <c r="AU116"/>
  <c r="AV116" s="1"/>
  <c r="M116"/>
  <c r="M133" s="1"/>
  <c r="AU114"/>
  <c r="AV114" s="1"/>
  <c r="AV113"/>
  <c r="AU113"/>
  <c r="AP107"/>
  <c r="M101"/>
  <c r="AN88"/>
  <c r="AP87"/>
  <c r="AN87"/>
  <c r="AP85"/>
  <c r="AP105" s="1"/>
  <c r="AP63"/>
  <c r="AK47"/>
  <c r="AJ47"/>
  <c r="AI47"/>
  <c r="AH47"/>
  <c r="AG47"/>
  <c r="AE47" s="1"/>
  <c r="Y47"/>
  <c r="AK46"/>
  <c r="AJ46"/>
  <c r="AI46"/>
  <c r="AH46"/>
  <c r="AG46"/>
  <c r="AE46" s="1"/>
  <c r="Z46"/>
  <c r="Z47" s="1"/>
  <c r="X46"/>
  <c r="X47" s="1"/>
  <c r="AK45"/>
  <c r="AI45"/>
  <c r="AH45"/>
  <c r="AG45"/>
  <c r="AE45"/>
  <c r="X45"/>
  <c r="AK44"/>
  <c r="AJ44"/>
  <c r="AI44"/>
  <c r="AH44"/>
  <c r="AG44"/>
  <c r="AE44" s="1"/>
  <c r="AK43"/>
  <c r="AJ43"/>
  <c r="AI43"/>
  <c r="AH43"/>
  <c r="AG43"/>
  <c r="AE43" s="1"/>
  <c r="Z43"/>
  <c r="AC43" s="1"/>
  <c r="P150" s="1"/>
  <c r="R150" s="1"/>
  <c r="X43"/>
  <c r="AK42"/>
  <c r="AJ42"/>
  <c r="AI42"/>
  <c r="AH42"/>
  <c r="AG42"/>
  <c r="AE42" s="1"/>
  <c r="AK41"/>
  <c r="AJ41"/>
  <c r="AI41"/>
  <c r="AH41"/>
  <c r="AG41"/>
  <c r="AE41" s="1"/>
  <c r="Z41"/>
  <c r="AC41" s="1"/>
  <c r="V379" s="1"/>
  <c r="X41"/>
  <c r="X42" s="1"/>
  <c r="W41"/>
  <c r="W42" s="1"/>
  <c r="AK40"/>
  <c r="AJ40"/>
  <c r="AI40"/>
  <c r="AH40"/>
  <c r="AG40"/>
  <c r="AE40" s="1"/>
  <c r="AK39"/>
  <c r="AJ39"/>
  <c r="AI39"/>
  <c r="AH39"/>
  <c r="AG39"/>
  <c r="AE39" s="1"/>
  <c r="V81" s="1"/>
  <c r="Z39"/>
  <c r="AC39" s="1"/>
  <c r="P125" s="1"/>
  <c r="R125" s="1"/>
  <c r="X39"/>
  <c r="AK38"/>
  <c r="AJ38"/>
  <c r="AI38"/>
  <c r="AH38"/>
  <c r="AG38"/>
  <c r="AE38"/>
  <c r="Z38"/>
  <c r="AC38" s="1"/>
  <c r="X38"/>
  <c r="AK37"/>
  <c r="AJ37"/>
  <c r="AI37"/>
  <c r="AH37"/>
  <c r="AG37"/>
  <c r="AE37" s="1"/>
  <c r="AK36"/>
  <c r="AJ36"/>
  <c r="AI36"/>
  <c r="AH36"/>
  <c r="AG36"/>
  <c r="AE36" s="1"/>
  <c r="D61" s="1"/>
  <c r="AK35"/>
  <c r="AJ35"/>
  <c r="AI35"/>
  <c r="AH35"/>
  <c r="AG35"/>
  <c r="AE35" s="1"/>
  <c r="D33" s="1"/>
  <c r="I2249" s="1"/>
  <c r="K2249" s="1"/>
  <c r="AK34"/>
  <c r="AJ34"/>
  <c r="AI34"/>
  <c r="AH34"/>
  <c r="AG34"/>
  <c r="AE34" s="1"/>
  <c r="D32" s="1"/>
  <c r="I1104" s="1"/>
  <c r="K1104" s="1"/>
  <c r="Y34"/>
  <c r="W34"/>
  <c r="D34"/>
  <c r="AK33"/>
  <c r="AJ33"/>
  <c r="AI33"/>
  <c r="AH33"/>
  <c r="AG33"/>
  <c r="AE33" s="1"/>
  <c r="Y33"/>
  <c r="AK32"/>
  <c r="AJ32"/>
  <c r="AI32"/>
  <c r="AH32"/>
  <c r="AG32"/>
  <c r="AE32" s="1"/>
  <c r="X32"/>
  <c r="X33" s="1"/>
  <c r="AK31"/>
  <c r="AJ31"/>
  <c r="AI31"/>
  <c r="AH31"/>
  <c r="AG31"/>
  <c r="AE31" s="1"/>
  <c r="D30" s="1"/>
  <c r="Z31"/>
  <c r="Z32" s="1"/>
  <c r="X31"/>
  <c r="AK30"/>
  <c r="AJ30"/>
  <c r="AI30"/>
  <c r="AH30"/>
  <c r="AG30"/>
  <c r="AE30" s="1"/>
  <c r="AC30"/>
  <c r="C137" s="1"/>
  <c r="I1218" s="1"/>
  <c r="K1218" s="1"/>
  <c r="AK29"/>
  <c r="AJ29"/>
  <c r="AI29"/>
  <c r="AH29"/>
  <c r="AG29"/>
  <c r="AE29" s="1"/>
  <c r="C61" s="1"/>
  <c r="Z29"/>
  <c r="Z34" s="1"/>
  <c r="W29"/>
  <c r="E29"/>
  <c r="AK28"/>
  <c r="AJ28"/>
  <c r="AI28"/>
  <c r="AH28"/>
  <c r="AG28"/>
  <c r="AE28" s="1"/>
  <c r="AK27"/>
  <c r="AJ27"/>
  <c r="AI27"/>
  <c r="AH27"/>
  <c r="AG27"/>
  <c r="AE27"/>
  <c r="V83" s="1"/>
  <c r="E27"/>
  <c r="AK26"/>
  <c r="AJ26"/>
  <c r="AI26"/>
  <c r="AH26"/>
  <c r="AG26"/>
  <c r="AE26" s="1"/>
  <c r="Z26"/>
  <c r="Z27" s="1"/>
  <c r="AK25"/>
  <c r="AJ25"/>
  <c r="AI25"/>
  <c r="AH25"/>
  <c r="AG25"/>
  <c r="AE25" s="1"/>
  <c r="C25" s="1"/>
  <c r="Z25"/>
  <c r="AC25" s="1"/>
  <c r="C87" s="1"/>
  <c r="X25"/>
  <c r="X26" s="1"/>
  <c r="X27" s="1"/>
  <c r="X28" s="1"/>
  <c r="AK24"/>
  <c r="AJ24"/>
  <c r="AI24"/>
  <c r="AH24"/>
  <c r="AG24"/>
  <c r="AE24" s="1"/>
  <c r="C18" s="1"/>
  <c r="Z24"/>
  <c r="AC24" s="1"/>
  <c r="C86" s="1"/>
  <c r="AK23"/>
  <c r="AJ23"/>
  <c r="AI23"/>
  <c r="AH23"/>
  <c r="AG23"/>
  <c r="AE23"/>
  <c r="C29" s="1"/>
  <c r="I1234" s="1"/>
  <c r="K1234" s="1"/>
  <c r="Z23"/>
  <c r="AC23" s="1"/>
  <c r="C85" s="1"/>
  <c r="X23"/>
  <c r="AK22"/>
  <c r="AJ22"/>
  <c r="AI22"/>
  <c r="AH22"/>
  <c r="AG22"/>
  <c r="AE22" s="1"/>
  <c r="C41" s="1"/>
  <c r="AC22"/>
  <c r="C84" s="1"/>
  <c r="AK21"/>
  <c r="AJ21"/>
  <c r="AI21"/>
  <c r="AH21"/>
  <c r="AG21"/>
  <c r="AE21" s="1"/>
  <c r="I2697" s="1"/>
  <c r="K2697" s="1"/>
  <c r="Z21"/>
  <c r="AC21" s="1"/>
  <c r="C83" s="1"/>
  <c r="I1353" s="1"/>
  <c r="K1353" s="1"/>
  <c r="X21"/>
  <c r="AK20"/>
  <c r="AJ20"/>
  <c r="AI20"/>
  <c r="AH20"/>
  <c r="AG20"/>
  <c r="AE20" s="1"/>
  <c r="W20"/>
  <c r="AK19"/>
  <c r="AJ19"/>
  <c r="AI19"/>
  <c r="AH19"/>
  <c r="AG19"/>
  <c r="AE19" s="1"/>
  <c r="C16" s="1"/>
  <c r="Z19"/>
  <c r="Z20" s="1"/>
  <c r="AC20" s="1"/>
  <c r="X19"/>
  <c r="X20" s="1"/>
  <c r="W19"/>
  <c r="AK18"/>
  <c r="AJ18"/>
  <c r="AI18"/>
  <c r="AH18"/>
  <c r="AG18"/>
  <c r="AE18" s="1"/>
  <c r="Z18"/>
  <c r="AC18" s="1"/>
  <c r="C80" s="1"/>
  <c r="X18"/>
  <c r="X29" s="1"/>
  <c r="AK17"/>
  <c r="AJ17"/>
  <c r="AI17"/>
  <c r="AH17"/>
  <c r="AG17"/>
  <c r="AE17" s="1"/>
  <c r="C17" s="1"/>
  <c r="Y17"/>
  <c r="W17"/>
  <c r="AK16"/>
  <c r="AJ16"/>
  <c r="AI16"/>
  <c r="AH16"/>
  <c r="AG16"/>
  <c r="AE16" s="1"/>
  <c r="Z16"/>
  <c r="Z17" s="1"/>
  <c r="X16"/>
  <c r="X17" s="1"/>
  <c r="AK15"/>
  <c r="AJ15"/>
  <c r="AI15"/>
  <c r="AH15"/>
  <c r="AG15"/>
  <c r="AE15" s="1"/>
  <c r="C15" s="1"/>
  <c r="AK14"/>
  <c r="AJ14"/>
  <c r="AI14"/>
  <c r="AH14"/>
  <c r="AG14"/>
  <c r="AE14" s="1"/>
  <c r="D14" s="1"/>
  <c r="AK13"/>
  <c r="AJ13"/>
  <c r="AI13"/>
  <c r="AH13"/>
  <c r="AG13"/>
  <c r="AE13"/>
  <c r="C14" s="1"/>
  <c r="AK12"/>
  <c r="AJ12"/>
  <c r="AI12"/>
  <c r="AH12"/>
  <c r="AG12"/>
  <c r="AE12" s="1"/>
  <c r="V1337" s="1"/>
  <c r="AK11"/>
  <c r="AJ11"/>
  <c r="AI11"/>
  <c r="AH11"/>
  <c r="AG11"/>
  <c r="AE11" s="1"/>
  <c r="C12" s="1"/>
  <c r="Z11"/>
  <c r="Z44" s="1"/>
  <c r="AC44" s="1"/>
  <c r="AB1331" s="1"/>
  <c r="AC1331" s="1"/>
  <c r="X11"/>
  <c r="X44" s="1"/>
  <c r="W11"/>
  <c r="W12" s="1"/>
  <c r="P11"/>
  <c r="R11" s="1"/>
  <c r="A11"/>
  <c r="A12" s="1"/>
  <c r="A13" s="1"/>
  <c r="A14" s="1"/>
  <c r="A15" s="1"/>
  <c r="A16" s="1"/>
  <c r="A17" s="1"/>
  <c r="A18" s="1"/>
  <c r="A19" s="1"/>
  <c r="A20" s="1"/>
  <c r="A21" s="1"/>
  <c r="A22" s="1"/>
  <c r="A23" s="1"/>
  <c r="A24" s="1"/>
  <c r="A25" s="1"/>
  <c r="A26" s="1"/>
  <c r="A27" s="1"/>
  <c r="A28" s="1"/>
  <c r="A29" s="1"/>
  <c r="A30" s="1"/>
  <c r="A31" s="1"/>
  <c r="A32" s="1"/>
  <c r="A33" s="1"/>
  <c r="A34" s="1"/>
  <c r="A35" s="1"/>
  <c r="A38" s="1"/>
  <c r="A39" s="1"/>
  <c r="A40" s="1"/>
  <c r="A41" s="1"/>
  <c r="A42" s="1"/>
  <c r="A43" s="1"/>
  <c r="A44" s="1"/>
  <c r="A45" s="1"/>
  <c r="A46" s="1"/>
  <c r="A47" s="1"/>
  <c r="A48" s="1"/>
  <c r="A49" s="1"/>
  <c r="A50" s="1"/>
  <c r="A51" s="1"/>
  <c r="A52" s="1"/>
  <c r="A53" s="1"/>
  <c r="A54" s="1"/>
  <c r="A55" s="1"/>
  <c r="A56" s="1"/>
  <c r="A57" s="1"/>
  <c r="A58"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137" s="1"/>
  <c r="A138" s="1"/>
  <c r="A139" s="1"/>
  <c r="A140" s="1"/>
  <c r="A141" s="1"/>
  <c r="A142" s="1"/>
  <c r="A143" s="1"/>
  <c r="A145" s="1"/>
  <c r="A147" s="1"/>
  <c r="A148" s="1"/>
  <c r="A192" s="1"/>
  <c r="A193" s="1"/>
  <c r="A194" s="1"/>
  <c r="A195" s="1"/>
  <c r="A196" s="1"/>
  <c r="A197" s="1"/>
  <c r="A198" s="1"/>
  <c r="A199" s="1"/>
  <c r="A200" s="1"/>
  <c r="A201" s="1"/>
  <c r="A202" s="1"/>
  <c r="A203" s="1"/>
  <c r="A204" s="1"/>
  <c r="A205" s="1"/>
  <c r="A206" s="1"/>
  <c r="AK10"/>
  <c r="AJ10"/>
  <c r="AI10"/>
  <c r="AH10"/>
  <c r="AG10"/>
  <c r="AE10" s="1"/>
  <c r="X10"/>
  <c r="X37" s="1"/>
  <c r="W10"/>
  <c r="AK9"/>
  <c r="AJ9"/>
  <c r="AI9"/>
  <c r="AH9"/>
  <c r="AG9"/>
  <c r="AE9" s="1"/>
  <c r="D11" s="1"/>
  <c r="Z9"/>
  <c r="Z10" s="1"/>
  <c r="AC10" s="1"/>
  <c r="C69" s="1"/>
  <c r="I296" s="1"/>
  <c r="K296" s="1"/>
  <c r="X9"/>
  <c r="W3"/>
  <c r="U3"/>
  <c r="Q3"/>
  <c r="O3"/>
  <c r="J3"/>
  <c r="H3"/>
  <c r="H224" i="5"/>
  <c r="I214"/>
  <c r="C214"/>
  <c r="B214"/>
  <c r="I213"/>
  <c r="C213"/>
  <c r="B213"/>
  <c r="I212"/>
  <c r="C212"/>
  <c r="I211"/>
  <c r="C211"/>
  <c r="I210"/>
  <c r="C210"/>
  <c r="I209"/>
  <c r="C209"/>
  <c r="I208"/>
  <c r="C208"/>
  <c r="I207"/>
  <c r="E207"/>
  <c r="C207"/>
  <c r="I206"/>
  <c r="E206"/>
  <c r="C206"/>
  <c r="I205"/>
  <c r="E205"/>
  <c r="C205"/>
  <c r="J205" s="1"/>
  <c r="I204"/>
  <c r="E204"/>
  <c r="C204"/>
  <c r="I203"/>
  <c r="E203"/>
  <c r="C203"/>
  <c r="I202"/>
  <c r="E202"/>
  <c r="C202"/>
  <c r="I201"/>
  <c r="E201"/>
  <c r="I200"/>
  <c r="E200"/>
  <c r="C200"/>
  <c r="C201" s="1"/>
  <c r="J201" s="1"/>
  <c r="I199"/>
  <c r="E199"/>
  <c r="C199"/>
  <c r="I198"/>
  <c r="E198"/>
  <c r="C198"/>
  <c r="I197"/>
  <c r="E197"/>
  <c r="C197"/>
  <c r="J197" s="1"/>
  <c r="I196"/>
  <c r="E196"/>
  <c r="C196"/>
  <c r="I195"/>
  <c r="E195"/>
  <c r="C195"/>
  <c r="I194"/>
  <c r="E194"/>
  <c r="C194"/>
  <c r="I193"/>
  <c r="E193"/>
  <c r="C193"/>
  <c r="J193" s="1"/>
  <c r="I192"/>
  <c r="E192"/>
  <c r="C192"/>
  <c r="I191"/>
  <c r="E191"/>
  <c r="C191"/>
  <c r="I190"/>
  <c r="E190"/>
  <c r="C190"/>
  <c r="I189"/>
  <c r="E189"/>
  <c r="C189"/>
  <c r="J189" s="1"/>
  <c r="I188"/>
  <c r="E188"/>
  <c r="C188"/>
  <c r="I187"/>
  <c r="E187"/>
  <c r="C187"/>
  <c r="I186"/>
  <c r="E186"/>
  <c r="C186"/>
  <c r="I185"/>
  <c r="E185"/>
  <c r="C185"/>
  <c r="J185" s="1"/>
  <c r="I184"/>
  <c r="E184"/>
  <c r="C184"/>
  <c r="G183"/>
  <c r="I183" s="1"/>
  <c r="E183"/>
  <c r="C183"/>
  <c r="I182"/>
  <c r="E182"/>
  <c r="C182"/>
  <c r="E181"/>
  <c r="I181" s="1"/>
  <c r="C181"/>
  <c r="E180"/>
  <c r="I180" s="1"/>
  <c r="C180"/>
  <c r="E179"/>
  <c r="I179" s="1"/>
  <c r="C179"/>
  <c r="E178"/>
  <c r="I178" s="1"/>
  <c r="C178"/>
  <c r="E177"/>
  <c r="I177" s="1"/>
  <c r="C177"/>
  <c r="E176"/>
  <c r="I176" s="1"/>
  <c r="C176"/>
  <c r="E175"/>
  <c r="I175" s="1"/>
  <c r="C175"/>
  <c r="E174"/>
  <c r="I174" s="1"/>
  <c r="C174"/>
  <c r="E173"/>
  <c r="I173" s="1"/>
  <c r="C173"/>
  <c r="H173" s="1"/>
  <c r="E172"/>
  <c r="I172" s="1"/>
  <c r="C172"/>
  <c r="H172" s="1"/>
  <c r="E171"/>
  <c r="I171" s="1"/>
  <c r="C171"/>
  <c r="H171" s="1"/>
  <c r="E170"/>
  <c r="I170" s="1"/>
  <c r="C170"/>
  <c r="H170" s="1"/>
  <c r="E169"/>
  <c r="I169" s="1"/>
  <c r="C169"/>
  <c r="H169" s="1"/>
  <c r="E168"/>
  <c r="I168" s="1"/>
  <c r="C168"/>
  <c r="H168" s="1"/>
  <c r="E167"/>
  <c r="I167" s="1"/>
  <c r="C167"/>
  <c r="H167" s="1"/>
  <c r="E166"/>
  <c r="I166" s="1"/>
  <c r="C166"/>
  <c r="H166" s="1"/>
  <c r="E165"/>
  <c r="I165" s="1"/>
  <c r="C165"/>
  <c r="H165" s="1"/>
  <c r="E164"/>
  <c r="I164" s="1"/>
  <c r="C164"/>
  <c r="H164" s="1"/>
  <c r="E163"/>
  <c r="I163" s="1"/>
  <c r="C163"/>
  <c r="H163" s="1"/>
  <c r="E162"/>
  <c r="I162" s="1"/>
  <c r="C162"/>
  <c r="H162" s="1"/>
  <c r="G161"/>
  <c r="E161"/>
  <c r="C161"/>
  <c r="G160"/>
  <c r="E160"/>
  <c r="C160"/>
  <c r="G159"/>
  <c r="E159"/>
  <c r="C159"/>
  <c r="G158"/>
  <c r="E158"/>
  <c r="C158"/>
  <c r="H158" s="1"/>
  <c r="G157"/>
  <c r="E157"/>
  <c r="C157"/>
  <c r="G156"/>
  <c r="E156"/>
  <c r="C156"/>
  <c r="G155"/>
  <c r="E155"/>
  <c r="C155"/>
  <c r="G154"/>
  <c r="E154"/>
  <c r="C154"/>
  <c r="H154" s="1"/>
  <c r="G153"/>
  <c r="C153"/>
  <c r="G152"/>
  <c r="C152"/>
  <c r="G151"/>
  <c r="C151"/>
  <c r="G150"/>
  <c r="C150"/>
  <c r="G149"/>
  <c r="C149"/>
  <c r="G148"/>
  <c r="C148"/>
  <c r="G147"/>
  <c r="C147"/>
  <c r="G146"/>
  <c r="C146"/>
  <c r="G145"/>
  <c r="C145"/>
  <c r="G144"/>
  <c r="C144"/>
  <c r="G143"/>
  <c r="C143"/>
  <c r="G142"/>
  <c r="C142"/>
  <c r="G141"/>
  <c r="C141"/>
  <c r="G140"/>
  <c r="C140"/>
  <c r="G139"/>
  <c r="C139"/>
  <c r="G138"/>
  <c r="C138"/>
  <c r="G137"/>
  <c r="C137"/>
  <c r="G136"/>
  <c r="C136"/>
  <c r="G135"/>
  <c r="C135"/>
  <c r="G134"/>
  <c r="C134"/>
  <c r="G133"/>
  <c r="C133"/>
  <c r="B133"/>
  <c r="G132"/>
  <c r="C132"/>
  <c r="G131"/>
  <c r="C131"/>
  <c r="G130"/>
  <c r="C130"/>
  <c r="G129"/>
  <c r="C129"/>
  <c r="G128"/>
  <c r="C128"/>
  <c r="G127"/>
  <c r="C127"/>
  <c r="G126"/>
  <c r="C126"/>
  <c r="G125"/>
  <c r="C125"/>
  <c r="G124"/>
  <c r="H124" s="1"/>
  <c r="F124"/>
  <c r="G123"/>
  <c r="H123" s="1"/>
  <c r="F123"/>
  <c r="G122"/>
  <c r="H122" s="1"/>
  <c r="F122"/>
  <c r="G121"/>
  <c r="H121" s="1"/>
  <c r="F121"/>
  <c r="G120"/>
  <c r="C120"/>
  <c r="G119"/>
  <c r="C119"/>
  <c r="G118"/>
  <c r="C118"/>
  <c r="G117"/>
  <c r="H117" s="1"/>
  <c r="F117"/>
  <c r="G116"/>
  <c r="F116"/>
  <c r="G115"/>
  <c r="F115"/>
  <c r="Q114"/>
  <c r="R114" s="1"/>
  <c r="O114"/>
  <c r="P114" s="1"/>
  <c r="L109"/>
  <c r="L91"/>
  <c r="L90"/>
  <c r="L89"/>
  <c r="L72"/>
  <c r="D60" i="4"/>
  <c r="D59"/>
  <c r="L58" i="5"/>
  <c r="H56"/>
  <c r="L46"/>
  <c r="T42"/>
  <c r="C37"/>
  <c r="D37" i="4" s="1"/>
  <c r="L27" i="5"/>
  <c r="H26"/>
  <c r="D115" i="4"/>
  <c r="B115"/>
  <c r="C114"/>
  <c r="B114"/>
  <c r="E113"/>
  <c r="E111" s="1"/>
  <c r="C113"/>
  <c r="C112"/>
  <c r="B112"/>
  <c r="E110"/>
  <c r="C110"/>
  <c r="E109"/>
  <c r="C109"/>
  <c r="E108"/>
  <c r="C108"/>
  <c r="E107"/>
  <c r="C107"/>
  <c r="A107"/>
  <c r="E106"/>
  <c r="C106"/>
  <c r="E105"/>
  <c r="C105"/>
  <c r="A105"/>
  <c r="E101"/>
  <c r="C101"/>
  <c r="E100"/>
  <c r="C100"/>
  <c r="A100"/>
  <c r="E99"/>
  <c r="C99"/>
  <c r="A99"/>
  <c r="E98"/>
  <c r="C98"/>
  <c r="E97"/>
  <c r="C97"/>
  <c r="E96"/>
  <c r="C96"/>
  <c r="C95"/>
  <c r="B95"/>
  <c r="A95"/>
  <c r="E94"/>
  <c r="C94"/>
  <c r="A94"/>
  <c r="E93"/>
  <c r="C93"/>
  <c r="C92"/>
  <c r="B92"/>
  <c r="A92"/>
  <c r="C91"/>
  <c r="B91"/>
  <c r="E90"/>
  <c r="C90"/>
  <c r="A90"/>
  <c r="E89"/>
  <c r="C89"/>
  <c r="A89"/>
  <c r="A73" i="5" s="1"/>
  <c r="E88" i="4"/>
  <c r="C88"/>
  <c r="A88"/>
  <c r="E87"/>
  <c r="C87"/>
  <c r="A87"/>
  <c r="E86"/>
  <c r="C86"/>
  <c r="A86"/>
  <c r="E85"/>
  <c r="C85"/>
  <c r="A85"/>
  <c r="E84"/>
  <c r="C84"/>
  <c r="B84"/>
  <c r="C83"/>
  <c r="B83"/>
  <c r="A83"/>
  <c r="E82"/>
  <c r="C82"/>
  <c r="A82"/>
  <c r="E81"/>
  <c r="C81"/>
  <c r="A81"/>
  <c r="E80"/>
  <c r="C80"/>
  <c r="A80"/>
  <c r="E79"/>
  <c r="C79"/>
  <c r="A79"/>
  <c r="E78"/>
  <c r="C78"/>
  <c r="A78"/>
  <c r="E77"/>
  <c r="C77"/>
  <c r="A77"/>
  <c r="E76"/>
  <c r="C76"/>
  <c r="A76"/>
  <c r="E75"/>
  <c r="C75"/>
  <c r="E74"/>
  <c r="C74"/>
  <c r="A74"/>
  <c r="C73"/>
  <c r="B73"/>
  <c r="E72"/>
  <c r="C72"/>
  <c r="A72"/>
  <c r="E71"/>
  <c r="C71"/>
  <c r="E70"/>
  <c r="C70"/>
  <c r="C69"/>
  <c r="B69"/>
  <c r="A69"/>
  <c r="E68"/>
  <c r="C68"/>
  <c r="A68"/>
  <c r="E67"/>
  <c r="C67"/>
  <c r="A67"/>
  <c r="E66"/>
  <c r="A66"/>
  <c r="E65"/>
  <c r="A65"/>
  <c r="E64"/>
  <c r="C64"/>
  <c r="A64"/>
  <c r="E62"/>
  <c r="E63" s="1"/>
  <c r="C62"/>
  <c r="A62"/>
  <c r="E61"/>
  <c r="C61"/>
  <c r="A61"/>
  <c r="E60"/>
  <c r="C60"/>
  <c r="E59"/>
  <c r="C59"/>
  <c r="C58"/>
  <c r="B58"/>
  <c r="A58"/>
  <c r="E57"/>
  <c r="C57"/>
  <c r="A57"/>
  <c r="E56"/>
  <c r="C56"/>
  <c r="A56"/>
  <c r="E55"/>
  <c r="C55"/>
  <c r="A55"/>
  <c r="E54"/>
  <c r="C54"/>
  <c r="B53"/>
  <c r="A53"/>
  <c r="E52"/>
  <c r="C52"/>
  <c r="A52"/>
  <c r="E51"/>
  <c r="C51"/>
  <c r="A51"/>
  <c r="E50"/>
  <c r="A50"/>
  <c r="E49"/>
  <c r="C49"/>
  <c r="A49"/>
  <c r="E48"/>
  <c r="C48"/>
  <c r="E47"/>
  <c r="C47"/>
  <c r="A47"/>
  <c r="C46"/>
  <c r="B46"/>
  <c r="A46"/>
  <c r="E45"/>
  <c r="C45"/>
  <c r="A45"/>
  <c r="E44"/>
  <c r="C44"/>
  <c r="A44"/>
  <c r="E43"/>
  <c r="C43"/>
  <c r="A43"/>
  <c r="E42"/>
  <c r="C42"/>
  <c r="A42"/>
  <c r="E41"/>
  <c r="C41"/>
  <c r="A41"/>
  <c r="E40"/>
  <c r="C40"/>
  <c r="A40"/>
  <c r="E39"/>
  <c r="C39"/>
  <c r="A39"/>
  <c r="E38"/>
  <c r="C38"/>
  <c r="A38"/>
  <c r="E37"/>
  <c r="C37"/>
  <c r="A37"/>
  <c r="E36"/>
  <c r="C36"/>
  <c r="A36"/>
  <c r="E35"/>
  <c r="C35"/>
  <c r="A35"/>
  <c r="E34"/>
  <c r="C34"/>
  <c r="B33"/>
  <c r="A33"/>
  <c r="E29"/>
  <c r="C29"/>
  <c r="E28"/>
  <c r="C28"/>
  <c r="C27"/>
  <c r="B27"/>
  <c r="A27"/>
  <c r="E26"/>
  <c r="C26"/>
  <c r="C25"/>
  <c r="B25"/>
  <c r="A25"/>
  <c r="E24"/>
  <c r="C24"/>
  <c r="C23"/>
  <c r="B23"/>
  <c r="A23"/>
  <c r="E22"/>
  <c r="C22"/>
  <c r="B21"/>
  <c r="A21"/>
  <c r="E20"/>
  <c r="C20"/>
  <c r="C19"/>
  <c r="B19"/>
  <c r="A19"/>
  <c r="E18"/>
  <c r="C18"/>
  <c r="A18"/>
  <c r="E17"/>
  <c r="C17"/>
  <c r="C16"/>
  <c r="B16"/>
  <c r="A16"/>
  <c r="E11"/>
  <c r="C10"/>
  <c r="B10"/>
  <c r="A10"/>
  <c r="E9"/>
  <c r="C9"/>
  <c r="A9"/>
  <c r="E8"/>
  <c r="C8"/>
  <c r="A8"/>
  <c r="E7"/>
  <c r="C7"/>
  <c r="A7"/>
  <c r="E6"/>
  <c r="C6"/>
  <c r="F5"/>
  <c r="E5"/>
  <c r="C5"/>
  <c r="B5"/>
  <c r="A5"/>
  <c r="E11" i="3"/>
  <c r="E14" s="1"/>
  <c r="H8"/>
  <c r="G9" s="1"/>
  <c r="G6" i="5" s="1"/>
  <c r="A1" i="3"/>
  <c r="I100" i="5"/>
  <c r="B63" i="4" s="1"/>
  <c r="H602" i="2"/>
  <c r="H601"/>
  <c r="H597"/>
  <c r="H596"/>
  <c r="H593"/>
  <c r="H594" s="1"/>
  <c r="H590"/>
  <c r="H589"/>
  <c r="H584"/>
  <c r="H586" s="1"/>
  <c r="H581"/>
  <c r="H580"/>
  <c r="H577"/>
  <c r="H578" s="1"/>
  <c r="H574"/>
  <c r="H575" s="1"/>
  <c r="H571"/>
  <c r="H570"/>
  <c r="H566"/>
  <c r="H565"/>
  <c r="H562"/>
  <c r="H563" s="1"/>
  <c r="H557"/>
  <c r="H558" s="1"/>
  <c r="H554"/>
  <c r="H555" s="1"/>
  <c r="E113" i="5" s="1"/>
  <c r="H551" i="2"/>
  <c r="H549"/>
  <c r="H546"/>
  <c r="H547" s="1"/>
  <c r="H543"/>
  <c r="H544" s="1"/>
  <c r="H540"/>
  <c r="H541" s="1"/>
  <c r="H537"/>
  <c r="H538" s="1"/>
  <c r="H534"/>
  <c r="H535" s="1"/>
  <c r="H531"/>
  <c r="H532" s="1"/>
  <c r="H528"/>
  <c r="H529" s="1"/>
  <c r="H525"/>
  <c r="H524"/>
  <c r="H523"/>
  <c r="H520"/>
  <c r="H519"/>
  <c r="H516"/>
  <c r="H514"/>
  <c r="H511"/>
  <c r="H512" s="1"/>
  <c r="E84" i="5" s="1"/>
  <c r="H507" i="2"/>
  <c r="H508" s="1"/>
  <c r="H504"/>
  <c r="H505" s="1"/>
  <c r="H501"/>
  <c r="H502" s="1"/>
  <c r="H498"/>
  <c r="H497"/>
  <c r="H496"/>
  <c r="H493"/>
  <c r="H492"/>
  <c r="H491"/>
  <c r="H490"/>
  <c r="H484"/>
  <c r="H483"/>
  <c r="H477"/>
  <c r="H478"/>
  <c r="H472"/>
  <c r="H471"/>
  <c r="H468"/>
  <c r="H467"/>
  <c r="H455"/>
  <c r="H454"/>
  <c r="H453"/>
  <c r="H452"/>
  <c r="H451"/>
  <c r="H450"/>
  <c r="H449"/>
  <c r="H448"/>
  <c r="H447"/>
  <c r="H446"/>
  <c r="H445"/>
  <c r="H444"/>
  <c r="H443"/>
  <c r="H442"/>
  <c r="H441"/>
  <c r="H440"/>
  <c r="H439"/>
  <c r="H438"/>
  <c r="H437"/>
  <c r="H436"/>
  <c r="H435"/>
  <c r="H434"/>
  <c r="H433"/>
  <c r="H432"/>
  <c r="H431"/>
  <c r="H430"/>
  <c r="H429"/>
  <c r="H428"/>
  <c r="H427"/>
  <c r="H421"/>
  <c r="H420"/>
  <c r="H419"/>
  <c r="H418"/>
  <c r="H417"/>
  <c r="H425" s="1"/>
  <c r="E104" i="5" s="1"/>
  <c r="H413" i="2"/>
  <c r="H412"/>
  <c r="H411"/>
  <c r="H410"/>
  <c r="H409"/>
  <c r="H408"/>
  <c r="H407"/>
  <c r="H406"/>
  <c r="H405"/>
  <c r="H404"/>
  <c r="H403"/>
  <c r="H402"/>
  <c r="H401"/>
  <c r="H400"/>
  <c r="H399"/>
  <c r="H398"/>
  <c r="H397"/>
  <c r="H396"/>
  <c r="H395"/>
  <c r="H394"/>
  <c r="H393"/>
  <c r="H392"/>
  <c r="H391"/>
  <c r="H390"/>
  <c r="H389"/>
  <c r="H388"/>
  <c r="H387"/>
  <c r="H386"/>
  <c r="H385"/>
  <c r="H382"/>
  <c r="H381"/>
  <c r="H376"/>
  <c r="H378" s="1"/>
  <c r="H370"/>
  <c r="H369"/>
  <c r="H365"/>
  <c r="H364"/>
  <c r="H363"/>
  <c r="H362"/>
  <c r="H361"/>
  <c r="H360"/>
  <c r="H359"/>
  <c r="H356"/>
  <c r="H355"/>
  <c r="H354"/>
  <c r="H350"/>
  <c r="H352" s="1"/>
  <c r="H346"/>
  <c r="H348" s="1"/>
  <c r="H342"/>
  <c r="H343" s="1"/>
  <c r="H339"/>
  <c r="H340" s="1"/>
  <c r="H334"/>
  <c r="H336" s="1"/>
  <c r="H331"/>
  <c r="H330"/>
  <c r="H326"/>
  <c r="H328" s="1"/>
  <c r="E108" i="5" s="1"/>
  <c r="E320" i="2"/>
  <c r="D320"/>
  <c r="B320"/>
  <c r="H319"/>
  <c r="C320"/>
  <c r="H315"/>
  <c r="H310"/>
  <c r="H309"/>
  <c r="H308"/>
  <c r="H307"/>
  <c r="H303"/>
  <c r="H302"/>
  <c r="E301"/>
  <c r="H301" s="1"/>
  <c r="H297"/>
  <c r="H296"/>
  <c r="H295"/>
  <c r="H294"/>
  <c r="H293"/>
  <c r="H291"/>
  <c r="E32" i="5" s="1"/>
  <c r="H287" i="2"/>
  <c r="H288" s="1"/>
  <c r="H284"/>
  <c r="H285" s="1"/>
  <c r="H282"/>
  <c r="H283" s="1"/>
  <c r="H278"/>
  <c r="H280" s="1"/>
  <c r="H274"/>
  <c r="H273"/>
  <c r="H272"/>
  <c r="H271"/>
  <c r="H270"/>
  <c r="H269"/>
  <c r="H266"/>
  <c r="H265"/>
  <c r="H264"/>
  <c r="H263"/>
  <c r="H262"/>
  <c r="H261"/>
  <c r="H260"/>
  <c r="H259"/>
  <c r="H258"/>
  <c r="H257"/>
  <c r="H256"/>
  <c r="H255"/>
  <c r="H254"/>
  <c r="H253"/>
  <c r="H252"/>
  <c r="H251"/>
  <c r="H250"/>
  <c r="H249"/>
  <c r="H248"/>
  <c r="H247"/>
  <c r="H246"/>
  <c r="H245"/>
  <c r="H244"/>
  <c r="H243"/>
  <c r="H242"/>
  <c r="H241"/>
  <c r="H240"/>
  <c r="H239"/>
  <c r="H238"/>
  <c r="H225"/>
  <c r="H233"/>
  <c r="H232"/>
  <c r="H230"/>
  <c r="H229"/>
  <c r="H228"/>
  <c r="H227"/>
  <c r="H226"/>
  <c r="H224"/>
  <c r="H220"/>
  <c r="H221" s="1"/>
  <c r="H217"/>
  <c r="H216"/>
  <c r="H213"/>
  <c r="H214" s="1"/>
  <c r="H210"/>
  <c r="H209"/>
  <c r="H206"/>
  <c r="H207" s="1"/>
  <c r="H202"/>
  <c r="H203" s="1"/>
  <c r="H199"/>
  <c r="E26" i="5" s="1"/>
  <c r="H156" i="2"/>
  <c r="H155"/>
  <c r="H149"/>
  <c r="H151" s="1"/>
  <c r="H138"/>
  <c r="H140" s="1"/>
  <c r="H144"/>
  <c r="H146" s="1"/>
  <c r="E20" i="5" s="1"/>
  <c r="H130" i="2"/>
  <c r="H129"/>
  <c r="H128"/>
  <c r="H127"/>
  <c r="H126"/>
  <c r="H125"/>
  <c r="H124"/>
  <c r="H112"/>
  <c r="H113"/>
  <c r="H114"/>
  <c r="H115"/>
  <c r="H116"/>
  <c r="H117"/>
  <c r="H118"/>
  <c r="H111"/>
  <c r="H87"/>
  <c r="H86"/>
  <c r="H85"/>
  <c r="H84"/>
  <c r="G80"/>
  <c r="H80" s="1"/>
  <c r="G79"/>
  <c r="H79" s="1"/>
  <c r="H76"/>
  <c r="H82"/>
  <c r="H75"/>
  <c r="H73"/>
  <c r="H72"/>
  <c r="H103"/>
  <c r="H105"/>
  <c r="H104"/>
  <c r="H102"/>
  <c r="H54"/>
  <c r="H53"/>
  <c r="H57"/>
  <c r="H44"/>
  <c r="H43"/>
  <c r="H42"/>
  <c r="H41"/>
  <c r="H29"/>
  <c r="H24"/>
  <c r="H23"/>
  <c r="H22"/>
  <c r="H21"/>
  <c r="H17"/>
  <c r="H16"/>
  <c r="H15"/>
  <c r="H14"/>
  <c r="H13"/>
  <c r="H12"/>
  <c r="H11"/>
  <c r="H10"/>
  <c r="H9"/>
  <c r="H8"/>
  <c r="H299" l="1"/>
  <c r="E38" i="5" s="1"/>
  <c r="E63"/>
  <c r="I63" s="1"/>
  <c r="E34"/>
  <c r="I34" s="1"/>
  <c r="B34" i="4" s="1"/>
  <c r="E51" i="5"/>
  <c r="I51" s="1"/>
  <c r="E78"/>
  <c r="I78" s="1"/>
  <c r="E73"/>
  <c r="I73" s="1"/>
  <c r="B89" i="4" s="1"/>
  <c r="F89" s="1"/>
  <c r="E102" i="5"/>
  <c r="I102" s="1"/>
  <c r="E82"/>
  <c r="I82" s="1"/>
  <c r="E85"/>
  <c r="I85" s="1"/>
  <c r="E88"/>
  <c r="I88" s="1"/>
  <c r="E86"/>
  <c r="I86" s="1"/>
  <c r="E55"/>
  <c r="I55" s="1"/>
  <c r="E62"/>
  <c r="I62" s="1"/>
  <c r="E67"/>
  <c r="I67" s="1"/>
  <c r="E22"/>
  <c r="I22" s="1"/>
  <c r="E24"/>
  <c r="I24" s="1"/>
  <c r="E35"/>
  <c r="I35" s="1"/>
  <c r="E44"/>
  <c r="I44" s="1"/>
  <c r="E48"/>
  <c r="I48" s="1"/>
  <c r="E17"/>
  <c r="I17" s="1"/>
  <c r="E28"/>
  <c r="I28" s="1"/>
  <c r="E42"/>
  <c r="I42" s="1"/>
  <c r="E47"/>
  <c r="I47" s="1"/>
  <c r="E39"/>
  <c r="I39" s="1"/>
  <c r="E106"/>
  <c r="I106" s="1"/>
  <c r="E66"/>
  <c r="I66" s="1"/>
  <c r="E98"/>
  <c r="I98" s="1"/>
  <c r="E77"/>
  <c r="I77" s="1"/>
  <c r="E79"/>
  <c r="I79" s="1"/>
  <c r="E101"/>
  <c r="I101" s="1"/>
  <c r="B101" i="4" s="1"/>
  <c r="F101" s="1"/>
  <c r="E80" i="5"/>
  <c r="I80" s="1"/>
  <c r="E76"/>
  <c r="I76" s="1"/>
  <c r="E87"/>
  <c r="I87" s="1"/>
  <c r="E81"/>
  <c r="I81" s="1"/>
  <c r="E59"/>
  <c r="I59" s="1"/>
  <c r="E65"/>
  <c r="I65" s="1"/>
  <c r="E70"/>
  <c r="I70" s="1"/>
  <c r="H119"/>
  <c r="H129"/>
  <c r="H134"/>
  <c r="H138"/>
  <c r="H142"/>
  <c r="H146"/>
  <c r="H150"/>
  <c r="H89" i="2"/>
  <c r="E93" i="5" s="1"/>
  <c r="H168" i="2"/>
  <c r="E95" i="5" s="1"/>
  <c r="H109" i="2"/>
  <c r="E9" i="5" s="1"/>
  <c r="H121" i="2"/>
  <c r="H69"/>
  <c r="H469"/>
  <c r="H480"/>
  <c r="H46"/>
  <c r="E8" i="5" s="1"/>
  <c r="I108"/>
  <c r="J108" s="1"/>
  <c r="K706" i="7"/>
  <c r="I707" s="1"/>
  <c r="K707" s="1"/>
  <c r="I708" s="1"/>
  <c r="I3212"/>
  <c r="K1534"/>
  <c r="P1632"/>
  <c r="R1632" s="1"/>
  <c r="K1630"/>
  <c r="I3273"/>
  <c r="K3273" s="1"/>
  <c r="K3174"/>
  <c r="P3448"/>
  <c r="R3448" s="1"/>
  <c r="R3234"/>
  <c r="I3958"/>
  <c r="K3942"/>
  <c r="H127" i="5"/>
  <c r="H131"/>
  <c r="H136"/>
  <c r="H140"/>
  <c r="H144"/>
  <c r="H148"/>
  <c r="H152"/>
  <c r="H156"/>
  <c r="H160"/>
  <c r="J203"/>
  <c r="J207"/>
  <c r="AC31" i="7"/>
  <c r="C67" s="1"/>
  <c r="J539"/>
  <c r="W539" s="1"/>
  <c r="AC539" s="1"/>
  <c r="AE1067"/>
  <c r="AG1067" s="1"/>
  <c r="P1051"/>
  <c r="R1051" s="1"/>
  <c r="P992"/>
  <c r="R992" s="1"/>
  <c r="P1069"/>
  <c r="R1069" s="1"/>
  <c r="K1058"/>
  <c r="P1429"/>
  <c r="V1373"/>
  <c r="V1390" s="1"/>
  <c r="R1412"/>
  <c r="P1968"/>
  <c r="R1968" s="1"/>
  <c r="K1968"/>
  <c r="P2979"/>
  <c r="R2979" s="1"/>
  <c r="K2972"/>
  <c r="V3161"/>
  <c r="X3161" s="1"/>
  <c r="X3136"/>
  <c r="P1098"/>
  <c r="K1024"/>
  <c r="AB1359"/>
  <c r="X1361"/>
  <c r="V1395"/>
  <c r="X1378"/>
  <c r="I3328"/>
  <c r="R3268"/>
  <c r="J187" i="5"/>
  <c r="J191"/>
  <c r="J195"/>
  <c r="J199"/>
  <c r="K604" i="7"/>
  <c r="V582"/>
  <c r="X582" s="1"/>
  <c r="I2841"/>
  <c r="K993"/>
  <c r="AC1199"/>
  <c r="AJ1199" s="1"/>
  <c r="AJ1198"/>
  <c r="Z2605"/>
  <c r="AE2621"/>
  <c r="AG2621" s="1"/>
  <c r="X2607"/>
  <c r="I3491"/>
  <c r="K3491" s="1"/>
  <c r="AE2796"/>
  <c r="AG2796" s="1"/>
  <c r="P2862"/>
  <c r="R2862" s="1"/>
  <c r="R2829"/>
  <c r="P3446"/>
  <c r="R3446" s="1"/>
  <c r="R3232"/>
  <c r="I3327"/>
  <c r="R3267"/>
  <c r="I3960"/>
  <c r="I3977" s="1"/>
  <c r="K3977" s="1"/>
  <c r="K3944"/>
  <c r="I4040"/>
  <c r="K4040" s="1"/>
  <c r="K4028"/>
  <c r="R953"/>
  <c r="P1055"/>
  <c r="R1055" s="1"/>
  <c r="H473" i="2"/>
  <c r="H485"/>
  <c r="H125" i="5"/>
  <c r="J213"/>
  <c r="J664" i="7"/>
  <c r="W488"/>
  <c r="AC488" s="1"/>
  <c r="V881"/>
  <c r="I897"/>
  <c r="K897" s="1"/>
  <c r="K881"/>
  <c r="P1410"/>
  <c r="V1354"/>
  <c r="R1393"/>
  <c r="I3170"/>
  <c r="K1505"/>
  <c r="I3198"/>
  <c r="K1547"/>
  <c r="P3065"/>
  <c r="R3065" s="1"/>
  <c r="I3077"/>
  <c r="I3544"/>
  <c r="K3528"/>
  <c r="I3586"/>
  <c r="K3586" s="1"/>
  <c r="K3576"/>
  <c r="K708"/>
  <c r="I709" s="1"/>
  <c r="K709" s="1"/>
  <c r="I710" s="1"/>
  <c r="K710" s="1"/>
  <c r="K2098"/>
  <c r="P2510"/>
  <c r="M2514" s="1"/>
  <c r="K2888"/>
  <c r="K2890" s="1"/>
  <c r="K3077"/>
  <c r="AC280"/>
  <c r="W404"/>
  <c r="V880"/>
  <c r="X885"/>
  <c r="P1070"/>
  <c r="R1070" s="1"/>
  <c r="R1357"/>
  <c r="R1358" s="1"/>
  <c r="X1374"/>
  <c r="R1414"/>
  <c r="K1587"/>
  <c r="K1670"/>
  <c r="X2605"/>
  <c r="AE2641"/>
  <c r="AB2650" s="1"/>
  <c r="E2762"/>
  <c r="K3531"/>
  <c r="K3587"/>
  <c r="K3588" s="1"/>
  <c r="H3871"/>
  <c r="E3875" s="1"/>
  <c r="AD280"/>
  <c r="K684"/>
  <c r="I686" s="1"/>
  <c r="K686" s="1"/>
  <c r="I687" s="1"/>
  <c r="K687" s="1"/>
  <c r="I688" s="1"/>
  <c r="AE828"/>
  <c r="AF684"/>
  <c r="AF686" s="1"/>
  <c r="AE1194"/>
  <c r="R1408"/>
  <c r="N1944"/>
  <c r="N1945" s="1"/>
  <c r="K2426"/>
  <c r="K3110"/>
  <c r="D67" i="8"/>
  <c r="F67" s="1"/>
  <c r="X2788" i="7"/>
  <c r="X2790"/>
  <c r="K2973"/>
  <c r="K3058"/>
  <c r="V3124"/>
  <c r="D69" i="8"/>
  <c r="F69" s="1"/>
  <c r="P3150" i="7"/>
  <c r="M3157" s="1"/>
  <c r="U3152"/>
  <c r="K3153"/>
  <c r="K3156"/>
  <c r="R3201"/>
  <c r="K3494" s="1"/>
  <c r="R3231"/>
  <c r="R3266"/>
  <c r="I3419"/>
  <c r="F3424" s="1"/>
  <c r="K3424" s="1"/>
  <c r="R3529"/>
  <c r="M3544"/>
  <c r="R3544" s="1"/>
  <c r="K3575"/>
  <c r="K3577" s="1"/>
  <c r="K3578" s="1"/>
  <c r="I3579" s="1"/>
  <c r="K3579" s="1"/>
  <c r="H3850"/>
  <c r="K3943"/>
  <c r="K3964"/>
  <c r="H135" i="2"/>
  <c r="F118" i="5"/>
  <c r="I119"/>
  <c r="F120"/>
  <c r="I125"/>
  <c r="F126"/>
  <c r="I127"/>
  <c r="F128"/>
  <c r="I129"/>
  <c r="F130"/>
  <c r="I131"/>
  <c r="F132"/>
  <c r="F133"/>
  <c r="I134"/>
  <c r="F135"/>
  <c r="I136"/>
  <c r="F137"/>
  <c r="I138"/>
  <c r="F139"/>
  <c r="I140"/>
  <c r="F141"/>
  <c r="I142"/>
  <c r="F143"/>
  <c r="H6"/>
  <c r="I144"/>
  <c r="F145"/>
  <c r="I146"/>
  <c r="F147"/>
  <c r="I148"/>
  <c r="F149"/>
  <c r="I150"/>
  <c r="F151"/>
  <c r="H312" i="2"/>
  <c r="I18" i="5"/>
  <c r="B18" i="4" s="1"/>
  <c r="F113" i="5"/>
  <c r="I113"/>
  <c r="H316" i="2"/>
  <c r="H591"/>
  <c r="I32" i="5"/>
  <c r="B32" i="4" s="1"/>
  <c r="F63"/>
  <c r="I84" i="5"/>
  <c r="J84" s="1"/>
  <c r="F84"/>
  <c r="H14"/>
  <c r="H17"/>
  <c r="F17"/>
  <c r="H20"/>
  <c r="H24"/>
  <c r="F24"/>
  <c r="I26"/>
  <c r="F26"/>
  <c r="H28"/>
  <c r="F28"/>
  <c r="H36"/>
  <c r="H38"/>
  <c r="H40"/>
  <c r="H44"/>
  <c r="F44"/>
  <c r="H48"/>
  <c r="H49"/>
  <c r="H51"/>
  <c r="F51"/>
  <c r="H54"/>
  <c r="K54" s="1"/>
  <c r="H57"/>
  <c r="H59"/>
  <c r="L59" s="1"/>
  <c r="F59"/>
  <c r="H61"/>
  <c r="H63"/>
  <c r="F63"/>
  <c r="H65"/>
  <c r="F65"/>
  <c r="H67"/>
  <c r="F67"/>
  <c r="H70"/>
  <c r="H75"/>
  <c r="H77"/>
  <c r="F77"/>
  <c r="H79"/>
  <c r="F79"/>
  <c r="F81"/>
  <c r="H81"/>
  <c r="H85"/>
  <c r="F85"/>
  <c r="H87"/>
  <c r="F87"/>
  <c r="H93"/>
  <c r="H98"/>
  <c r="F98"/>
  <c r="J100"/>
  <c r="H100"/>
  <c r="F100"/>
  <c r="H103"/>
  <c r="H105"/>
  <c r="H107"/>
  <c r="H11"/>
  <c r="H15"/>
  <c r="H18"/>
  <c r="L18" s="1"/>
  <c r="H22"/>
  <c r="F22"/>
  <c r="H29"/>
  <c r="H35"/>
  <c r="F35"/>
  <c r="H37"/>
  <c r="H39"/>
  <c r="F39"/>
  <c r="H42"/>
  <c r="F42"/>
  <c r="H45"/>
  <c r="L45" s="1"/>
  <c r="H47"/>
  <c r="F47"/>
  <c r="H52"/>
  <c r="H55"/>
  <c r="F55"/>
  <c r="I56"/>
  <c r="F56"/>
  <c r="H60"/>
  <c r="L60" s="1"/>
  <c r="H62"/>
  <c r="F62"/>
  <c r="H64"/>
  <c r="H66"/>
  <c r="F66"/>
  <c r="H69"/>
  <c r="H71"/>
  <c r="H74"/>
  <c r="H76"/>
  <c r="F76"/>
  <c r="H78"/>
  <c r="F78"/>
  <c r="H80"/>
  <c r="F80"/>
  <c r="H82"/>
  <c r="L82" s="1"/>
  <c r="F82"/>
  <c r="H86"/>
  <c r="F86"/>
  <c r="H88"/>
  <c r="F88"/>
  <c r="H92"/>
  <c r="H99"/>
  <c r="H102"/>
  <c r="F102"/>
  <c r="H104"/>
  <c r="H106"/>
  <c r="F106"/>
  <c r="H108"/>
  <c r="K108" s="1"/>
  <c r="F108"/>
  <c r="H110"/>
  <c r="AC46" i="7"/>
  <c r="X35"/>
  <c r="X36"/>
  <c r="Z42"/>
  <c r="AC42" s="1"/>
  <c r="Z45"/>
  <c r="AC45" s="1"/>
  <c r="H494" i="2"/>
  <c r="J179" i="5"/>
  <c r="J180"/>
  <c r="J181"/>
  <c r="F182"/>
  <c r="F183"/>
  <c r="F184"/>
  <c r="F186"/>
  <c r="F188"/>
  <c r="J214"/>
  <c r="F190"/>
  <c r="H598" i="2"/>
  <c r="H603"/>
  <c r="I152" i="5"/>
  <c r="J152" s="1"/>
  <c r="F153"/>
  <c r="I154"/>
  <c r="C460" i="2"/>
  <c r="H460" s="1"/>
  <c r="I20" i="5"/>
  <c r="B20" i="4" s="1"/>
  <c r="F155" i="5"/>
  <c r="I156"/>
  <c r="J156" s="1"/>
  <c r="F157"/>
  <c r="I158"/>
  <c r="J158" s="1"/>
  <c r="I160"/>
  <c r="J208"/>
  <c r="J209"/>
  <c r="F159"/>
  <c r="S114"/>
  <c r="T114" s="1"/>
  <c r="I115"/>
  <c r="J115" s="1"/>
  <c r="I117"/>
  <c r="H132"/>
  <c r="F175"/>
  <c r="F177"/>
  <c r="F179"/>
  <c r="F181"/>
  <c r="I116"/>
  <c r="J125"/>
  <c r="J210"/>
  <c r="J211"/>
  <c r="H118"/>
  <c r="H120"/>
  <c r="H126"/>
  <c r="H128"/>
  <c r="H130"/>
  <c r="H133"/>
  <c r="H135"/>
  <c r="H137"/>
  <c r="H139"/>
  <c r="H141"/>
  <c r="H143"/>
  <c r="H145"/>
  <c r="H147"/>
  <c r="H149"/>
  <c r="H151"/>
  <c r="H153"/>
  <c r="H155"/>
  <c r="H157"/>
  <c r="H159"/>
  <c r="H161"/>
  <c r="J163"/>
  <c r="J165"/>
  <c r="J167"/>
  <c r="J169"/>
  <c r="J171"/>
  <c r="J182"/>
  <c r="J184"/>
  <c r="J186"/>
  <c r="J188"/>
  <c r="J190"/>
  <c r="J192"/>
  <c r="J194"/>
  <c r="J196"/>
  <c r="J198"/>
  <c r="J200"/>
  <c r="J202"/>
  <c r="J204"/>
  <c r="J206"/>
  <c r="J119"/>
  <c r="J127"/>
  <c r="J129"/>
  <c r="J131"/>
  <c r="J134"/>
  <c r="J136"/>
  <c r="J138"/>
  <c r="J140"/>
  <c r="J142"/>
  <c r="J144"/>
  <c r="J146"/>
  <c r="J148"/>
  <c r="J150"/>
  <c r="J154"/>
  <c r="J160"/>
  <c r="F161"/>
  <c r="J162"/>
  <c r="J164"/>
  <c r="J166"/>
  <c r="J168"/>
  <c r="J170"/>
  <c r="J172"/>
  <c r="J173"/>
  <c r="J174"/>
  <c r="J175"/>
  <c r="J176"/>
  <c r="J177"/>
  <c r="J178"/>
  <c r="J183"/>
  <c r="F192"/>
  <c r="F194"/>
  <c r="F196"/>
  <c r="F198"/>
  <c r="F200"/>
  <c r="F202"/>
  <c r="F204"/>
  <c r="F206"/>
  <c r="F208"/>
  <c r="F209"/>
  <c r="F210"/>
  <c r="F211"/>
  <c r="J212"/>
  <c r="H115"/>
  <c r="H521" i="2"/>
  <c r="E111" i="5" s="1"/>
  <c r="H526" i="2"/>
  <c r="E112" i="5" s="1"/>
  <c r="I15"/>
  <c r="H499" i="2"/>
  <c r="H567"/>
  <c r="H572"/>
  <c r="H582"/>
  <c r="F10" i="4"/>
  <c r="F53"/>
  <c r="F16"/>
  <c r="F19"/>
  <c r="F69"/>
  <c r="F83"/>
  <c r="F84"/>
  <c r="AC47" i="7"/>
  <c r="P3516"/>
  <c r="R3516" s="1"/>
  <c r="P2359"/>
  <c r="R2359" s="1"/>
  <c r="I2298"/>
  <c r="K2298" s="1"/>
  <c r="P1376"/>
  <c r="R1376" s="1"/>
  <c r="V1335"/>
  <c r="AI1191"/>
  <c r="AK1191" s="1"/>
  <c r="C11"/>
  <c r="I3461"/>
  <c r="I2686"/>
  <c r="K2686" s="1"/>
  <c r="I2399"/>
  <c r="I2349"/>
  <c r="I2335"/>
  <c r="K2335" s="1"/>
  <c r="I2322"/>
  <c r="K2322" s="1"/>
  <c r="J3047"/>
  <c r="K3047" s="1"/>
  <c r="I2996"/>
  <c r="K2996" s="1"/>
  <c r="I2793"/>
  <c r="K2793" s="1"/>
  <c r="L2759" s="1"/>
  <c r="I2741"/>
  <c r="K2741" s="1"/>
  <c r="I2713"/>
  <c r="I2428"/>
  <c r="I2369"/>
  <c r="P2337"/>
  <c r="R2337" s="1"/>
  <c r="I2178"/>
  <c r="K2178" s="1"/>
  <c r="I2165"/>
  <c r="K2165" s="1"/>
  <c r="I2152"/>
  <c r="I2079"/>
  <c r="K2079" s="1"/>
  <c r="I2055"/>
  <c r="K2055" s="1"/>
  <c r="I2031"/>
  <c r="I1995"/>
  <c r="I1944"/>
  <c r="I1912"/>
  <c r="K1912" s="1"/>
  <c r="I1846"/>
  <c r="I1810"/>
  <c r="K1810" s="1"/>
  <c r="I1708"/>
  <c r="K1708" s="1"/>
  <c r="I1647"/>
  <c r="P1523"/>
  <c r="R1523" s="1"/>
  <c r="I1480"/>
  <c r="K1480" s="1"/>
  <c r="I1467"/>
  <c r="K1467" s="1"/>
  <c r="I1435"/>
  <c r="K1435" s="1"/>
  <c r="I1407"/>
  <c r="K1407" s="1"/>
  <c r="I1394"/>
  <c r="K1394" s="1"/>
  <c r="I2132"/>
  <c r="K2132" s="1"/>
  <c r="I2107"/>
  <c r="K2107" s="1"/>
  <c r="I2012"/>
  <c r="I1974"/>
  <c r="I1828"/>
  <c r="K1828" s="1"/>
  <c r="I1519"/>
  <c r="K1519" s="1"/>
  <c r="I1507"/>
  <c r="I1492"/>
  <c r="K1492" s="1"/>
  <c r="I1455"/>
  <c r="K1455" s="1"/>
  <c r="I1420"/>
  <c r="K1420" s="1"/>
  <c r="I1381"/>
  <c r="K1381" s="1"/>
  <c r="I1359"/>
  <c r="K1359" s="1"/>
  <c r="I1253"/>
  <c r="P1146"/>
  <c r="I900"/>
  <c r="K900" s="1"/>
  <c r="P891"/>
  <c r="R891" s="1"/>
  <c r="I884"/>
  <c r="I866"/>
  <c r="I763"/>
  <c r="K763" s="1"/>
  <c r="V711"/>
  <c r="I652"/>
  <c r="K652" s="1"/>
  <c r="I606"/>
  <c r="K606" s="1"/>
  <c r="I584"/>
  <c r="V530"/>
  <c r="P523"/>
  <c r="R523" s="1"/>
  <c r="I1338"/>
  <c r="K1338" s="1"/>
  <c r="I1324"/>
  <c r="K1324" s="1"/>
  <c r="I1273"/>
  <c r="I1258"/>
  <c r="I1224"/>
  <c r="I1202"/>
  <c r="K1202" s="1"/>
  <c r="I1149"/>
  <c r="K1149" s="1"/>
  <c r="I727"/>
  <c r="K727" s="1"/>
  <c r="V646"/>
  <c r="I622"/>
  <c r="K622" s="1"/>
  <c r="V479"/>
  <c r="P392"/>
  <c r="R392" s="1"/>
  <c r="I339"/>
  <c r="I315"/>
  <c r="I300"/>
  <c r="K300" s="1"/>
  <c r="P298"/>
  <c r="R298" s="1"/>
  <c r="I274"/>
  <c r="K274" s="1"/>
  <c r="I228"/>
  <c r="I213"/>
  <c r="K213" s="1"/>
  <c r="I198"/>
  <c r="P1360"/>
  <c r="R1360" s="1"/>
  <c r="I1306"/>
  <c r="I507"/>
  <c r="I448"/>
  <c r="K448" s="1"/>
  <c r="I383"/>
  <c r="I359"/>
  <c r="P350"/>
  <c r="R350" s="1"/>
  <c r="P338"/>
  <c r="R338" s="1"/>
  <c r="P321"/>
  <c r="R321" s="1"/>
  <c r="P83"/>
  <c r="R83" s="1"/>
  <c r="I1228"/>
  <c r="K1228" s="1"/>
  <c r="I1162"/>
  <c r="K1162" s="1"/>
  <c r="I811"/>
  <c r="I785"/>
  <c r="K785" s="1"/>
  <c r="I552"/>
  <c r="K552" s="1"/>
  <c r="P551"/>
  <c r="R551" s="1"/>
  <c r="I528"/>
  <c r="K528" s="1"/>
  <c r="P505"/>
  <c r="R505" s="1"/>
  <c r="I490"/>
  <c r="K490" s="1"/>
  <c r="I414"/>
  <c r="K414" s="1"/>
  <c r="P378"/>
  <c r="R378" s="1"/>
  <c r="P364"/>
  <c r="R364" s="1"/>
  <c r="P309"/>
  <c r="R309" s="1"/>
  <c r="P286"/>
  <c r="R286" s="1"/>
  <c r="P68"/>
  <c r="R68" s="1"/>
  <c r="P53"/>
  <c r="R53" s="1"/>
  <c r="A265"/>
  <c r="A266" s="1"/>
  <c r="A267" s="1"/>
  <c r="A268" s="1"/>
  <c r="A269" s="1"/>
  <c r="A270" s="1"/>
  <c r="A271" s="1"/>
  <c r="A272" s="1"/>
  <c r="A273" s="1"/>
  <c r="A274" s="1"/>
  <c r="A275" s="1"/>
  <c r="A276" s="1"/>
  <c r="A277" s="1"/>
  <c r="A278" s="1"/>
  <c r="A279" s="1"/>
  <c r="A280"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3" s="1"/>
  <c r="A424" s="1"/>
  <c r="A425" s="1"/>
  <c r="A426" s="1"/>
  <c r="A427" s="1"/>
  <c r="A428" s="1"/>
  <c r="A429" s="1"/>
  <c r="A430" s="1"/>
  <c r="A431" s="1"/>
  <c r="A432" s="1"/>
  <c r="A433" s="1"/>
  <c r="A434" s="1"/>
  <c r="A435" s="1"/>
  <c r="A436" s="1"/>
  <c r="A437"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9" s="1"/>
  <c r="A480" s="1"/>
  <c r="A481" s="1"/>
  <c r="A482" s="1"/>
  <c r="A483" s="1"/>
  <c r="A484" s="1"/>
  <c r="A485" s="1"/>
  <c r="A486" s="1"/>
  <c r="A487" s="1"/>
  <c r="A488" s="1"/>
  <c r="A489" s="1"/>
  <c r="A490" s="1"/>
  <c r="A491" s="1"/>
  <c r="A492" s="1"/>
  <c r="A493" s="1"/>
  <c r="A494" s="1"/>
  <c r="A495" s="1"/>
  <c r="A496" s="1"/>
  <c r="A497"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8" s="1"/>
  <c r="A549" s="1"/>
  <c r="A550" s="1"/>
  <c r="A551" s="1"/>
  <c r="A552" s="1"/>
  <c r="A553" s="1"/>
  <c r="A554" s="1"/>
  <c r="A555" s="1"/>
  <c r="A556" s="1"/>
  <c r="A557" s="1"/>
  <c r="A558" s="1"/>
  <c r="A559" s="1"/>
  <c r="A560" s="1"/>
  <c r="A561" s="1"/>
  <c r="A562" s="1"/>
  <c r="A564" s="1"/>
  <c r="A572" s="1"/>
  <c r="A573" s="1"/>
  <c r="A574" s="1"/>
  <c r="A575" s="1"/>
  <c r="A576" s="1"/>
  <c r="A577" s="1"/>
  <c r="A578" s="1"/>
  <c r="A579" s="1"/>
  <c r="A580" s="1"/>
  <c r="A581" s="1"/>
  <c r="A582" s="1"/>
  <c r="A583" s="1"/>
  <c r="A584" s="1"/>
  <c r="A585" s="1"/>
  <c r="A586" s="1"/>
  <c r="A587" s="1"/>
  <c r="A588" s="1"/>
  <c r="A589" s="1"/>
  <c r="A590" s="1"/>
  <c r="A591" s="1"/>
  <c r="A592" s="1"/>
  <c r="A593" s="1"/>
  <c r="A595" s="1"/>
  <c r="A596" s="1"/>
  <c r="A597" s="1"/>
  <c r="A598" s="1"/>
  <c r="A599" s="1"/>
  <c r="A600" s="1"/>
  <c r="A601" s="1"/>
  <c r="A602" s="1"/>
  <c r="A603" s="1"/>
  <c r="A604" s="1"/>
  <c r="A605" s="1"/>
  <c r="A606" s="1"/>
  <c r="A607" s="1"/>
  <c r="A608"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5" s="1"/>
  <c r="A766" s="1"/>
  <c r="A767" s="1"/>
  <c r="A768" s="1"/>
  <c r="A769" s="1"/>
  <c r="A770" s="1"/>
  <c r="A771" s="1"/>
  <c r="A772" s="1"/>
  <c r="A773" s="1"/>
  <c r="A774" s="1"/>
  <c r="A775" s="1"/>
  <c r="A776" s="1"/>
  <c r="A777" s="1"/>
  <c r="A778" s="1"/>
  <c r="A779" s="1"/>
  <c r="A780" s="1"/>
  <c r="A781" s="1"/>
  <c r="A782" s="1"/>
  <c r="A783" s="1"/>
  <c r="A207"/>
  <c r="A208" s="1"/>
  <c r="I3123"/>
  <c r="J3046"/>
  <c r="K3046" s="1"/>
  <c r="I2409"/>
  <c r="K2409" s="1"/>
  <c r="I2077"/>
  <c r="K2077" s="1"/>
  <c r="I2053"/>
  <c r="K2053" s="1"/>
  <c r="I2030"/>
  <c r="I2027"/>
  <c r="I1993"/>
  <c r="I2106"/>
  <c r="K2106" s="1"/>
  <c r="I2011"/>
  <c r="I2008"/>
  <c r="I1972"/>
  <c r="I1943"/>
  <c r="I1631"/>
  <c r="P2373"/>
  <c r="R2373" s="1"/>
  <c r="I2367"/>
  <c r="K2367" s="1"/>
  <c r="D17"/>
  <c r="C66"/>
  <c r="I2348"/>
  <c r="K2348" s="1"/>
  <c r="I2368"/>
  <c r="P890"/>
  <c r="R890" s="1"/>
  <c r="R893" s="1"/>
  <c r="R895" s="1"/>
  <c r="P794"/>
  <c r="R794" s="1"/>
  <c r="I784"/>
  <c r="K784" s="1"/>
  <c r="I762"/>
  <c r="K762" s="1"/>
  <c r="I726"/>
  <c r="K726" s="1"/>
  <c r="I3798"/>
  <c r="K3798" s="1"/>
  <c r="V3674"/>
  <c r="X3674" s="1"/>
  <c r="P1549"/>
  <c r="R1549" s="1"/>
  <c r="D16"/>
  <c r="I2739"/>
  <c r="K2739" s="1"/>
  <c r="I1910"/>
  <c r="K1910" s="1"/>
  <c r="I1844"/>
  <c r="I1808"/>
  <c r="K1808" s="1"/>
  <c r="I1826"/>
  <c r="K1826" s="1"/>
  <c r="I607"/>
  <c r="K607" s="1"/>
  <c r="P549"/>
  <c r="R549" s="1"/>
  <c r="P521"/>
  <c r="R521" s="1"/>
  <c r="P503"/>
  <c r="R503" s="1"/>
  <c r="I1322"/>
  <c r="K1322" s="1"/>
  <c r="P23"/>
  <c r="P9"/>
  <c r="R9" s="1"/>
  <c r="I156"/>
  <c r="K156" s="1"/>
  <c r="I74"/>
  <c r="K74" s="1"/>
  <c r="I65"/>
  <c r="K65" s="1"/>
  <c r="I46"/>
  <c r="K46" s="1"/>
  <c r="I29"/>
  <c r="K29" s="1"/>
  <c r="I11"/>
  <c r="K11" s="1"/>
  <c r="I55"/>
  <c r="K55" s="1"/>
  <c r="I37"/>
  <c r="K37" s="1"/>
  <c r="P24"/>
  <c r="I20"/>
  <c r="K20" s="1"/>
  <c r="V2785"/>
  <c r="I2243"/>
  <c r="K2243" s="1"/>
  <c r="P945"/>
  <c r="R945" s="1"/>
  <c r="Z28"/>
  <c r="AC28" s="1"/>
  <c r="AC27"/>
  <c r="V111"/>
  <c r="X111" s="1"/>
  <c r="X83"/>
  <c r="I3007"/>
  <c r="K3007" s="1"/>
  <c r="P151"/>
  <c r="R151" s="1"/>
  <c r="C26"/>
  <c r="I2145"/>
  <c r="I2125"/>
  <c r="K2125" s="1"/>
  <c r="I1969"/>
  <c r="I1780"/>
  <c r="K1780" s="1"/>
  <c r="I1750"/>
  <c r="K1750" s="1"/>
  <c r="P652"/>
  <c r="R652" s="1"/>
  <c r="P640"/>
  <c r="R640" s="1"/>
  <c r="P576"/>
  <c r="R576" s="1"/>
  <c r="P431"/>
  <c r="P622"/>
  <c r="R622" s="1"/>
  <c r="P450"/>
  <c r="R450" s="1"/>
  <c r="K133"/>
  <c r="K134" s="1"/>
  <c r="P468"/>
  <c r="R468" s="1"/>
  <c r="K136"/>
  <c r="I110"/>
  <c r="K110" s="1"/>
  <c r="I82"/>
  <c r="I81"/>
  <c r="K81" s="1"/>
  <c r="I2425"/>
  <c r="I2147"/>
  <c r="I1645"/>
  <c r="I1561"/>
  <c r="K1561" s="1"/>
  <c r="I2127"/>
  <c r="K2127" s="1"/>
  <c r="I1589"/>
  <c r="K1589" s="1"/>
  <c r="I1576"/>
  <c r="K1576" s="1"/>
  <c r="I1226"/>
  <c r="I808"/>
  <c r="I1284"/>
  <c r="K1284" s="1"/>
  <c r="I1304"/>
  <c r="K1304" s="1"/>
  <c r="I72"/>
  <c r="K72" s="1"/>
  <c r="I18"/>
  <c r="K18" s="1"/>
  <c r="I1255"/>
  <c r="I504"/>
  <c r="I271"/>
  <c r="K271" s="1"/>
  <c r="I63"/>
  <c r="K63" s="1"/>
  <c r="I53"/>
  <c r="K53" s="1"/>
  <c r="I44"/>
  <c r="K44" s="1"/>
  <c r="I35"/>
  <c r="K35" s="1"/>
  <c r="I27"/>
  <c r="K27" s="1"/>
  <c r="I9"/>
  <c r="I2177"/>
  <c r="K2177" s="1"/>
  <c r="I2164"/>
  <c r="K2164" s="1"/>
  <c r="I2151"/>
  <c r="I2131"/>
  <c r="K2131" s="1"/>
  <c r="I3006"/>
  <c r="K3006" s="1"/>
  <c r="I244"/>
  <c r="K244" s="1"/>
  <c r="C35"/>
  <c r="C141"/>
  <c r="P140"/>
  <c r="R140" s="1"/>
  <c r="X136"/>
  <c r="X133"/>
  <c r="X134" s="1"/>
  <c r="V82"/>
  <c r="X82" s="1"/>
  <c r="X81"/>
  <c r="X86" s="1"/>
  <c r="X88" s="1"/>
  <c r="V110"/>
  <c r="X110" s="1"/>
  <c r="AE388"/>
  <c r="AE364"/>
  <c r="AG364" s="1"/>
  <c r="AE335"/>
  <c r="AG335" s="1"/>
  <c r="AE311"/>
  <c r="AG311" s="1"/>
  <c r="AQ132"/>
  <c r="AS132" s="1"/>
  <c r="AQ87"/>
  <c r="AS87" s="1"/>
  <c r="AQ63"/>
  <c r="AS63" s="1"/>
  <c r="AQ163"/>
  <c r="AS163" s="1"/>
  <c r="AQ107"/>
  <c r="AS107" s="1"/>
  <c r="J665"/>
  <c r="W489"/>
  <c r="AC489" s="1"/>
  <c r="AC17"/>
  <c r="AC34"/>
  <c r="C77" s="1"/>
  <c r="I444" s="1"/>
  <c r="K444" s="1"/>
  <c r="R154"/>
  <c r="W13"/>
  <c r="W36"/>
  <c r="X1337"/>
  <c r="AB1335"/>
  <c r="AC1335" s="1"/>
  <c r="I2777"/>
  <c r="K2777" s="1"/>
  <c r="I2720"/>
  <c r="K2720" s="1"/>
  <c r="I2712"/>
  <c r="K2712" s="1"/>
  <c r="I1548"/>
  <c r="K1548" s="1"/>
  <c r="I1535"/>
  <c r="K1535" s="1"/>
  <c r="I1533"/>
  <c r="K1533" s="1"/>
  <c r="K1538" s="1"/>
  <c r="K1540" s="1"/>
  <c r="I1518"/>
  <c r="K1518" s="1"/>
  <c r="I1506"/>
  <c r="P1522"/>
  <c r="R1522" s="1"/>
  <c r="I1161"/>
  <c r="K1161" s="1"/>
  <c r="I1147"/>
  <c r="K1147" s="1"/>
  <c r="K1152" s="1"/>
  <c r="K1154" s="1"/>
  <c r="P2336"/>
  <c r="R2336" s="1"/>
  <c r="I2321"/>
  <c r="K2321" s="1"/>
  <c r="K2323" s="1"/>
  <c r="K2324" s="1"/>
  <c r="I2329" s="1"/>
  <c r="K2329" s="1"/>
  <c r="I410"/>
  <c r="K410" s="1"/>
  <c r="I355"/>
  <c r="K355" s="1"/>
  <c r="I335"/>
  <c r="K335" s="1"/>
  <c r="I311"/>
  <c r="K311" s="1"/>
  <c r="I379"/>
  <c r="K379" s="1"/>
  <c r="I225"/>
  <c r="K225" s="1"/>
  <c r="C82"/>
  <c r="I1321" s="1"/>
  <c r="K1321" s="1"/>
  <c r="I1490"/>
  <c r="K1490" s="1"/>
  <c r="P390"/>
  <c r="R390" s="1"/>
  <c r="P376"/>
  <c r="R376" s="1"/>
  <c r="V2783"/>
  <c r="V2784" s="1"/>
  <c r="I2242"/>
  <c r="K2242" s="1"/>
  <c r="K2252" s="1"/>
  <c r="P750"/>
  <c r="R750" s="1"/>
  <c r="P943"/>
  <c r="P734"/>
  <c r="R734" s="1"/>
  <c r="P1046"/>
  <c r="P719"/>
  <c r="R719" s="1"/>
  <c r="I819"/>
  <c r="K819" s="1"/>
  <c r="K515"/>
  <c r="K283"/>
  <c r="V715"/>
  <c r="I3285"/>
  <c r="I2636"/>
  <c r="C31"/>
  <c r="AC32"/>
  <c r="C139" s="1"/>
  <c r="Z33"/>
  <c r="AC33" s="1"/>
  <c r="P3296"/>
  <c r="I2666"/>
  <c r="I3151"/>
  <c r="I1131"/>
  <c r="K1131" s="1"/>
  <c r="I1056"/>
  <c r="P213"/>
  <c r="R213" s="1"/>
  <c r="V3118"/>
  <c r="D31"/>
  <c r="I2664"/>
  <c r="C30"/>
  <c r="I124"/>
  <c r="K124" s="1"/>
  <c r="K127" s="1"/>
  <c r="K129" s="1"/>
  <c r="K130" s="1"/>
  <c r="I95"/>
  <c r="K95" s="1"/>
  <c r="I94"/>
  <c r="K94" s="1"/>
  <c r="V410"/>
  <c r="X410" s="1"/>
  <c r="X379"/>
  <c r="V895"/>
  <c r="X895" s="1"/>
  <c r="X879"/>
  <c r="K955"/>
  <c r="P948"/>
  <c r="R948" s="1"/>
  <c r="I2838"/>
  <c r="K990"/>
  <c r="I1026"/>
  <c r="K996"/>
  <c r="P1097"/>
  <c r="K1023"/>
  <c r="K1057"/>
  <c r="P991"/>
  <c r="R991" s="1"/>
  <c r="P1068"/>
  <c r="R1068" s="1"/>
  <c r="R1098"/>
  <c r="P1119"/>
  <c r="R1119" s="1"/>
  <c r="X1353"/>
  <c r="AB1351"/>
  <c r="AC9"/>
  <c r="C68" s="1"/>
  <c r="I295" s="1"/>
  <c r="K295" s="1"/>
  <c r="AC11"/>
  <c r="X12"/>
  <c r="C13"/>
  <c r="X13"/>
  <c r="X14"/>
  <c r="X15"/>
  <c r="AC16"/>
  <c r="AC19"/>
  <c r="X24"/>
  <c r="AC26"/>
  <c r="C27"/>
  <c r="AC29"/>
  <c r="C91" s="1"/>
  <c r="W35"/>
  <c r="Z35"/>
  <c r="AC35" s="1"/>
  <c r="I254" s="1"/>
  <c r="K254" s="1"/>
  <c r="Z36"/>
  <c r="AC36" s="1"/>
  <c r="I243" s="1"/>
  <c r="K243" s="1"/>
  <c r="Z37"/>
  <c r="AC37" s="1"/>
  <c r="I242" s="1"/>
  <c r="K242" s="1"/>
  <c r="J540"/>
  <c r="K688"/>
  <c r="I689" s="1"/>
  <c r="K689" s="1"/>
  <c r="I690" s="1"/>
  <c r="K690" s="1"/>
  <c r="R798"/>
  <c r="R800" s="1"/>
  <c r="P994"/>
  <c r="R994" s="1"/>
  <c r="P1053"/>
  <c r="R1053" s="1"/>
  <c r="AE1066"/>
  <c r="AG1066" s="1"/>
  <c r="AC1200"/>
  <c r="I3750"/>
  <c r="I3255"/>
  <c r="K3255" s="1"/>
  <c r="P1375"/>
  <c r="R1375" s="1"/>
  <c r="V1334"/>
  <c r="X1334" s="1"/>
  <c r="I3797"/>
  <c r="I3751"/>
  <c r="K3751" s="1"/>
  <c r="I3708"/>
  <c r="K3708" s="1"/>
  <c r="V3673"/>
  <c r="X3673" s="1"/>
  <c r="I3771"/>
  <c r="K3771" s="1"/>
  <c r="I3725"/>
  <c r="K3725" s="1"/>
  <c r="P3517"/>
  <c r="I3344"/>
  <c r="K3344" s="1"/>
  <c r="AF3108"/>
  <c r="P2360"/>
  <c r="R2360" s="1"/>
  <c r="P1548"/>
  <c r="R1548" s="1"/>
  <c r="P1377"/>
  <c r="R1377" s="1"/>
  <c r="V1336"/>
  <c r="I3726"/>
  <c r="K3726" s="1"/>
  <c r="P3518"/>
  <c r="R3518" s="1"/>
  <c r="I3345"/>
  <c r="K3345" s="1"/>
  <c r="P2411"/>
  <c r="R2411" s="1"/>
  <c r="P1378"/>
  <c r="R1378" s="1"/>
  <c r="I3737"/>
  <c r="I3343"/>
  <c r="P2409"/>
  <c r="R2409" s="1"/>
  <c r="R2414" s="1"/>
  <c r="R2416" s="1"/>
  <c r="I3718" s="1"/>
  <c r="K3718" s="1"/>
  <c r="P1302"/>
  <c r="I1590"/>
  <c r="K1590" s="1"/>
  <c r="I1577"/>
  <c r="K1577" s="1"/>
  <c r="I1564"/>
  <c r="K1564" s="1"/>
  <c r="K1567" s="1"/>
  <c r="P2410"/>
  <c r="R2410" s="1"/>
  <c r="P1303"/>
  <c r="R1303" s="1"/>
  <c r="I3796"/>
  <c r="K3796" s="1"/>
  <c r="I3706"/>
  <c r="K3706" s="1"/>
  <c r="K3710" s="1"/>
  <c r="K3711" s="1"/>
  <c r="I3769"/>
  <c r="K3769" s="1"/>
  <c r="I3724"/>
  <c r="K3724" s="1"/>
  <c r="V3672"/>
  <c r="X3672" s="1"/>
  <c r="AF3107"/>
  <c r="P1402"/>
  <c r="P1547"/>
  <c r="R1547" s="1"/>
  <c r="R1552" s="1"/>
  <c r="P1541" s="1"/>
  <c r="R1541" s="1"/>
  <c r="I3770"/>
  <c r="K3770" s="1"/>
  <c r="I3707"/>
  <c r="K3707" s="1"/>
  <c r="I3463"/>
  <c r="I2296"/>
  <c r="K2296" s="1"/>
  <c r="P1379"/>
  <c r="R1379" s="1"/>
  <c r="I1772"/>
  <c r="K1772" s="1"/>
  <c r="I1603"/>
  <c r="I1575"/>
  <c r="V355"/>
  <c r="X355" s="1"/>
  <c r="V335"/>
  <c r="X335" s="1"/>
  <c r="V311"/>
  <c r="X311" s="1"/>
  <c r="AF688"/>
  <c r="AF687"/>
  <c r="AF690"/>
  <c r="R826"/>
  <c r="R847" s="1"/>
  <c r="P871"/>
  <c r="R871" s="1"/>
  <c r="R883" s="1"/>
  <c r="V898"/>
  <c r="X898" s="1"/>
  <c r="X882"/>
  <c r="K1060"/>
  <c r="I1076"/>
  <c r="P1073"/>
  <c r="R1073" s="1"/>
  <c r="K1062"/>
  <c r="AE1071"/>
  <c r="AG1071" s="1"/>
  <c r="P996"/>
  <c r="R996" s="1"/>
  <c r="P1380"/>
  <c r="R1380" s="1"/>
  <c r="R1264"/>
  <c r="V1244"/>
  <c r="X1244" s="1"/>
  <c r="P1241"/>
  <c r="R1241" s="1"/>
  <c r="R1320"/>
  <c r="P1301"/>
  <c r="R1301" s="1"/>
  <c r="AB1373"/>
  <c r="AD1356"/>
  <c r="AB1375"/>
  <c r="AD1358"/>
  <c r="I3997"/>
  <c r="AB1377"/>
  <c r="AD1360"/>
  <c r="C10"/>
  <c r="Z12"/>
  <c r="P79"/>
  <c r="R79" s="1"/>
  <c r="P1071"/>
  <c r="R1071" s="1"/>
  <c r="K1165"/>
  <c r="K1167" s="1"/>
  <c r="I1784"/>
  <c r="K1784" s="1"/>
  <c r="K743"/>
  <c r="K749" s="1"/>
  <c r="K751" s="1"/>
  <c r="I757" s="1"/>
  <c r="K757" s="1"/>
  <c r="I898"/>
  <c r="K898" s="1"/>
  <c r="K882"/>
  <c r="K959"/>
  <c r="P952"/>
  <c r="R952" s="1"/>
  <c r="I2840"/>
  <c r="K992"/>
  <c r="I2842"/>
  <c r="K994"/>
  <c r="P1099"/>
  <c r="K1025"/>
  <c r="I3105"/>
  <c r="AE1064"/>
  <c r="AG1064" s="1"/>
  <c r="K1055"/>
  <c r="P989"/>
  <c r="R989" s="1"/>
  <c r="P1072"/>
  <c r="R1072" s="1"/>
  <c r="K1061"/>
  <c r="P995"/>
  <c r="R995" s="1"/>
  <c r="P1398"/>
  <c r="P1115"/>
  <c r="R1115" s="1"/>
  <c r="R1094"/>
  <c r="I3989"/>
  <c r="I3783"/>
  <c r="AB1367"/>
  <c r="AD1350"/>
  <c r="AB1370"/>
  <c r="AD1353"/>
  <c r="X1356"/>
  <c r="AB1354"/>
  <c r="X1357"/>
  <c r="AB1355"/>
  <c r="X1390"/>
  <c r="V1406"/>
  <c r="V1407"/>
  <c r="X1391"/>
  <c r="V1408"/>
  <c r="X1392"/>
  <c r="V1412"/>
  <c r="X1396"/>
  <c r="P1428"/>
  <c r="R1411"/>
  <c r="V1372"/>
  <c r="P1446"/>
  <c r="R1430"/>
  <c r="P1447"/>
  <c r="R1431"/>
  <c r="P1449"/>
  <c r="R1433"/>
  <c r="R1434"/>
  <c r="P1450"/>
  <c r="K723"/>
  <c r="I725" s="1"/>
  <c r="K725" s="1"/>
  <c r="K730" s="1"/>
  <c r="K732" s="1"/>
  <c r="K801" s="1"/>
  <c r="P1066"/>
  <c r="R1066" s="1"/>
  <c r="P1095"/>
  <c r="R1096"/>
  <c r="R1363"/>
  <c r="R1365" s="1"/>
  <c r="I1783"/>
  <c r="K1783" s="1"/>
  <c r="I1782"/>
  <c r="K1782" s="1"/>
  <c r="I2975"/>
  <c r="K2839"/>
  <c r="I2977"/>
  <c r="K2841"/>
  <c r="I2979"/>
  <c r="K2843"/>
  <c r="I2825"/>
  <c r="X1386"/>
  <c r="V1402"/>
  <c r="V1410"/>
  <c r="X1394"/>
  <c r="V1411"/>
  <c r="X1395"/>
  <c r="P1426"/>
  <c r="R1409"/>
  <c r="V1370"/>
  <c r="R1410"/>
  <c r="V1371"/>
  <c r="P1427"/>
  <c r="P1441"/>
  <c r="R1425"/>
  <c r="R1429"/>
  <c r="P1445"/>
  <c r="V1423"/>
  <c r="X1423" s="1"/>
  <c r="J561"/>
  <c r="P1451"/>
  <c r="R1435"/>
  <c r="K1551"/>
  <c r="K1553" s="1"/>
  <c r="I3492" s="1"/>
  <c r="K3492" s="1"/>
  <c r="I3183"/>
  <c r="K3183" s="1"/>
  <c r="K3170"/>
  <c r="K3212"/>
  <c r="I3227"/>
  <c r="K3227" s="1"/>
  <c r="I3243"/>
  <c r="K3243" s="1"/>
  <c r="K3198"/>
  <c r="I3749"/>
  <c r="R2433"/>
  <c r="I2507"/>
  <c r="K2485"/>
  <c r="K2539"/>
  <c r="I2574"/>
  <c r="S2785"/>
  <c r="X2785" s="1"/>
  <c r="R3163"/>
  <c r="V3122"/>
  <c r="X1369"/>
  <c r="X1373"/>
  <c r="X1375"/>
  <c r="X1377"/>
  <c r="X1379"/>
  <c r="R1392"/>
  <c r="R1394"/>
  <c r="R1413"/>
  <c r="R1416"/>
  <c r="R1603"/>
  <c r="K1626"/>
  <c r="K1628"/>
  <c r="K1695"/>
  <c r="K1697" s="1"/>
  <c r="K1806"/>
  <c r="K1807"/>
  <c r="K1840"/>
  <c r="K1870"/>
  <c r="I1871"/>
  <c r="K1871" s="1"/>
  <c r="R1877"/>
  <c r="K1878"/>
  <c r="K1895"/>
  <c r="R1908"/>
  <c r="K1986"/>
  <c r="K2024"/>
  <c r="K2180"/>
  <c r="K2182" s="1"/>
  <c r="K2184" s="1"/>
  <c r="K2318"/>
  <c r="AG2617"/>
  <c r="AG2651"/>
  <c r="X2784"/>
  <c r="K3048"/>
  <c r="R3157"/>
  <c r="K2765"/>
  <c r="I2766"/>
  <c r="K2766" s="1"/>
  <c r="P2156"/>
  <c r="R2156" s="1"/>
  <c r="K2149"/>
  <c r="I2508"/>
  <c r="K2486"/>
  <c r="K2682"/>
  <c r="I2683"/>
  <c r="K2683" s="1"/>
  <c r="I4074"/>
  <c r="K4074" s="1"/>
  <c r="X3124"/>
  <c r="V3141"/>
  <c r="R3162"/>
  <c r="V3123"/>
  <c r="K2167"/>
  <c r="K2169" s="1"/>
  <c r="K2330"/>
  <c r="K2331" s="1"/>
  <c r="R2338"/>
  <c r="R2339" s="1"/>
  <c r="K2780"/>
  <c r="X2783"/>
  <c r="R3236"/>
  <c r="P3270"/>
  <c r="I3543"/>
  <c r="P3531"/>
  <c r="K3527"/>
  <c r="I3395"/>
  <c r="K3326"/>
  <c r="K3327"/>
  <c r="I3396"/>
  <c r="I3397"/>
  <c r="K3328"/>
  <c r="K3329"/>
  <c r="I3398"/>
  <c r="I3431" s="1"/>
  <c r="K3431" s="1"/>
  <c r="R3327"/>
  <c r="P3364"/>
  <c r="AE3544"/>
  <c r="AG3544" s="1"/>
  <c r="V3544"/>
  <c r="K3544"/>
  <c r="V3572"/>
  <c r="V3573"/>
  <c r="X3557"/>
  <c r="K2299"/>
  <c r="K2466"/>
  <c r="K2467"/>
  <c r="K2468"/>
  <c r="I2487"/>
  <c r="K2487" s="1"/>
  <c r="K2509"/>
  <c r="I2537"/>
  <c r="I2538"/>
  <c r="K2609"/>
  <c r="AE2617"/>
  <c r="K2667"/>
  <c r="K2668"/>
  <c r="K2669"/>
  <c r="P2677"/>
  <c r="V2792"/>
  <c r="X2792" s="1"/>
  <c r="K2824"/>
  <c r="R2827"/>
  <c r="R2828"/>
  <c r="P2831"/>
  <c r="K3057"/>
  <c r="P3064"/>
  <c r="R3064" s="1"/>
  <c r="I3108"/>
  <c r="I3109"/>
  <c r="K3112"/>
  <c r="X3117"/>
  <c r="X3120"/>
  <c r="V3134"/>
  <c r="V3137"/>
  <c r="K3152"/>
  <c r="K3154"/>
  <c r="K3157"/>
  <c r="R3160"/>
  <c r="I3187"/>
  <c r="H3877"/>
  <c r="J3877" s="1"/>
  <c r="J3856"/>
  <c r="I3542"/>
  <c r="P3530"/>
  <c r="K3526"/>
  <c r="I3610"/>
  <c r="K3432"/>
  <c r="K3545"/>
  <c r="AE3545"/>
  <c r="AG3545" s="1"/>
  <c r="V3545"/>
  <c r="K3547"/>
  <c r="AE3547"/>
  <c r="AG3547" s="1"/>
  <c r="V3547"/>
  <c r="I3808"/>
  <c r="K3808" s="1"/>
  <c r="I3831"/>
  <c r="K3831" s="1"/>
  <c r="K3958"/>
  <c r="I3975"/>
  <c r="K3975" s="1"/>
  <c r="K3959"/>
  <c r="I3976"/>
  <c r="K3976" s="1"/>
  <c r="K4026"/>
  <c r="I4039"/>
  <c r="K4039" s="1"/>
  <c r="R3225"/>
  <c r="R3230"/>
  <c r="R3233"/>
  <c r="R3235"/>
  <c r="P3264"/>
  <c r="P3265"/>
  <c r="K3292"/>
  <c r="R3295"/>
  <c r="R3330"/>
  <c r="P3331"/>
  <c r="R3331" s="1"/>
  <c r="P3332"/>
  <c r="R3332" s="1"/>
  <c r="K3524"/>
  <c r="R3528"/>
  <c r="K3529"/>
  <c r="P3532"/>
  <c r="P3533"/>
  <c r="P3535"/>
  <c r="F3541"/>
  <c r="K3541" s="1"/>
  <c r="S3541"/>
  <c r="X3541" s="1"/>
  <c r="S3556"/>
  <c r="X3556" s="1"/>
  <c r="X3647"/>
  <c r="X3649" s="1"/>
  <c r="J3896"/>
  <c r="J3898" s="1"/>
  <c r="E3854"/>
  <c r="J3850"/>
  <c r="P3297"/>
  <c r="P3298"/>
  <c r="P3299"/>
  <c r="P3300"/>
  <c r="P3301"/>
  <c r="P3302"/>
  <c r="R3303"/>
  <c r="P3333"/>
  <c r="R3333" s="1"/>
  <c r="P3334"/>
  <c r="R3334" s="1"/>
  <c r="P3335"/>
  <c r="R3335" s="1"/>
  <c r="P3336"/>
  <c r="R3336" s="1"/>
  <c r="P3444"/>
  <c r="R3444" s="1"/>
  <c r="P3445"/>
  <c r="R3445" s="1"/>
  <c r="K4068"/>
  <c r="S3572"/>
  <c r="K3604"/>
  <c r="X3620"/>
  <c r="K3960"/>
  <c r="K3961"/>
  <c r="K4011"/>
  <c r="L6" i="5"/>
  <c r="K6"/>
  <c r="L35"/>
  <c r="K35"/>
  <c r="L44"/>
  <c r="K44"/>
  <c r="L51"/>
  <c r="K51"/>
  <c r="L56"/>
  <c r="K56"/>
  <c r="K87"/>
  <c r="L87"/>
  <c r="K18"/>
  <c r="K28"/>
  <c r="L28"/>
  <c r="L36"/>
  <c r="K36"/>
  <c r="L37"/>
  <c r="K37"/>
  <c r="L38"/>
  <c r="K38"/>
  <c r="K42"/>
  <c r="L42"/>
  <c r="K49"/>
  <c r="L49"/>
  <c r="L52"/>
  <c r="K52"/>
  <c r="L57"/>
  <c r="K57"/>
  <c r="K80"/>
  <c r="L80"/>
  <c r="K88"/>
  <c r="L88"/>
  <c r="K93"/>
  <c r="L93"/>
  <c r="K99"/>
  <c r="L99"/>
  <c r="K105"/>
  <c r="L105"/>
  <c r="L106"/>
  <c r="K106"/>
  <c r="K45"/>
  <c r="K59"/>
  <c r="K60"/>
  <c r="K62"/>
  <c r="K82"/>
  <c r="K89"/>
  <c r="K103"/>
  <c r="L103"/>
  <c r="K110"/>
  <c r="L110"/>
  <c r="K109"/>
  <c r="I118"/>
  <c r="J118" s="1"/>
  <c r="F119"/>
  <c r="I120"/>
  <c r="J120" s="1"/>
  <c r="I121"/>
  <c r="J121" s="1"/>
  <c r="I122"/>
  <c r="J122" s="1"/>
  <c r="I123"/>
  <c r="J123" s="1"/>
  <c r="I124"/>
  <c r="J124" s="1"/>
  <c r="F125"/>
  <c r="I126"/>
  <c r="J126" s="1"/>
  <c r="F127"/>
  <c r="I128"/>
  <c r="J128" s="1"/>
  <c r="F129"/>
  <c r="I130"/>
  <c r="J130" s="1"/>
  <c r="F131"/>
  <c r="I132"/>
  <c r="J132" s="1"/>
  <c r="I133"/>
  <c r="J133" s="1"/>
  <c r="F134"/>
  <c r="I135"/>
  <c r="J135" s="1"/>
  <c r="F136"/>
  <c r="I137"/>
  <c r="J137" s="1"/>
  <c r="F138"/>
  <c r="I139"/>
  <c r="J139" s="1"/>
  <c r="F140"/>
  <c r="I141"/>
  <c r="J141" s="1"/>
  <c r="F142"/>
  <c r="I143"/>
  <c r="J143" s="1"/>
  <c r="F144"/>
  <c r="I145"/>
  <c r="J145" s="1"/>
  <c r="F146"/>
  <c r="I147"/>
  <c r="J147" s="1"/>
  <c r="F148"/>
  <c r="I149"/>
  <c r="J149" s="1"/>
  <c r="F150"/>
  <c r="I151"/>
  <c r="J151" s="1"/>
  <c r="F152"/>
  <c r="I153"/>
  <c r="J153" s="1"/>
  <c r="F154"/>
  <c r="I155"/>
  <c r="J155" s="1"/>
  <c r="F156"/>
  <c r="I157"/>
  <c r="J157" s="1"/>
  <c r="F158"/>
  <c r="I159"/>
  <c r="J159" s="1"/>
  <c r="F160"/>
  <c r="I161"/>
  <c r="J161" s="1"/>
  <c r="F162"/>
  <c r="F163"/>
  <c r="F164"/>
  <c r="F165"/>
  <c r="F166"/>
  <c r="F167"/>
  <c r="F168"/>
  <c r="F169"/>
  <c r="F170"/>
  <c r="F171"/>
  <c r="F172"/>
  <c r="F173"/>
  <c r="F174"/>
  <c r="F176"/>
  <c r="F178"/>
  <c r="F180"/>
  <c r="F185"/>
  <c r="F187"/>
  <c r="F189"/>
  <c r="F191"/>
  <c r="F193"/>
  <c r="F195"/>
  <c r="F197"/>
  <c r="F199"/>
  <c r="F201"/>
  <c r="F203"/>
  <c r="F205"/>
  <c r="F207"/>
  <c r="F20" i="4"/>
  <c r="F21"/>
  <c r="F23"/>
  <c r="F25"/>
  <c r="F33"/>
  <c r="E17" i="3"/>
  <c r="H14"/>
  <c r="G15" s="1"/>
  <c r="G8" i="5" s="1"/>
  <c r="H8" s="1"/>
  <c r="H11" i="3"/>
  <c r="G12" s="1"/>
  <c r="G7" i="5" s="1"/>
  <c r="H7" s="1"/>
  <c r="H457" i="2"/>
  <c r="H415"/>
  <c r="H332"/>
  <c r="H367"/>
  <c r="H383"/>
  <c r="I104" i="5"/>
  <c r="H320" i="2"/>
  <c r="H357"/>
  <c r="E89" i="5" s="1"/>
  <c r="H371" i="2"/>
  <c r="E372" s="1"/>
  <c r="H372" s="1"/>
  <c r="H373" s="1"/>
  <c r="H305"/>
  <c r="H267"/>
  <c r="H276" s="1"/>
  <c r="E43" i="5" s="1"/>
  <c r="I38"/>
  <c r="B38" i="4" s="1"/>
  <c r="H211" i="2"/>
  <c r="H235"/>
  <c r="H218"/>
  <c r="H19"/>
  <c r="E6" i="5" s="1"/>
  <c r="H31" i="2"/>
  <c r="E7" i="5" s="1"/>
  <c r="F70" l="1"/>
  <c r="F48"/>
  <c r="B66" i="4"/>
  <c r="F66" s="1"/>
  <c r="J65" i="5"/>
  <c r="B81" i="4"/>
  <c r="F81" s="1"/>
  <c r="J81" i="5"/>
  <c r="B76" i="4"/>
  <c r="F76" s="1"/>
  <c r="J76" i="5"/>
  <c r="B77" i="4"/>
  <c r="F77" s="1"/>
  <c r="J77" i="5"/>
  <c r="B67" i="4"/>
  <c r="F67" s="1"/>
  <c r="J66" i="5"/>
  <c r="B39" i="4"/>
  <c r="F39" s="1"/>
  <c r="J39" i="5"/>
  <c r="B42" i="4"/>
  <c r="F42" s="1"/>
  <c r="J42" i="5"/>
  <c r="B17" i="4"/>
  <c r="F17" s="1"/>
  <c r="J17" i="5"/>
  <c r="B44" i="4"/>
  <c r="F44" s="1"/>
  <c r="J44" i="5"/>
  <c r="B24" i="4"/>
  <c r="F24" s="1"/>
  <c r="J24" i="5"/>
  <c r="B68" i="4"/>
  <c r="F68" s="1"/>
  <c r="J67" i="5"/>
  <c r="B55" i="4"/>
  <c r="F55" s="1"/>
  <c r="J55" i="5"/>
  <c r="B88" i="4"/>
  <c r="F88" s="1"/>
  <c r="J88" i="5"/>
  <c r="B82" i="4"/>
  <c r="F82" s="1"/>
  <c r="J82" i="5"/>
  <c r="B51" i="4"/>
  <c r="F51" s="1"/>
  <c r="J51" i="5"/>
  <c r="B64" i="4"/>
  <c r="F64" s="1"/>
  <c r="J63" i="5"/>
  <c r="B71" i="4"/>
  <c r="F71" s="1"/>
  <c r="J70" i="5"/>
  <c r="B59" i="4"/>
  <c r="F59" s="1"/>
  <c r="J59" i="5"/>
  <c r="B87" i="4"/>
  <c r="F87" s="1"/>
  <c r="J87" i="5"/>
  <c r="B80" i="4"/>
  <c r="F80" s="1"/>
  <c r="J80" i="5"/>
  <c r="B79" i="4"/>
  <c r="F79" s="1"/>
  <c r="J79" i="5"/>
  <c r="B99" i="4"/>
  <c r="F99" s="1"/>
  <c r="J98" i="5"/>
  <c r="B108" i="4"/>
  <c r="F108" s="1"/>
  <c r="J106" i="5"/>
  <c r="B47" i="4"/>
  <c r="F47" s="1"/>
  <c r="J47" i="5"/>
  <c r="B28" i="4"/>
  <c r="F28" s="1"/>
  <c r="J28" i="5"/>
  <c r="B48" i="4"/>
  <c r="F48" s="1"/>
  <c r="J48" i="5"/>
  <c r="B35" i="4"/>
  <c r="F35" s="1"/>
  <c r="J35" i="5"/>
  <c r="B22" i="4"/>
  <c r="F22" s="1"/>
  <c r="J22" i="5"/>
  <c r="B62" i="4"/>
  <c r="F62" s="1"/>
  <c r="J62" i="5"/>
  <c r="B86" i="4"/>
  <c r="F86" s="1"/>
  <c r="J86" i="5"/>
  <c r="B85" i="4"/>
  <c r="F85" s="1"/>
  <c r="J85" i="5"/>
  <c r="B104" i="4"/>
  <c r="F104" s="1"/>
  <c r="J102" i="5"/>
  <c r="B78" i="4"/>
  <c r="F78" s="1"/>
  <c r="J78" i="5"/>
  <c r="E36"/>
  <c r="I36" s="1"/>
  <c r="E52"/>
  <c r="I52" s="1"/>
  <c r="E103"/>
  <c r="I103" s="1"/>
  <c r="E50"/>
  <c r="I50" s="1"/>
  <c r="B50" i="4" s="1"/>
  <c r="E61" i="5"/>
  <c r="I61" s="1"/>
  <c r="E75"/>
  <c r="I75" s="1"/>
  <c r="E110"/>
  <c r="I110" s="1"/>
  <c r="E74"/>
  <c r="I74" s="1"/>
  <c r="E41"/>
  <c r="I41" s="1"/>
  <c r="B41" i="4" s="1"/>
  <c r="E14" i="5"/>
  <c r="I14" s="1"/>
  <c r="E30"/>
  <c r="I30" s="1"/>
  <c r="B30" i="4" s="1"/>
  <c r="E57" i="5"/>
  <c r="I57" s="1"/>
  <c r="E11"/>
  <c r="I11" s="1"/>
  <c r="L62"/>
  <c r="E29"/>
  <c r="I29" s="1"/>
  <c r="E37"/>
  <c r="I37" s="1"/>
  <c r="E45"/>
  <c r="I45" s="1"/>
  <c r="E40"/>
  <c r="I40" s="1"/>
  <c r="B40" i="4" s="1"/>
  <c r="F40" s="1"/>
  <c r="E49" i="5"/>
  <c r="I49" s="1"/>
  <c r="B49" i="4" s="1"/>
  <c r="E105" i="5"/>
  <c r="I105" s="1"/>
  <c r="E64"/>
  <c r="I64" s="1"/>
  <c r="B65" i="4" s="1"/>
  <c r="F65" s="1"/>
  <c r="E60" i="5"/>
  <c r="I60" s="1"/>
  <c r="B60" i="4" s="1"/>
  <c r="F60" s="1"/>
  <c r="E71" i="5"/>
  <c r="I71" s="1"/>
  <c r="B72" i="4" s="1"/>
  <c r="F72" s="1"/>
  <c r="E69" i="5"/>
  <c r="F69" s="1"/>
  <c r="E99"/>
  <c r="F99" s="1"/>
  <c r="E461" i="2"/>
  <c r="E92" i="5"/>
  <c r="I7"/>
  <c r="B7" i="4" s="1"/>
  <c r="H324" i="2"/>
  <c r="F57" i="5"/>
  <c r="F43"/>
  <c r="B110" i="4"/>
  <c r="F110" s="1"/>
  <c r="K3109" i="7"/>
  <c r="D66" i="8"/>
  <c r="F66" s="1"/>
  <c r="X3677" i="7"/>
  <c r="AB1376"/>
  <c r="AD1359"/>
  <c r="K3108"/>
  <c r="D65" i="8"/>
  <c r="F65" s="1"/>
  <c r="K3008" i="7"/>
  <c r="X1354"/>
  <c r="AB1352"/>
  <c r="X881"/>
  <c r="V897"/>
  <c r="X897" s="1"/>
  <c r="K3105"/>
  <c r="D63" i="8"/>
  <c r="F63" s="1"/>
  <c r="X880" i="7"/>
  <c r="V896"/>
  <c r="X896" s="1"/>
  <c r="F18" i="5"/>
  <c r="J18"/>
  <c r="L7"/>
  <c r="K7"/>
  <c r="L8"/>
  <c r="K8"/>
  <c r="I8"/>
  <c r="B8" i="4" s="1"/>
  <c r="F8" s="1"/>
  <c r="I97" i="5"/>
  <c r="I6"/>
  <c r="B111" i="4"/>
  <c r="F111" s="1"/>
  <c r="J113" i="5"/>
  <c r="K2302" i="7"/>
  <c r="K2304" s="1"/>
  <c r="J104" i="5"/>
  <c r="B106" i="4"/>
  <c r="F106" s="1"/>
  <c r="J15" i="5"/>
  <c r="B15" i="4"/>
  <c r="F15" s="1"/>
  <c r="I95" i="5"/>
  <c r="F95"/>
  <c r="L108"/>
  <c r="F15"/>
  <c r="F103"/>
  <c r="F75"/>
  <c r="F49"/>
  <c r="F38"/>
  <c r="J38"/>
  <c r="F7"/>
  <c r="I96"/>
  <c r="F96"/>
  <c r="I89"/>
  <c r="F89"/>
  <c r="I112"/>
  <c r="F112"/>
  <c r="F111"/>
  <c r="I111"/>
  <c r="F104"/>
  <c r="F74"/>
  <c r="F64"/>
  <c r="F60"/>
  <c r="F52"/>
  <c r="F37"/>
  <c r="F13"/>
  <c r="F8"/>
  <c r="F105"/>
  <c r="F40"/>
  <c r="F36"/>
  <c r="F20"/>
  <c r="J20"/>
  <c r="F14"/>
  <c r="F9"/>
  <c r="J26"/>
  <c r="B26" i="4"/>
  <c r="F26" s="1"/>
  <c r="J101" i="5"/>
  <c r="H101"/>
  <c r="F101"/>
  <c r="B56" i="4"/>
  <c r="F56" s="1"/>
  <c r="J56" i="5"/>
  <c r="E462" i="2"/>
  <c r="H462" s="1"/>
  <c r="K247" i="7"/>
  <c r="K249" s="1"/>
  <c r="C140"/>
  <c r="C138"/>
  <c r="P3405"/>
  <c r="P3371"/>
  <c r="R3371" s="1"/>
  <c r="R3302"/>
  <c r="P3403"/>
  <c r="R3403" s="1"/>
  <c r="P3369"/>
  <c r="R3369" s="1"/>
  <c r="R3300"/>
  <c r="P3401"/>
  <c r="R3401" s="1"/>
  <c r="P3367"/>
  <c r="R3367" s="1"/>
  <c r="R3298"/>
  <c r="P3549"/>
  <c r="R3549" s="1"/>
  <c r="R3533"/>
  <c r="R3265"/>
  <c r="I3325"/>
  <c r="V3563"/>
  <c r="X3547"/>
  <c r="K3542"/>
  <c r="AE3542"/>
  <c r="AG3542" s="1"/>
  <c r="V3542"/>
  <c r="X3137"/>
  <c r="V3162"/>
  <c r="X3162" s="1"/>
  <c r="I2573"/>
  <c r="K2538"/>
  <c r="R3531"/>
  <c r="P3547"/>
  <c r="R3547" s="1"/>
  <c r="P3337"/>
  <c r="R3270"/>
  <c r="I4072"/>
  <c r="K4072" s="1"/>
  <c r="X3122"/>
  <c r="V3139"/>
  <c r="P2575"/>
  <c r="R2575" s="1"/>
  <c r="K2574"/>
  <c r="M2581"/>
  <c r="O2581" s="1"/>
  <c r="O2583" s="1"/>
  <c r="O2584" s="1"/>
  <c r="L3193"/>
  <c r="I3549"/>
  <c r="I3111"/>
  <c r="P1468"/>
  <c r="R1451"/>
  <c r="P1458"/>
  <c r="R1441"/>
  <c r="V1388"/>
  <c r="X1371"/>
  <c r="X1370"/>
  <c r="V1387"/>
  <c r="P1442"/>
  <c r="R1426"/>
  <c r="AB1409"/>
  <c r="X1411"/>
  <c r="X1410"/>
  <c r="AB1408"/>
  <c r="R1095"/>
  <c r="P1116"/>
  <c r="R1116" s="1"/>
  <c r="P1466"/>
  <c r="R1449"/>
  <c r="R1447"/>
  <c r="P1464"/>
  <c r="P1463"/>
  <c r="R1446"/>
  <c r="X1406"/>
  <c r="AB1404"/>
  <c r="I3994"/>
  <c r="AB1372"/>
  <c r="AD1355"/>
  <c r="I3993"/>
  <c r="AB1371"/>
  <c r="AD1354"/>
  <c r="K3783"/>
  <c r="K3793" s="1"/>
  <c r="K3794" s="1"/>
  <c r="V3655"/>
  <c r="P1415"/>
  <c r="R1398"/>
  <c r="V1359"/>
  <c r="I777"/>
  <c r="K777" s="1"/>
  <c r="I3459"/>
  <c r="I2698"/>
  <c r="K2698" s="1"/>
  <c r="I2740"/>
  <c r="K2740" s="1"/>
  <c r="I2384"/>
  <c r="I2026"/>
  <c r="I1911"/>
  <c r="K1911" s="1"/>
  <c r="I1845"/>
  <c r="I1809"/>
  <c r="K1809" s="1"/>
  <c r="I1479"/>
  <c r="K1479" s="1"/>
  <c r="I1454"/>
  <c r="K1454" s="1"/>
  <c r="I1419"/>
  <c r="K1419" s="1"/>
  <c r="I1406"/>
  <c r="K1406" s="1"/>
  <c r="I1379"/>
  <c r="K1379" s="1"/>
  <c r="I2150"/>
  <c r="I2130"/>
  <c r="K2130" s="1"/>
  <c r="I2007"/>
  <c r="I1945"/>
  <c r="I1827"/>
  <c r="K1827" s="1"/>
  <c r="I1646"/>
  <c r="I1466"/>
  <c r="K1466" s="1"/>
  <c r="I1434"/>
  <c r="K1434" s="1"/>
  <c r="I1393"/>
  <c r="K1393" s="1"/>
  <c r="I1357"/>
  <c r="K1357" s="1"/>
  <c r="I1323"/>
  <c r="K1323" s="1"/>
  <c r="I883"/>
  <c r="I605"/>
  <c r="K605" s="1"/>
  <c r="K610" s="1"/>
  <c r="I583"/>
  <c r="V529"/>
  <c r="P522"/>
  <c r="R522" s="1"/>
  <c r="I1251"/>
  <c r="I1222"/>
  <c r="I899"/>
  <c r="K899" s="1"/>
  <c r="I621"/>
  <c r="K621" s="1"/>
  <c r="I551"/>
  <c r="K551" s="1"/>
  <c r="P550"/>
  <c r="R550" s="1"/>
  <c r="I488"/>
  <c r="K488" s="1"/>
  <c r="I412"/>
  <c r="K412" s="1"/>
  <c r="P365"/>
  <c r="R365" s="1"/>
  <c r="P337"/>
  <c r="R337" s="1"/>
  <c r="I337"/>
  <c r="P308"/>
  <c r="R308" s="1"/>
  <c r="I298"/>
  <c r="K298" s="1"/>
  <c r="P268"/>
  <c r="R268" s="1"/>
  <c r="I1272"/>
  <c r="I1201"/>
  <c r="K1201" s="1"/>
  <c r="I651"/>
  <c r="K651" s="1"/>
  <c r="P504"/>
  <c r="R504" s="1"/>
  <c r="I446"/>
  <c r="K446" s="1"/>
  <c r="I427"/>
  <c r="K427" s="1"/>
  <c r="I381"/>
  <c r="I357"/>
  <c r="P320"/>
  <c r="R320" s="1"/>
  <c r="P297"/>
  <c r="R297" s="1"/>
  <c r="P181"/>
  <c r="R181" s="1"/>
  <c r="I1305"/>
  <c r="I865"/>
  <c r="I527"/>
  <c r="K527" s="1"/>
  <c r="V478"/>
  <c r="I460"/>
  <c r="K460" s="1"/>
  <c r="I395"/>
  <c r="P363"/>
  <c r="R363" s="1"/>
  <c r="P349"/>
  <c r="R349" s="1"/>
  <c r="I313"/>
  <c r="P81"/>
  <c r="R81" s="1"/>
  <c r="AB1394"/>
  <c r="AD1394" s="1"/>
  <c r="AD1377"/>
  <c r="K1076"/>
  <c r="I1091"/>
  <c r="K1091" s="1"/>
  <c r="I1588"/>
  <c r="K1588" s="1"/>
  <c r="K1575"/>
  <c r="AH3107"/>
  <c r="AQ3107"/>
  <c r="AS3107" s="1"/>
  <c r="I3761"/>
  <c r="K3761" s="1"/>
  <c r="K3737"/>
  <c r="K3739" s="1"/>
  <c r="K3740" s="1"/>
  <c r="X1336"/>
  <c r="AB1334"/>
  <c r="AC1334" s="1"/>
  <c r="AH3108"/>
  <c r="AQ3108"/>
  <c r="AS3108" s="1"/>
  <c r="R3517"/>
  <c r="P3509"/>
  <c r="R3509" s="1"/>
  <c r="R3511" s="1"/>
  <c r="R3512" s="1"/>
  <c r="I3811"/>
  <c r="K3811" s="1"/>
  <c r="K3797"/>
  <c r="I3810"/>
  <c r="K3810" s="1"/>
  <c r="K3750"/>
  <c r="AC1201"/>
  <c r="AJ1200"/>
  <c r="I3320"/>
  <c r="K3320" s="1"/>
  <c r="I3148"/>
  <c r="I2662"/>
  <c r="P3190"/>
  <c r="I2815"/>
  <c r="I2633"/>
  <c r="C88"/>
  <c r="C81"/>
  <c r="I3104"/>
  <c r="P2671"/>
  <c r="K2664"/>
  <c r="I4067"/>
  <c r="K4067" s="1"/>
  <c r="X3118"/>
  <c r="V3135"/>
  <c r="AE1065"/>
  <c r="AG1065" s="1"/>
  <c r="K1056"/>
  <c r="P1067"/>
  <c r="R1067" s="1"/>
  <c r="P1049"/>
  <c r="R1049" s="1"/>
  <c r="P990"/>
  <c r="R990" s="1"/>
  <c r="K3151"/>
  <c r="P3158"/>
  <c r="R3158" s="1"/>
  <c r="P3399"/>
  <c r="R3399" s="1"/>
  <c r="R3296"/>
  <c r="I1601"/>
  <c r="I1573"/>
  <c r="K1573" s="1"/>
  <c r="K1580" s="1"/>
  <c r="K1582" s="1"/>
  <c r="I3425"/>
  <c r="K3425" s="1"/>
  <c r="V2604"/>
  <c r="P2643"/>
  <c r="R2643" s="1"/>
  <c r="K2636"/>
  <c r="X715"/>
  <c r="V685"/>
  <c r="X685" s="1"/>
  <c r="W14"/>
  <c r="W37"/>
  <c r="I255"/>
  <c r="K255" s="1"/>
  <c r="C79"/>
  <c r="W490"/>
  <c r="AC490" s="1"/>
  <c r="J666"/>
  <c r="J667" s="1"/>
  <c r="J668" s="1"/>
  <c r="J669" s="1"/>
  <c r="J670" s="1"/>
  <c r="AU163"/>
  <c r="AV163" s="1"/>
  <c r="I3748"/>
  <c r="K3748" s="1"/>
  <c r="K9"/>
  <c r="K1255"/>
  <c r="V1284"/>
  <c r="X1284" s="1"/>
  <c r="K1226"/>
  <c r="P1221"/>
  <c r="P2154"/>
  <c r="R2154" s="1"/>
  <c r="K2147"/>
  <c r="I3662"/>
  <c r="R431"/>
  <c r="K1969"/>
  <c r="P1969"/>
  <c r="R1969" s="1"/>
  <c r="P2152"/>
  <c r="R2152" s="1"/>
  <c r="K2145"/>
  <c r="I3321"/>
  <c r="K3321" s="1"/>
  <c r="I2816"/>
  <c r="I2663"/>
  <c r="P3191"/>
  <c r="I3149"/>
  <c r="I2634"/>
  <c r="C89"/>
  <c r="W594"/>
  <c r="R24"/>
  <c r="W592"/>
  <c r="W591"/>
  <c r="R23"/>
  <c r="W593"/>
  <c r="P1860"/>
  <c r="K1844"/>
  <c r="K2368"/>
  <c r="P2374"/>
  <c r="R2374" s="1"/>
  <c r="I786"/>
  <c r="K786" s="1"/>
  <c r="I764"/>
  <c r="K764" s="1"/>
  <c r="K768" s="1"/>
  <c r="K770" s="1"/>
  <c r="I2356" s="1"/>
  <c r="P1633"/>
  <c r="R1633" s="1"/>
  <c r="R1637" s="1"/>
  <c r="K1631"/>
  <c r="K1972"/>
  <c r="P1972"/>
  <c r="R1972" s="1"/>
  <c r="K2011"/>
  <c r="P2012"/>
  <c r="R2012" s="1"/>
  <c r="P1993"/>
  <c r="R1993" s="1"/>
  <c r="K1993"/>
  <c r="P2030"/>
  <c r="R2030" s="1"/>
  <c r="K2030"/>
  <c r="K359"/>
  <c r="V359"/>
  <c r="K1306"/>
  <c r="P1304"/>
  <c r="R1304" s="1"/>
  <c r="P1335"/>
  <c r="P198"/>
  <c r="P166"/>
  <c r="R166" s="1"/>
  <c r="K198"/>
  <c r="P234"/>
  <c r="R234" s="1"/>
  <c r="K228"/>
  <c r="V315"/>
  <c r="K315"/>
  <c r="V1287"/>
  <c r="X1287" s="1"/>
  <c r="K1258"/>
  <c r="V584"/>
  <c r="X584" s="1"/>
  <c r="K584"/>
  <c r="V884"/>
  <c r="K884"/>
  <c r="V1282"/>
  <c r="X1282" s="1"/>
  <c r="K1253"/>
  <c r="I3172"/>
  <c r="K1507"/>
  <c r="K2012"/>
  <c r="P2013"/>
  <c r="R2013" s="1"/>
  <c r="P1862"/>
  <c r="K1846"/>
  <c r="I3567"/>
  <c r="K3567" s="1"/>
  <c r="K1944"/>
  <c r="P2031"/>
  <c r="R2031" s="1"/>
  <c r="K2031"/>
  <c r="P2435"/>
  <c r="R2435" s="1"/>
  <c r="K2428"/>
  <c r="I3580"/>
  <c r="K2349"/>
  <c r="K2351" s="1"/>
  <c r="K2352" s="1"/>
  <c r="I3460"/>
  <c r="I2792"/>
  <c r="K2792" s="1"/>
  <c r="L2758" s="1"/>
  <c r="L2761" s="1"/>
  <c r="K2795" s="1"/>
  <c r="I2995"/>
  <c r="K2995" s="1"/>
  <c r="K2998" s="1"/>
  <c r="I2427"/>
  <c r="I2334"/>
  <c r="K2334" s="1"/>
  <c r="I2078"/>
  <c r="K2078" s="1"/>
  <c r="K2085" s="1"/>
  <c r="K2087" s="1"/>
  <c r="I2054"/>
  <c r="K2054" s="1"/>
  <c r="K2061" s="1"/>
  <c r="K2063" s="1"/>
  <c r="I1994"/>
  <c r="I1707"/>
  <c r="K1707" s="1"/>
  <c r="I1491"/>
  <c r="K1491" s="1"/>
  <c r="I1973"/>
  <c r="I1380"/>
  <c r="K1380" s="1"/>
  <c r="I1358"/>
  <c r="K1358" s="1"/>
  <c r="I1337"/>
  <c r="K1337" s="1"/>
  <c r="I1252"/>
  <c r="I810"/>
  <c r="V710"/>
  <c r="V645"/>
  <c r="I1257"/>
  <c r="I1227"/>
  <c r="K1227" s="1"/>
  <c r="I489"/>
  <c r="K489" s="1"/>
  <c r="I447"/>
  <c r="K447" s="1"/>
  <c r="I413"/>
  <c r="K413" s="1"/>
  <c r="P285"/>
  <c r="R285" s="1"/>
  <c r="I273"/>
  <c r="K273" s="1"/>
  <c r="I227"/>
  <c r="I212"/>
  <c r="K212" s="1"/>
  <c r="I1223"/>
  <c r="I299"/>
  <c r="K299" s="1"/>
  <c r="I197"/>
  <c r="P82"/>
  <c r="R82" s="1"/>
  <c r="P67"/>
  <c r="R67" s="1"/>
  <c r="P52"/>
  <c r="R52" s="1"/>
  <c r="P1145"/>
  <c r="I506"/>
  <c r="P391"/>
  <c r="R391" s="1"/>
  <c r="I382"/>
  <c r="P377"/>
  <c r="R377" s="1"/>
  <c r="I358"/>
  <c r="I338"/>
  <c r="I314"/>
  <c r="X1335"/>
  <c r="AB1333"/>
  <c r="AC1333" s="1"/>
  <c r="K2471"/>
  <c r="K2473" s="1"/>
  <c r="K2490"/>
  <c r="K2492" s="1"/>
  <c r="K3727"/>
  <c r="I3719" s="1"/>
  <c r="K3719" s="1"/>
  <c r="K3720" s="1"/>
  <c r="K3721" s="1"/>
  <c r="K259"/>
  <c r="K261" s="1"/>
  <c r="X114"/>
  <c r="X116" s="1"/>
  <c r="X118" s="1"/>
  <c r="X119" s="1"/>
  <c r="R3520"/>
  <c r="R3521" s="1"/>
  <c r="I3508" s="1"/>
  <c r="K3508" s="1"/>
  <c r="P3404"/>
  <c r="R3404" s="1"/>
  <c r="P3370"/>
  <c r="R3370" s="1"/>
  <c r="R3301"/>
  <c r="P3402"/>
  <c r="R3402" s="1"/>
  <c r="P3368"/>
  <c r="R3368" s="1"/>
  <c r="R3299"/>
  <c r="P3400"/>
  <c r="R3400" s="1"/>
  <c r="P3366"/>
  <c r="R3366" s="1"/>
  <c r="R3297"/>
  <c r="P3551"/>
  <c r="R3551" s="1"/>
  <c r="R3535"/>
  <c r="R3532"/>
  <c r="P3548"/>
  <c r="R3548" s="1"/>
  <c r="R3264"/>
  <c r="I3324"/>
  <c r="V3561"/>
  <c r="X3545"/>
  <c r="I3631"/>
  <c r="K3631" s="1"/>
  <c r="K3633" s="1"/>
  <c r="K3635" s="1"/>
  <c r="K3610"/>
  <c r="R3530"/>
  <c r="P3546"/>
  <c r="R3546" s="1"/>
  <c r="I3370"/>
  <c r="K3187"/>
  <c r="V3159"/>
  <c r="X3159" s="1"/>
  <c r="X3134"/>
  <c r="R2831"/>
  <c r="P2864"/>
  <c r="R2864" s="1"/>
  <c r="I3484"/>
  <c r="K3484" s="1"/>
  <c r="I2572"/>
  <c r="K2537"/>
  <c r="K2542" s="1"/>
  <c r="K2545" s="1"/>
  <c r="K2548" s="1"/>
  <c r="V3588"/>
  <c r="X3573"/>
  <c r="V3587"/>
  <c r="X3572"/>
  <c r="V3560"/>
  <c r="X3544"/>
  <c r="P3398"/>
  <c r="R3398" s="1"/>
  <c r="R3364"/>
  <c r="AE3543"/>
  <c r="AG3543" s="1"/>
  <c r="V3543"/>
  <c r="K3543"/>
  <c r="I4073"/>
  <c r="K4073" s="1"/>
  <c r="X3123"/>
  <c r="V3140"/>
  <c r="V3166"/>
  <c r="X3166" s="1"/>
  <c r="X3141"/>
  <c r="P2515"/>
  <c r="R2515" s="1"/>
  <c r="K2508"/>
  <c r="L1601"/>
  <c r="L1602" s="1"/>
  <c r="K1635"/>
  <c r="K1638" s="1"/>
  <c r="P2514"/>
  <c r="R2514" s="1"/>
  <c r="R2519" s="1"/>
  <c r="R2521" s="1"/>
  <c r="K2507"/>
  <c r="K2512" s="1"/>
  <c r="K2515" s="1"/>
  <c r="I3646"/>
  <c r="K3749"/>
  <c r="L3209"/>
  <c r="L3178"/>
  <c r="J562"/>
  <c r="W563"/>
  <c r="AC563" s="1"/>
  <c r="P1462"/>
  <c r="R1445"/>
  <c r="R1427"/>
  <c r="P1443"/>
  <c r="X1402"/>
  <c r="AB1400"/>
  <c r="I3490"/>
  <c r="K3490" s="1"/>
  <c r="K2825"/>
  <c r="V2793"/>
  <c r="X2793" s="1"/>
  <c r="I2642"/>
  <c r="P2832"/>
  <c r="AE2797"/>
  <c r="AG2797" s="1"/>
  <c r="K2979"/>
  <c r="I3064"/>
  <c r="P2986"/>
  <c r="R2986" s="1"/>
  <c r="K2977"/>
  <c r="I3062"/>
  <c r="P2984"/>
  <c r="R2984" s="1"/>
  <c r="P2982"/>
  <c r="R2982" s="1"/>
  <c r="K2975"/>
  <c r="I3060"/>
  <c r="P1467"/>
  <c r="R1450"/>
  <c r="V1389"/>
  <c r="X1372"/>
  <c r="P1444"/>
  <c r="R1428"/>
  <c r="X1412"/>
  <c r="AB1410"/>
  <c r="X1408"/>
  <c r="AB1406"/>
  <c r="X1407"/>
  <c r="AB1405"/>
  <c r="AD1370"/>
  <c r="AB1387"/>
  <c r="AD1387" s="1"/>
  <c r="AB1384"/>
  <c r="AD1384" s="1"/>
  <c r="AD1367"/>
  <c r="I4008"/>
  <c r="K4008" s="1"/>
  <c r="K3989"/>
  <c r="I4020"/>
  <c r="I3990"/>
  <c r="P1120"/>
  <c r="R1120" s="1"/>
  <c r="R1099"/>
  <c r="I2978"/>
  <c r="K2842"/>
  <c r="I2976"/>
  <c r="K2840"/>
  <c r="I3493"/>
  <c r="K3493" s="1"/>
  <c r="I2671"/>
  <c r="I2874"/>
  <c r="K2874" s="1"/>
  <c r="I1136"/>
  <c r="Z13"/>
  <c r="AC12"/>
  <c r="K3997"/>
  <c r="P1540"/>
  <c r="R1540" s="1"/>
  <c r="AB1392"/>
  <c r="AD1392" s="1"/>
  <c r="AD1375"/>
  <c r="AB1390"/>
  <c r="AD1390" s="1"/>
  <c r="AD1373"/>
  <c r="I1615"/>
  <c r="P1604"/>
  <c r="R1604" s="1"/>
  <c r="K1603"/>
  <c r="I3830"/>
  <c r="K3830" s="1"/>
  <c r="P3469"/>
  <c r="R3469" s="1"/>
  <c r="K3463"/>
  <c r="P1419"/>
  <c r="R1402"/>
  <c r="V1363"/>
  <c r="V3709"/>
  <c r="V3661"/>
  <c r="P1321"/>
  <c r="R1321" s="1"/>
  <c r="R1302"/>
  <c r="K3343"/>
  <c r="K3348" s="1"/>
  <c r="K3350" s="1"/>
  <c r="I3369"/>
  <c r="J541"/>
  <c r="W540"/>
  <c r="AC540" s="1"/>
  <c r="I141"/>
  <c r="K141" s="1"/>
  <c r="P25"/>
  <c r="R25" s="1"/>
  <c r="I3506"/>
  <c r="K3506" s="1"/>
  <c r="K3516" s="1"/>
  <c r="K3517" s="1"/>
  <c r="C78"/>
  <c r="I36"/>
  <c r="I3462"/>
  <c r="I2699"/>
  <c r="K2699" s="1"/>
  <c r="I2687"/>
  <c r="K2687" s="1"/>
  <c r="K2689" s="1"/>
  <c r="K2690" s="1"/>
  <c r="I2742"/>
  <c r="K2742" s="1"/>
  <c r="I2714"/>
  <c r="I2429"/>
  <c r="I2385"/>
  <c r="K2385" s="1"/>
  <c r="I2153"/>
  <c r="I2028"/>
  <c r="I1847"/>
  <c r="I1811"/>
  <c r="K1811" s="1"/>
  <c r="I1709"/>
  <c r="K1709" s="1"/>
  <c r="P1524"/>
  <c r="R1524" s="1"/>
  <c r="R1527" s="1"/>
  <c r="R1529" s="1"/>
  <c r="I1520"/>
  <c r="K1520" s="1"/>
  <c r="K1524" s="1"/>
  <c r="K1526" s="1"/>
  <c r="I1508"/>
  <c r="I1493"/>
  <c r="K1493" s="1"/>
  <c r="I1421"/>
  <c r="K1421" s="1"/>
  <c r="I1382"/>
  <c r="K1382" s="1"/>
  <c r="I2133"/>
  <c r="K2133" s="1"/>
  <c r="I2108"/>
  <c r="K2108" s="1"/>
  <c r="I2009"/>
  <c r="I1913"/>
  <c r="K1913" s="1"/>
  <c r="I1829"/>
  <c r="K1829" s="1"/>
  <c r="I1648"/>
  <c r="I1436"/>
  <c r="K1436" s="1"/>
  <c r="I1408"/>
  <c r="K1408" s="1"/>
  <c r="I1395"/>
  <c r="K1395" s="1"/>
  <c r="I1339"/>
  <c r="K1339" s="1"/>
  <c r="I1259"/>
  <c r="I1254"/>
  <c r="I1229"/>
  <c r="K1229" s="1"/>
  <c r="I1203"/>
  <c r="K1203" s="1"/>
  <c r="I902"/>
  <c r="K902" s="1"/>
  <c r="V647"/>
  <c r="P524"/>
  <c r="R524" s="1"/>
  <c r="I1360"/>
  <c r="K1360" s="1"/>
  <c r="P1147"/>
  <c r="V712"/>
  <c r="P552"/>
  <c r="R552" s="1"/>
  <c r="I508"/>
  <c r="I449"/>
  <c r="K449" s="1"/>
  <c r="I415"/>
  <c r="K415" s="1"/>
  <c r="I384"/>
  <c r="P366"/>
  <c r="R366" s="1"/>
  <c r="P351"/>
  <c r="R351" s="1"/>
  <c r="P339"/>
  <c r="R339" s="1"/>
  <c r="P322"/>
  <c r="R322" s="1"/>
  <c r="I316"/>
  <c r="P310"/>
  <c r="R310" s="1"/>
  <c r="I229"/>
  <c r="I214"/>
  <c r="K214" s="1"/>
  <c r="I1325"/>
  <c r="K1325" s="1"/>
  <c r="I1307"/>
  <c r="I1225"/>
  <c r="I886"/>
  <c r="P506"/>
  <c r="R506" s="1"/>
  <c r="I491"/>
  <c r="K491" s="1"/>
  <c r="P393"/>
  <c r="R393" s="1"/>
  <c r="R396" s="1"/>
  <c r="R398" s="1"/>
  <c r="P379"/>
  <c r="R379" s="1"/>
  <c r="I340"/>
  <c r="I301"/>
  <c r="K301" s="1"/>
  <c r="I275"/>
  <c r="K275" s="1"/>
  <c r="I199"/>
  <c r="P84"/>
  <c r="R84" s="1"/>
  <c r="P54"/>
  <c r="R54" s="1"/>
  <c r="I1235"/>
  <c r="K1235" s="1"/>
  <c r="I868"/>
  <c r="I812"/>
  <c r="I360"/>
  <c r="P299"/>
  <c r="R299" s="1"/>
  <c r="P287"/>
  <c r="R287" s="1"/>
  <c r="P69"/>
  <c r="R69" s="1"/>
  <c r="V642"/>
  <c r="C70"/>
  <c r="AB1368"/>
  <c r="AD1351"/>
  <c r="P1118"/>
  <c r="R1118" s="1"/>
  <c r="R1097"/>
  <c r="K1026"/>
  <c r="I1063"/>
  <c r="I2974"/>
  <c r="K2838"/>
  <c r="K2845" s="1"/>
  <c r="K2847" s="1"/>
  <c r="I2867"/>
  <c r="K2867" s="1"/>
  <c r="I927"/>
  <c r="K927" s="1"/>
  <c r="I920"/>
  <c r="K920" s="1"/>
  <c r="I1129"/>
  <c r="K1129" s="1"/>
  <c r="I3485"/>
  <c r="K3485" s="1"/>
  <c r="I1088"/>
  <c r="K1088" s="1"/>
  <c r="I1073"/>
  <c r="K1073" s="1"/>
  <c r="I3106"/>
  <c r="P2673"/>
  <c r="K2666"/>
  <c r="I989"/>
  <c r="K989" s="1"/>
  <c r="I954"/>
  <c r="P721"/>
  <c r="R721" s="1"/>
  <c r="R728" s="1"/>
  <c r="R730" s="1"/>
  <c r="P752"/>
  <c r="R752" s="1"/>
  <c r="R759" s="1"/>
  <c r="R761" s="1"/>
  <c r="P736"/>
  <c r="R736" s="1"/>
  <c r="R743" s="1"/>
  <c r="R745" s="1"/>
  <c r="I1019"/>
  <c r="V3253"/>
  <c r="X3253" s="1"/>
  <c r="K3285"/>
  <c r="R1148"/>
  <c r="P1179" s="1"/>
  <c r="R1179" s="1"/>
  <c r="V807"/>
  <c r="R1046"/>
  <c r="P1047"/>
  <c r="R1047" s="1"/>
  <c r="P944"/>
  <c r="R944" s="1"/>
  <c r="R943"/>
  <c r="M2256"/>
  <c r="K2255"/>
  <c r="L2221"/>
  <c r="I3171"/>
  <c r="K1506"/>
  <c r="AU132"/>
  <c r="AV132" s="1"/>
  <c r="AU107"/>
  <c r="AV107" s="1"/>
  <c r="AE424"/>
  <c r="AG424" s="1"/>
  <c r="AG388"/>
  <c r="X90"/>
  <c r="X91" s="1"/>
  <c r="X89"/>
  <c r="I1752"/>
  <c r="K1752" s="1"/>
  <c r="I154"/>
  <c r="K154" s="1"/>
  <c r="I184"/>
  <c r="K184" s="1"/>
  <c r="K189" s="1"/>
  <c r="P2158"/>
  <c r="R2158" s="1"/>
  <c r="K2151"/>
  <c r="I2900"/>
  <c r="K2900" s="1"/>
  <c r="K504"/>
  <c r="P1144"/>
  <c r="V803"/>
  <c r="V643"/>
  <c r="K808"/>
  <c r="I3642"/>
  <c r="K3642" s="1"/>
  <c r="K1645"/>
  <c r="P2432"/>
  <c r="R2432" s="1"/>
  <c r="K2425"/>
  <c r="K82"/>
  <c r="L82"/>
  <c r="I2146"/>
  <c r="I2126"/>
  <c r="K2126" s="1"/>
  <c r="I1970"/>
  <c r="I1757"/>
  <c r="K1757" s="1"/>
  <c r="P577"/>
  <c r="R577" s="1"/>
  <c r="P469"/>
  <c r="R469" s="1"/>
  <c r="R487" s="1"/>
  <c r="R489" s="1"/>
  <c r="P451"/>
  <c r="R451" s="1"/>
  <c r="R462" s="1"/>
  <c r="R464" s="1"/>
  <c r="I482"/>
  <c r="K482" s="1"/>
  <c r="P432"/>
  <c r="I168"/>
  <c r="C165" s="1"/>
  <c r="P141"/>
  <c r="I83"/>
  <c r="I176"/>
  <c r="K176" s="1"/>
  <c r="I3284"/>
  <c r="P3261"/>
  <c r="R3261" s="1"/>
  <c r="I2817"/>
  <c r="C90"/>
  <c r="I1771"/>
  <c r="K1771" s="1"/>
  <c r="I1179"/>
  <c r="K1179" s="1"/>
  <c r="K1183" s="1"/>
  <c r="K1185" s="1"/>
  <c r="I3566"/>
  <c r="K3566" s="1"/>
  <c r="K1943"/>
  <c r="K2008"/>
  <c r="P2009"/>
  <c r="R2009" s="1"/>
  <c r="P2027"/>
  <c r="R2027" s="1"/>
  <c r="K2027"/>
  <c r="K3123"/>
  <c r="K3125" s="1"/>
  <c r="P3123"/>
  <c r="R3123" s="1"/>
  <c r="R3125" s="1"/>
  <c r="K811"/>
  <c r="V805"/>
  <c r="K383"/>
  <c r="V383"/>
  <c r="I2903"/>
  <c r="K2903" s="1"/>
  <c r="K507"/>
  <c r="V339"/>
  <c r="K339"/>
  <c r="AB479"/>
  <c r="AD479" s="1"/>
  <c r="X479"/>
  <c r="X646"/>
  <c r="AD646"/>
  <c r="AF646" s="1"/>
  <c r="K1224"/>
  <c r="P1219"/>
  <c r="I1287"/>
  <c r="K1287" s="1"/>
  <c r="K1273"/>
  <c r="AB1266"/>
  <c r="AD1266" s="1"/>
  <c r="AB530"/>
  <c r="X530"/>
  <c r="V554"/>
  <c r="X554" s="1"/>
  <c r="V681"/>
  <c r="X681" s="1"/>
  <c r="X711"/>
  <c r="Z711" s="1"/>
  <c r="I3929"/>
  <c r="I3308"/>
  <c r="K3308" s="1"/>
  <c r="V866"/>
  <c r="X866" s="1"/>
  <c r="K866"/>
  <c r="P859"/>
  <c r="R859" s="1"/>
  <c r="P1177"/>
  <c r="R1177" s="1"/>
  <c r="R1146"/>
  <c r="K1974"/>
  <c r="P1974"/>
  <c r="R1974" s="1"/>
  <c r="I3644"/>
  <c r="K3644" s="1"/>
  <c r="K1647"/>
  <c r="P1995"/>
  <c r="R1995" s="1"/>
  <c r="K1995"/>
  <c r="P2159"/>
  <c r="R2159" s="1"/>
  <c r="K2152"/>
  <c r="K2369"/>
  <c r="P2375"/>
  <c r="R2375" s="1"/>
  <c r="K2713"/>
  <c r="I2721"/>
  <c r="K2721" s="1"/>
  <c r="I2411"/>
  <c r="K2411" s="1"/>
  <c r="K2399"/>
  <c r="I3828"/>
  <c r="K3828" s="1"/>
  <c r="K3461"/>
  <c r="P3467"/>
  <c r="R3467" s="1"/>
  <c r="I3466"/>
  <c r="R2361"/>
  <c r="R2363" s="1"/>
  <c r="R2365" s="1"/>
  <c r="P2354" s="1"/>
  <c r="R2354" s="1"/>
  <c r="S2321"/>
  <c r="R1324"/>
  <c r="R1326" s="1"/>
  <c r="S1326" s="1"/>
  <c r="K3801"/>
  <c r="I3791" s="1"/>
  <c r="R382"/>
  <c r="R384" s="1"/>
  <c r="P413" s="1"/>
  <c r="R413" s="1"/>
  <c r="K1496"/>
  <c r="K1498" s="1"/>
  <c r="K1328"/>
  <c r="K1330" s="1"/>
  <c r="I1987" s="1"/>
  <c r="R588"/>
  <c r="R590" s="1"/>
  <c r="R529"/>
  <c r="R531" s="1"/>
  <c r="L104" i="5"/>
  <c r="K104"/>
  <c r="L102"/>
  <c r="K102"/>
  <c r="L100"/>
  <c r="K100"/>
  <c r="L92"/>
  <c r="K92"/>
  <c r="K61"/>
  <c r="L61"/>
  <c r="K48"/>
  <c r="L48"/>
  <c r="K39"/>
  <c r="L39"/>
  <c r="L98"/>
  <c r="K98"/>
  <c r="K107"/>
  <c r="L107"/>
  <c r="L29"/>
  <c r="K29"/>
  <c r="K85"/>
  <c r="L85"/>
  <c r="K79"/>
  <c r="L79"/>
  <c r="K71"/>
  <c r="L71"/>
  <c r="K47"/>
  <c r="L47"/>
  <c r="E20" i="3"/>
  <c r="H17"/>
  <c r="G18" s="1"/>
  <c r="G13" i="5" s="1"/>
  <c r="H13" s="1"/>
  <c r="F29" l="1"/>
  <c r="F45"/>
  <c r="B45" i="4"/>
  <c r="J45" i="5"/>
  <c r="B29" i="4"/>
  <c r="F29" s="1"/>
  <c r="J29" i="5"/>
  <c r="B107" i="4"/>
  <c r="F107" s="1"/>
  <c r="J105" i="5"/>
  <c r="B37" i="4"/>
  <c r="F37" s="1"/>
  <c r="J37" i="5"/>
  <c r="F71"/>
  <c r="I99"/>
  <c r="B100" i="4" s="1"/>
  <c r="F100" s="1"/>
  <c r="I69" i="5"/>
  <c r="B70" i="4" s="1"/>
  <c r="F70" s="1"/>
  <c r="J40" i="5"/>
  <c r="F61"/>
  <c r="J60"/>
  <c r="J64"/>
  <c r="J7"/>
  <c r="J49"/>
  <c r="F11"/>
  <c r="J71"/>
  <c r="F110"/>
  <c r="B11" i="4"/>
  <c r="F11" s="1"/>
  <c r="J11" i="5"/>
  <c r="J110"/>
  <c r="B113" i="4"/>
  <c r="F113" s="1"/>
  <c r="B61"/>
  <c r="F61" s="1"/>
  <c r="J61" i="5"/>
  <c r="J103"/>
  <c r="B105" i="4"/>
  <c r="F105" s="1"/>
  <c r="B36"/>
  <c r="F36" s="1"/>
  <c r="J36" i="5"/>
  <c r="B57" i="4"/>
  <c r="F57" s="1"/>
  <c r="J57" i="5"/>
  <c r="J14"/>
  <c r="B14" i="4"/>
  <c r="F14" s="1"/>
  <c r="B74"/>
  <c r="F74" s="1"/>
  <c r="J74" i="5"/>
  <c r="B75" i="4"/>
  <c r="F75" s="1"/>
  <c r="J75" i="5"/>
  <c r="B52" i="4"/>
  <c r="F52" s="1"/>
  <c r="J52" i="5"/>
  <c r="J69"/>
  <c r="E107"/>
  <c r="I107" s="1"/>
  <c r="J99"/>
  <c r="F6"/>
  <c r="J8"/>
  <c r="K3106" i="7"/>
  <c r="D64" i="8"/>
  <c r="F64" s="1"/>
  <c r="K3104" i="7"/>
  <c r="D62" i="8"/>
  <c r="F62" s="1"/>
  <c r="AD1376" i="7"/>
  <c r="AB1393"/>
  <c r="AD1393" s="1"/>
  <c r="K1816"/>
  <c r="K1818" s="1"/>
  <c r="I1872" s="1"/>
  <c r="K1872" s="1"/>
  <c r="K1874" s="1"/>
  <c r="K3111"/>
  <c r="D68" i="8"/>
  <c r="F68" s="1"/>
  <c r="AD1352" i="7"/>
  <c r="AB1369"/>
  <c r="R1404"/>
  <c r="F97" i="5"/>
  <c r="I13"/>
  <c r="J6"/>
  <c r="B6" i="4"/>
  <c r="F6" s="1"/>
  <c r="J112" i="5"/>
  <c r="B103" i="4"/>
  <c r="F103" s="1"/>
  <c r="J111" i="5"/>
  <c r="B102" i="4"/>
  <c r="F102" s="1"/>
  <c r="B90"/>
  <c r="F90" s="1"/>
  <c r="J89" i="5"/>
  <c r="B97" i="4"/>
  <c r="F97" s="1"/>
  <c r="J96" i="5"/>
  <c r="B98" i="4"/>
  <c r="F98" s="1"/>
  <c r="J97" i="5"/>
  <c r="B96" i="4"/>
  <c r="F96" s="1"/>
  <c r="J95" i="5"/>
  <c r="I93"/>
  <c r="F93"/>
  <c r="K2288" i="7"/>
  <c r="H461" i="2"/>
  <c r="H464" s="1"/>
  <c r="F38" i="4"/>
  <c r="P402" i="7"/>
  <c r="R402" s="1"/>
  <c r="P403"/>
  <c r="R403" s="1"/>
  <c r="I2360"/>
  <c r="I2354"/>
  <c r="I2386" s="1"/>
  <c r="K2386" s="1"/>
  <c r="I2358"/>
  <c r="AB554"/>
  <c r="AD554" s="1"/>
  <c r="AD530"/>
  <c r="P1261"/>
  <c r="R1219"/>
  <c r="T1219" s="1"/>
  <c r="P1224"/>
  <c r="AE392"/>
  <c r="X383"/>
  <c r="V414"/>
  <c r="X414" s="1"/>
  <c r="V820"/>
  <c r="X820" s="1"/>
  <c r="X805"/>
  <c r="R3126"/>
  <c r="T3125"/>
  <c r="I987"/>
  <c r="K987" s="1"/>
  <c r="I952"/>
  <c r="K952" s="1"/>
  <c r="I1017"/>
  <c r="R141"/>
  <c r="R144" s="1"/>
  <c r="P126"/>
  <c r="R126" s="1"/>
  <c r="R129" s="1"/>
  <c r="I3663"/>
  <c r="R432"/>
  <c r="K1970"/>
  <c r="P1970"/>
  <c r="R1970" s="1"/>
  <c r="P2153"/>
  <c r="R2153" s="1"/>
  <c r="K2146"/>
  <c r="X643"/>
  <c r="V708"/>
  <c r="AD643"/>
  <c r="AF643" s="1"/>
  <c r="P1175"/>
  <c r="R1175" s="1"/>
  <c r="R1144"/>
  <c r="P2981"/>
  <c r="R2981" s="1"/>
  <c r="K2974"/>
  <c r="I3059"/>
  <c r="AD1368"/>
  <c r="AB1385"/>
  <c r="AD1385" s="1"/>
  <c r="X642"/>
  <c r="AD642"/>
  <c r="AF642" s="1"/>
  <c r="K360"/>
  <c r="V360"/>
  <c r="I3931"/>
  <c r="I3310"/>
  <c r="K3310" s="1"/>
  <c r="K868"/>
  <c r="P861"/>
  <c r="R861" s="1"/>
  <c r="V868"/>
  <c r="X868" s="1"/>
  <c r="K199"/>
  <c r="P167"/>
  <c r="R167" s="1"/>
  <c r="P199"/>
  <c r="K886"/>
  <c r="V886"/>
  <c r="K1307"/>
  <c r="P1305"/>
  <c r="V384"/>
  <c r="K384"/>
  <c r="R1147"/>
  <c r="P1178"/>
  <c r="R1178" s="1"/>
  <c r="V1288"/>
  <c r="X1288" s="1"/>
  <c r="K1259"/>
  <c r="K2009"/>
  <c r="P2010"/>
  <c r="R2010" s="1"/>
  <c r="I3173"/>
  <c r="K1508"/>
  <c r="P2028"/>
  <c r="R2028" s="1"/>
  <c r="K2028"/>
  <c r="K2714"/>
  <c r="I2722"/>
  <c r="K2722" s="1"/>
  <c r="I3829"/>
  <c r="K3829" s="1"/>
  <c r="P3468"/>
  <c r="R3468" s="1"/>
  <c r="K3462"/>
  <c r="I3467"/>
  <c r="I2148"/>
  <c r="I1753"/>
  <c r="K1753" s="1"/>
  <c r="K1760" s="1"/>
  <c r="K1762" s="1"/>
  <c r="I2128"/>
  <c r="K2128" s="1"/>
  <c r="P1143"/>
  <c r="I505"/>
  <c r="I54"/>
  <c r="K54" s="1"/>
  <c r="K58" s="1"/>
  <c r="I809"/>
  <c r="I272"/>
  <c r="K272" s="1"/>
  <c r="I73"/>
  <c r="K73" s="1"/>
  <c r="K77" s="1"/>
  <c r="I64"/>
  <c r="K64" s="1"/>
  <c r="K68" s="1"/>
  <c r="I28"/>
  <c r="K28" s="1"/>
  <c r="K32" s="1"/>
  <c r="P10"/>
  <c r="R10" s="1"/>
  <c r="R14" s="1"/>
  <c r="I10"/>
  <c r="K10" s="1"/>
  <c r="K3369"/>
  <c r="I3356"/>
  <c r="K3356" s="1"/>
  <c r="X3661"/>
  <c r="V3691"/>
  <c r="X3691" s="1"/>
  <c r="X1363"/>
  <c r="AB1361"/>
  <c r="R1419"/>
  <c r="P1436"/>
  <c r="V1380"/>
  <c r="P1616"/>
  <c r="R1616" s="1"/>
  <c r="K1615"/>
  <c r="Z14"/>
  <c r="AC13"/>
  <c r="C72" s="1"/>
  <c r="K2976"/>
  <c r="I3061"/>
  <c r="P2983"/>
  <c r="R2983" s="1"/>
  <c r="K2978"/>
  <c r="I3063"/>
  <c r="P2985"/>
  <c r="R2985" s="1"/>
  <c r="K4020"/>
  <c r="I4035"/>
  <c r="K4035" s="1"/>
  <c r="I4021"/>
  <c r="P1461"/>
  <c r="R1444"/>
  <c r="V1405"/>
  <c r="X1389"/>
  <c r="P1498"/>
  <c r="R1467"/>
  <c r="I3083"/>
  <c r="K3083" s="1"/>
  <c r="K3064"/>
  <c r="P3071"/>
  <c r="R3071" s="1"/>
  <c r="P2649"/>
  <c r="R2649" s="1"/>
  <c r="V2610"/>
  <c r="K2642"/>
  <c r="AB1417"/>
  <c r="AD1417" s="1"/>
  <c r="AD1400"/>
  <c r="R1443"/>
  <c r="P1460"/>
  <c r="X3140"/>
  <c r="V3165"/>
  <c r="X3165" s="1"/>
  <c r="V3559"/>
  <c r="X3543"/>
  <c r="K3370"/>
  <c r="I3357"/>
  <c r="K3357" s="1"/>
  <c r="V3577"/>
  <c r="X3561"/>
  <c r="K338"/>
  <c r="V338"/>
  <c r="P1176"/>
  <c r="R1176" s="1"/>
  <c r="R1145"/>
  <c r="K197"/>
  <c r="P197"/>
  <c r="P165"/>
  <c r="R165" s="1"/>
  <c r="K1223"/>
  <c r="P1218"/>
  <c r="P233"/>
  <c r="R233" s="1"/>
  <c r="K227"/>
  <c r="AD645"/>
  <c r="AF645" s="1"/>
  <c r="X645"/>
  <c r="V804"/>
  <c r="K810"/>
  <c r="P1994"/>
  <c r="R1994" s="1"/>
  <c r="K1994"/>
  <c r="K2427"/>
  <c r="P2434"/>
  <c r="R2434" s="1"/>
  <c r="L2318"/>
  <c r="K2353"/>
  <c r="V198"/>
  <c r="X198" s="1"/>
  <c r="R198"/>
  <c r="AE368"/>
  <c r="AG368" s="1"/>
  <c r="X359"/>
  <c r="I3390"/>
  <c r="I3480" s="1"/>
  <c r="K3480" s="1"/>
  <c r="I1128"/>
  <c r="K1128" s="1"/>
  <c r="I1102"/>
  <c r="I1016"/>
  <c r="K1016" s="1"/>
  <c r="I1086"/>
  <c r="K1086" s="1"/>
  <c r="I1071"/>
  <c r="K1071" s="1"/>
  <c r="I1054"/>
  <c r="P211"/>
  <c r="R211" s="1"/>
  <c r="I986"/>
  <c r="K986" s="1"/>
  <c r="I951"/>
  <c r="K951" s="1"/>
  <c r="I928"/>
  <c r="K928" s="1"/>
  <c r="P3156"/>
  <c r="K3149"/>
  <c r="I3103"/>
  <c r="P2670"/>
  <c r="K2663"/>
  <c r="K3662"/>
  <c r="I3683"/>
  <c r="K3683" s="1"/>
  <c r="P627"/>
  <c r="R627" s="1"/>
  <c r="P22"/>
  <c r="I152"/>
  <c r="K152" s="1"/>
  <c r="K161" s="1"/>
  <c r="AE2618"/>
  <c r="AG2618" s="1"/>
  <c r="Z2602"/>
  <c r="AE2652"/>
  <c r="AG2652" s="1"/>
  <c r="X2604"/>
  <c r="I2939"/>
  <c r="K2939" s="1"/>
  <c r="I2930"/>
  <c r="I3422"/>
  <c r="K3422" s="1"/>
  <c r="P2640"/>
  <c r="R2640" s="1"/>
  <c r="K2633"/>
  <c r="V2601"/>
  <c r="P3223"/>
  <c r="P3293"/>
  <c r="P3259"/>
  <c r="R3259" s="1"/>
  <c r="R3190"/>
  <c r="P3155"/>
  <c r="R3155" s="1"/>
  <c r="K3148"/>
  <c r="K3159" s="1"/>
  <c r="K3161" s="1"/>
  <c r="K395"/>
  <c r="V395"/>
  <c r="X478"/>
  <c r="AB478"/>
  <c r="AD478" s="1"/>
  <c r="I3928"/>
  <c r="I3307"/>
  <c r="K3307" s="1"/>
  <c r="K865"/>
  <c r="P858"/>
  <c r="R858" s="1"/>
  <c r="V865"/>
  <c r="X865" s="1"/>
  <c r="K381"/>
  <c r="V381"/>
  <c r="K1272"/>
  <c r="I1286"/>
  <c r="K1286" s="1"/>
  <c r="AB1265"/>
  <c r="AD1265" s="1"/>
  <c r="V337"/>
  <c r="K337"/>
  <c r="V1280"/>
  <c r="X1280" s="1"/>
  <c r="K1251"/>
  <c r="AB529"/>
  <c r="V553"/>
  <c r="X553" s="1"/>
  <c r="X529"/>
  <c r="K612"/>
  <c r="I612"/>
  <c r="K2007"/>
  <c r="K2015" s="1"/>
  <c r="P2008"/>
  <c r="R2008" s="1"/>
  <c r="R2018" s="1"/>
  <c r="P2157"/>
  <c r="R2157" s="1"/>
  <c r="K2150"/>
  <c r="K2384"/>
  <c r="I2398"/>
  <c r="I3996"/>
  <c r="X1359"/>
  <c r="X1365" s="1"/>
  <c r="AB1357"/>
  <c r="P1432"/>
  <c r="R1415"/>
  <c r="R1421" s="1"/>
  <c r="V1376"/>
  <c r="AB1388"/>
  <c r="AD1388" s="1"/>
  <c r="AD1371"/>
  <c r="I4010"/>
  <c r="K3994"/>
  <c r="P1494"/>
  <c r="R1463"/>
  <c r="V1424"/>
  <c r="X1424" s="1"/>
  <c r="P1497"/>
  <c r="R1466"/>
  <c r="AB1426"/>
  <c r="AD1426" s="1"/>
  <c r="AD1409"/>
  <c r="P1459"/>
  <c r="R1442"/>
  <c r="X1388"/>
  <c r="V1404"/>
  <c r="P1489"/>
  <c r="P1475"/>
  <c r="R1458"/>
  <c r="V1419"/>
  <c r="X1419" s="1"/>
  <c r="R1468"/>
  <c r="P1499"/>
  <c r="V3549"/>
  <c r="V3565" s="1"/>
  <c r="AE3549"/>
  <c r="X3139"/>
  <c r="V3164"/>
  <c r="X3164" s="1"/>
  <c r="P3372"/>
  <c r="R3337"/>
  <c r="I2608"/>
  <c r="P2574"/>
  <c r="R2574" s="1"/>
  <c r="K2573"/>
  <c r="K3325"/>
  <c r="I3394"/>
  <c r="I3532"/>
  <c r="R3405"/>
  <c r="K2716"/>
  <c r="K2718" s="1"/>
  <c r="K1511"/>
  <c r="K1513" s="1"/>
  <c r="R1057"/>
  <c r="R1059" s="1"/>
  <c r="R2379"/>
  <c r="R2381" s="1"/>
  <c r="K3754"/>
  <c r="K3755" s="1"/>
  <c r="AS3111"/>
  <c r="K1834"/>
  <c r="K1836" s="1"/>
  <c r="I1880" s="1"/>
  <c r="K1880" s="1"/>
  <c r="K1882" s="1"/>
  <c r="K1915"/>
  <c r="K1917" s="1"/>
  <c r="I1924" s="1"/>
  <c r="K1924" s="1"/>
  <c r="K1927" s="1"/>
  <c r="K2701"/>
  <c r="K2702" s="1"/>
  <c r="K2703" s="1"/>
  <c r="K792"/>
  <c r="K794" s="1"/>
  <c r="P1987"/>
  <c r="R1987" s="1"/>
  <c r="K1987"/>
  <c r="I3833"/>
  <c r="K3833" s="1"/>
  <c r="P3472"/>
  <c r="R3472" s="1"/>
  <c r="K3466"/>
  <c r="K3929"/>
  <c r="I3947"/>
  <c r="AE339"/>
  <c r="AG339" s="1"/>
  <c r="X339"/>
  <c r="I3481"/>
  <c r="K3481" s="1"/>
  <c r="P2824"/>
  <c r="K2817"/>
  <c r="V3252"/>
  <c r="X3252" s="1"/>
  <c r="K3284"/>
  <c r="I111"/>
  <c r="K111" s="1"/>
  <c r="K114" s="1"/>
  <c r="K116" s="1"/>
  <c r="I96"/>
  <c r="K83"/>
  <c r="K86" s="1"/>
  <c r="K88" s="1"/>
  <c r="K168"/>
  <c r="C166"/>
  <c r="V818"/>
  <c r="X818" s="1"/>
  <c r="X803"/>
  <c r="I3184"/>
  <c r="K3171"/>
  <c r="X807"/>
  <c r="V822"/>
  <c r="X822" s="1"/>
  <c r="P1093"/>
  <c r="K1019"/>
  <c r="P3194"/>
  <c r="I2819"/>
  <c r="P947"/>
  <c r="R947" s="1"/>
  <c r="K954"/>
  <c r="AE1072"/>
  <c r="AG1072" s="1"/>
  <c r="K1063"/>
  <c r="P997"/>
  <c r="R997" s="1"/>
  <c r="I1078"/>
  <c r="I1644"/>
  <c r="K1644" s="1"/>
  <c r="I1303"/>
  <c r="K1303" s="1"/>
  <c r="I503"/>
  <c r="K812"/>
  <c r="V806"/>
  <c r="K340"/>
  <c r="V340"/>
  <c r="K1225"/>
  <c r="P1220"/>
  <c r="P235"/>
  <c r="R235" s="1"/>
  <c r="K229"/>
  <c r="V316"/>
  <c r="K316"/>
  <c r="I2904"/>
  <c r="K2904" s="1"/>
  <c r="K508"/>
  <c r="X712"/>
  <c r="Z712" s="1"/>
  <c r="V682"/>
  <c r="X682" s="1"/>
  <c r="AD647"/>
  <c r="AF647" s="1"/>
  <c r="X647"/>
  <c r="V1283"/>
  <c r="X1283" s="1"/>
  <c r="K1254"/>
  <c r="I3645"/>
  <c r="K3645" s="1"/>
  <c r="K1648"/>
  <c r="P1863"/>
  <c r="K1847"/>
  <c r="P2160"/>
  <c r="R2160" s="1"/>
  <c r="K2153"/>
  <c r="P2436"/>
  <c r="R2436" s="1"/>
  <c r="K2429"/>
  <c r="K36"/>
  <c r="K40" s="1"/>
  <c r="I19"/>
  <c r="K19" s="1"/>
  <c r="K23" s="1"/>
  <c r="I140"/>
  <c r="I45"/>
  <c r="K45" s="1"/>
  <c r="K49" s="1"/>
  <c r="J542"/>
  <c r="W541"/>
  <c r="AC541" s="1"/>
  <c r="X3709"/>
  <c r="V3723"/>
  <c r="X3723" s="1"/>
  <c r="V801"/>
  <c r="V706"/>
  <c r="C71"/>
  <c r="P1142" s="1"/>
  <c r="I3533"/>
  <c r="K1136"/>
  <c r="P2678"/>
  <c r="K2671"/>
  <c r="K3990"/>
  <c r="I3991"/>
  <c r="AB1422"/>
  <c r="AD1422" s="1"/>
  <c r="AD1405"/>
  <c r="AD1406"/>
  <c r="AB1423"/>
  <c r="AD1423" s="1"/>
  <c r="AB1427"/>
  <c r="AD1427" s="1"/>
  <c r="AD1410"/>
  <c r="I3079"/>
  <c r="K3079" s="1"/>
  <c r="P3067"/>
  <c r="R3067" s="1"/>
  <c r="K3060"/>
  <c r="I3081"/>
  <c r="K3081" s="1"/>
  <c r="K3062"/>
  <c r="P3069"/>
  <c r="R3069" s="1"/>
  <c r="R2832"/>
  <c r="P2865"/>
  <c r="R2865" s="1"/>
  <c r="P1493"/>
  <c r="P1476"/>
  <c r="R1462"/>
  <c r="W564"/>
  <c r="AC564" s="1"/>
  <c r="J563"/>
  <c r="K3646"/>
  <c r="P3470"/>
  <c r="R3470" s="1"/>
  <c r="V3576"/>
  <c r="X3560"/>
  <c r="V3604"/>
  <c r="X3604" s="1"/>
  <c r="X3587"/>
  <c r="V3605"/>
  <c r="X3605" s="1"/>
  <c r="X3588"/>
  <c r="P2573"/>
  <c r="R2573" s="1"/>
  <c r="R2578" s="1"/>
  <c r="R2580" s="1"/>
  <c r="I2607"/>
  <c r="K2572"/>
  <c r="K2577" s="1"/>
  <c r="K2580" s="1"/>
  <c r="K2583" s="1"/>
  <c r="I3393"/>
  <c r="K3324"/>
  <c r="K314"/>
  <c r="V314"/>
  <c r="K358"/>
  <c r="V358"/>
  <c r="V382"/>
  <c r="K382"/>
  <c r="I2902"/>
  <c r="K2902" s="1"/>
  <c r="K506"/>
  <c r="K1257"/>
  <c r="V1286"/>
  <c r="X1286" s="1"/>
  <c r="X710"/>
  <c r="Z710" s="1"/>
  <c r="V680"/>
  <c r="X680" s="1"/>
  <c r="V1281"/>
  <c r="X1281" s="1"/>
  <c r="K1252"/>
  <c r="K1973"/>
  <c r="P1973"/>
  <c r="R1973" s="1"/>
  <c r="I2336"/>
  <c r="K2336" s="1"/>
  <c r="K2337" s="1"/>
  <c r="K2338" s="1"/>
  <c r="I2342" s="1"/>
  <c r="K2342" s="1"/>
  <c r="I3827"/>
  <c r="K3827" s="1"/>
  <c r="K3460"/>
  <c r="P3466"/>
  <c r="R3466" s="1"/>
  <c r="I3465"/>
  <c r="I3589"/>
  <c r="K3589" s="1"/>
  <c r="K3591" s="1"/>
  <c r="K3592" s="1"/>
  <c r="J3594" s="1"/>
  <c r="J3595" s="1"/>
  <c r="J3596" s="1"/>
  <c r="J3597" s="1"/>
  <c r="K3580"/>
  <c r="K3582" s="1"/>
  <c r="K3583" s="1"/>
  <c r="K3593" s="1"/>
  <c r="I3594" s="1"/>
  <c r="P1893"/>
  <c r="R1893" s="1"/>
  <c r="R1862"/>
  <c r="K3172"/>
  <c r="I3185"/>
  <c r="V900"/>
  <c r="X900" s="1"/>
  <c r="X884"/>
  <c r="X315"/>
  <c r="AQ67"/>
  <c r="AE315"/>
  <c r="AG315" s="1"/>
  <c r="R1335"/>
  <c r="AB1191"/>
  <c r="AD1191" s="1"/>
  <c r="V1302"/>
  <c r="T1640"/>
  <c r="R1640"/>
  <c r="P1891"/>
  <c r="R1891" s="1"/>
  <c r="R1860"/>
  <c r="I3423"/>
  <c r="K3423" s="1"/>
  <c r="K2634"/>
  <c r="V2602"/>
  <c r="P2641"/>
  <c r="R2641" s="1"/>
  <c r="P3260"/>
  <c r="R3260" s="1"/>
  <c r="P3224"/>
  <c r="P3294"/>
  <c r="R3191"/>
  <c r="I3602"/>
  <c r="K3602" s="1"/>
  <c r="K3612" s="1"/>
  <c r="K3614" s="1"/>
  <c r="P2823"/>
  <c r="I2866"/>
  <c r="K2866" s="1"/>
  <c r="AE2789"/>
  <c r="AG2789" s="1"/>
  <c r="K2816"/>
  <c r="P1263"/>
  <c r="R1221"/>
  <c r="T1221" s="1"/>
  <c r="N14"/>
  <c r="K14"/>
  <c r="W38"/>
  <c r="W15"/>
  <c r="W39" s="1"/>
  <c r="P1602"/>
  <c r="R1602" s="1"/>
  <c r="R1607" s="1"/>
  <c r="R1609" s="1"/>
  <c r="C878" s="1"/>
  <c r="K1601"/>
  <c r="K1606" s="1"/>
  <c r="K1608" s="1"/>
  <c r="V3160"/>
  <c r="X3160" s="1"/>
  <c r="X3135"/>
  <c r="P641"/>
  <c r="R641" s="1"/>
  <c r="R645" s="1"/>
  <c r="P50"/>
  <c r="R50" s="1"/>
  <c r="I3389"/>
  <c r="I3479" s="1"/>
  <c r="K3479" s="1"/>
  <c r="K3496" s="1"/>
  <c r="I985"/>
  <c r="K985" s="1"/>
  <c r="K998" s="1"/>
  <c r="K1000" s="1"/>
  <c r="I950"/>
  <c r="K950" s="1"/>
  <c r="K962" s="1"/>
  <c r="K964" s="1"/>
  <c r="I1127"/>
  <c r="K1127" s="1"/>
  <c r="I1053"/>
  <c r="I1015"/>
  <c r="K1015" s="1"/>
  <c r="P210"/>
  <c r="R210" s="1"/>
  <c r="R221" s="1"/>
  <c r="R224" s="1"/>
  <c r="I921"/>
  <c r="K921" s="1"/>
  <c r="K923" s="1"/>
  <c r="P2822"/>
  <c r="K2815"/>
  <c r="AE2788"/>
  <c r="AG2788" s="1"/>
  <c r="I2865"/>
  <c r="K2865" s="1"/>
  <c r="K2877" s="1"/>
  <c r="K2879" s="1"/>
  <c r="P2669"/>
  <c r="I3102"/>
  <c r="K2662"/>
  <c r="K2674" s="1"/>
  <c r="K2676" s="1"/>
  <c r="AC1202"/>
  <c r="AJ1201"/>
  <c r="K3762"/>
  <c r="K3774" s="1"/>
  <c r="K3776" s="1"/>
  <c r="V313"/>
  <c r="K313"/>
  <c r="K1305"/>
  <c r="P1334"/>
  <c r="K357"/>
  <c r="V357"/>
  <c r="K1222"/>
  <c r="P1217"/>
  <c r="V583"/>
  <c r="X583" s="1"/>
  <c r="X587" s="1"/>
  <c r="X589" s="1"/>
  <c r="X590" s="1"/>
  <c r="X591" s="1"/>
  <c r="X592" s="1"/>
  <c r="X593" s="1"/>
  <c r="X594" s="1"/>
  <c r="X595" s="1"/>
  <c r="K583"/>
  <c r="K587" s="1"/>
  <c r="K589" s="1"/>
  <c r="I590" s="1"/>
  <c r="K590" s="1"/>
  <c r="I591" s="1"/>
  <c r="K591" s="1"/>
  <c r="I592" s="1"/>
  <c r="K592" s="1"/>
  <c r="I593" s="1"/>
  <c r="K593" s="1"/>
  <c r="I594" s="1"/>
  <c r="K594" s="1"/>
  <c r="V883"/>
  <c r="K883"/>
  <c r="I3643"/>
  <c r="K3643" s="1"/>
  <c r="K3649" s="1"/>
  <c r="K3650" s="1"/>
  <c r="K1646"/>
  <c r="I3568"/>
  <c r="K3568" s="1"/>
  <c r="K1945"/>
  <c r="K1948" s="1"/>
  <c r="P1861"/>
  <c r="K1845"/>
  <c r="K1852" s="1"/>
  <c r="K1854" s="1"/>
  <c r="I1888" s="1"/>
  <c r="P2026"/>
  <c r="R2026" s="1"/>
  <c r="R2037" s="1"/>
  <c r="K2026"/>
  <c r="K2034" s="1"/>
  <c r="I3826"/>
  <c r="K3826" s="1"/>
  <c r="K3459"/>
  <c r="P3465"/>
  <c r="R3465" s="1"/>
  <c r="V3685"/>
  <c r="X3655"/>
  <c r="X3669" s="1"/>
  <c r="X3670" s="1"/>
  <c r="I4009"/>
  <c r="K3993"/>
  <c r="AB1389"/>
  <c r="AD1389" s="1"/>
  <c r="AD1372"/>
  <c r="AD1404"/>
  <c r="AB1421"/>
  <c r="AD1421" s="1"/>
  <c r="P1495"/>
  <c r="R1464"/>
  <c r="V1425"/>
  <c r="X1425" s="1"/>
  <c r="AB1425"/>
  <c r="AD1425" s="1"/>
  <c r="AD1408"/>
  <c r="X1387"/>
  <c r="V1403"/>
  <c r="X3542"/>
  <c r="V3558"/>
  <c r="V3579"/>
  <c r="X3563"/>
  <c r="I1613"/>
  <c r="I1586"/>
  <c r="K1586" s="1"/>
  <c r="K1593" s="1"/>
  <c r="K1595" s="1"/>
  <c r="K2725"/>
  <c r="K2727" s="1"/>
  <c r="L2691" s="1"/>
  <c r="K3571"/>
  <c r="R955"/>
  <c r="R957" s="1"/>
  <c r="K930"/>
  <c r="K2372"/>
  <c r="K2374" s="1"/>
  <c r="R444"/>
  <c r="R446" s="1"/>
  <c r="AH3111"/>
  <c r="R511"/>
  <c r="R513" s="1"/>
  <c r="R557"/>
  <c r="R559" s="1"/>
  <c r="K2134"/>
  <c r="K2136" s="1"/>
  <c r="K2138" s="1"/>
  <c r="K2747"/>
  <c r="K2749" s="1"/>
  <c r="I2767" s="1"/>
  <c r="K2767" s="1"/>
  <c r="K2769" s="1"/>
  <c r="E23" i="3"/>
  <c r="H20"/>
  <c r="G21" s="1"/>
  <c r="G43" i="5" s="1"/>
  <c r="F107" l="1"/>
  <c r="B109" i="4"/>
  <c r="F109" s="1"/>
  <c r="J107" i="5"/>
  <c r="K1310" i="7"/>
  <c r="K1312" s="1"/>
  <c r="K3594"/>
  <c r="I3595" s="1"/>
  <c r="K3595" s="1"/>
  <c r="I3596" s="1"/>
  <c r="K3596" s="1"/>
  <c r="I3597" s="1"/>
  <c r="K3597" s="1"/>
  <c r="K2154"/>
  <c r="AB1386"/>
  <c r="AD1386" s="1"/>
  <c r="AD1369"/>
  <c r="F50" i="4"/>
  <c r="H50" i="5"/>
  <c r="F50"/>
  <c r="J50"/>
  <c r="H465" i="2"/>
  <c r="J13" i="5"/>
  <c r="B13" i="4"/>
  <c r="F13" s="1"/>
  <c r="H43" i="5"/>
  <c r="I43"/>
  <c r="J32"/>
  <c r="F32" i="4"/>
  <c r="F32" i="5"/>
  <c r="B94" i="4"/>
  <c r="F94" s="1"/>
  <c r="J93" i="5"/>
  <c r="I92"/>
  <c r="F92"/>
  <c r="K3103" i="7"/>
  <c r="D61" i="8"/>
  <c r="F61" s="1"/>
  <c r="K3102" i="7"/>
  <c r="D60" i="8"/>
  <c r="F60" s="1"/>
  <c r="F71" s="1"/>
  <c r="F73" s="1"/>
  <c r="J73" i="5"/>
  <c r="H73"/>
  <c r="F73"/>
  <c r="K3434" i="7"/>
  <c r="K3436" s="1"/>
  <c r="K90"/>
  <c r="P608"/>
  <c r="R608" s="1"/>
  <c r="P595"/>
  <c r="R595" s="1"/>
  <c r="K89"/>
  <c r="V3703"/>
  <c r="X3685"/>
  <c r="X3697" s="1"/>
  <c r="X3698" s="1"/>
  <c r="I1897"/>
  <c r="K1897" s="1"/>
  <c r="K1899" s="1"/>
  <c r="K1888"/>
  <c r="K1890" s="1"/>
  <c r="P1259"/>
  <c r="R1217"/>
  <c r="T1217" s="1"/>
  <c r="P2855"/>
  <c r="R2855" s="1"/>
  <c r="R2822"/>
  <c r="P2856"/>
  <c r="R2856" s="1"/>
  <c r="R2823"/>
  <c r="P3438"/>
  <c r="R3438" s="1"/>
  <c r="P3326"/>
  <c r="R3326" s="1"/>
  <c r="R3224"/>
  <c r="I3832"/>
  <c r="K3832" s="1"/>
  <c r="K3465"/>
  <c r="P3471"/>
  <c r="R3471" s="1"/>
  <c r="X314"/>
  <c r="AQ66"/>
  <c r="AE314"/>
  <c r="AG314" s="1"/>
  <c r="X3576"/>
  <c r="V3591"/>
  <c r="V1437"/>
  <c r="P1483"/>
  <c r="R1476"/>
  <c r="K3991"/>
  <c r="I3992"/>
  <c r="K3992" s="1"/>
  <c r="V816"/>
  <c r="X816" s="1"/>
  <c r="X801"/>
  <c r="J543"/>
  <c r="W542"/>
  <c r="AC542" s="1"/>
  <c r="P2348"/>
  <c r="R2348" s="1"/>
  <c r="K140"/>
  <c r="K144" s="1"/>
  <c r="K2819"/>
  <c r="AE2791"/>
  <c r="AG2791" s="1"/>
  <c r="P2826"/>
  <c r="V2787"/>
  <c r="X2787" s="1"/>
  <c r="K118"/>
  <c r="K119" s="1"/>
  <c r="K120" s="1"/>
  <c r="K121" s="1"/>
  <c r="L116"/>
  <c r="H3855"/>
  <c r="K2608"/>
  <c r="P3406"/>
  <c r="R3372"/>
  <c r="X3565"/>
  <c r="V3581"/>
  <c r="X3581" s="1"/>
  <c r="P1535"/>
  <c r="R1535" s="1"/>
  <c r="R1489"/>
  <c r="V1450"/>
  <c r="R1459"/>
  <c r="P1490"/>
  <c r="V1420"/>
  <c r="X1420" s="1"/>
  <c r="V1458"/>
  <c r="R1497"/>
  <c r="X1376"/>
  <c r="V1393"/>
  <c r="R1432"/>
  <c r="P1448"/>
  <c r="K2398"/>
  <c r="K2403" s="1"/>
  <c r="I2410"/>
  <c r="AB553"/>
  <c r="AD553" s="1"/>
  <c r="AD529"/>
  <c r="AE337"/>
  <c r="AG337" s="1"/>
  <c r="X337"/>
  <c r="V412"/>
  <c r="X412" s="1"/>
  <c r="AE390"/>
  <c r="X381"/>
  <c r="K3928"/>
  <c r="I3946"/>
  <c r="P3437"/>
  <c r="R3437" s="1"/>
  <c r="P3325"/>
  <c r="R3325" s="1"/>
  <c r="R3223"/>
  <c r="W590"/>
  <c r="R22"/>
  <c r="R28" s="1"/>
  <c r="R30" s="1"/>
  <c r="R3156"/>
  <c r="V3116"/>
  <c r="R1218"/>
  <c r="T1218" s="1"/>
  <c r="P1260"/>
  <c r="P1223"/>
  <c r="V3592"/>
  <c r="X3577"/>
  <c r="V3575"/>
  <c r="X3559"/>
  <c r="AE2624"/>
  <c r="AG2624" s="1"/>
  <c r="AE2658"/>
  <c r="AG2658" s="1"/>
  <c r="X2610"/>
  <c r="Z2608"/>
  <c r="R1498"/>
  <c r="V1459"/>
  <c r="X1405"/>
  <c r="AB1403"/>
  <c r="V1422"/>
  <c r="X1422" s="1"/>
  <c r="P1492"/>
  <c r="R1461"/>
  <c r="I3080"/>
  <c r="K3080" s="1"/>
  <c r="K3061"/>
  <c r="P3068"/>
  <c r="R3068" s="1"/>
  <c r="V1397"/>
  <c r="X1380"/>
  <c r="I336"/>
  <c r="P180"/>
  <c r="R180" s="1"/>
  <c r="AQ88"/>
  <c r="AS88" s="1"/>
  <c r="R1143"/>
  <c r="P1174"/>
  <c r="R1174" s="1"/>
  <c r="I3834"/>
  <c r="K3834" s="1"/>
  <c r="P3473"/>
  <c r="R3473" s="1"/>
  <c r="K3467"/>
  <c r="R1305"/>
  <c r="R1309" s="1"/>
  <c r="R1311" s="1"/>
  <c r="V1303"/>
  <c r="X886"/>
  <c r="V902"/>
  <c r="X902" s="1"/>
  <c r="R199"/>
  <c r="V199"/>
  <c r="X199" s="1"/>
  <c r="X360"/>
  <c r="AE369"/>
  <c r="AG369" s="1"/>
  <c r="I3078"/>
  <c r="K3078" s="1"/>
  <c r="P3066"/>
  <c r="R3066" s="1"/>
  <c r="K3059"/>
  <c r="X708"/>
  <c r="Z708" s="1"/>
  <c r="V678"/>
  <c r="X678" s="1"/>
  <c r="K1017"/>
  <c r="P1091"/>
  <c r="R1224"/>
  <c r="T1224" s="1"/>
  <c r="P1266"/>
  <c r="V1241"/>
  <c r="P1238"/>
  <c r="R1238" s="1"/>
  <c r="R1261"/>
  <c r="I2940"/>
  <c r="K2940" s="1"/>
  <c r="I2931"/>
  <c r="K3372"/>
  <c r="K3373" s="1"/>
  <c r="R2988"/>
  <c r="R2990" s="1"/>
  <c r="R405"/>
  <c r="R407" s="1"/>
  <c r="P414" s="1"/>
  <c r="R414" s="1"/>
  <c r="R416" s="1"/>
  <c r="R418" s="1"/>
  <c r="V3574"/>
  <c r="X3558"/>
  <c r="X1403"/>
  <c r="AB1401"/>
  <c r="R1495"/>
  <c r="V1456"/>
  <c r="I4024"/>
  <c r="K4009"/>
  <c r="K602"/>
  <c r="I595"/>
  <c r="K595" s="1"/>
  <c r="I596" s="1"/>
  <c r="K596" s="1"/>
  <c r="I597" s="1"/>
  <c r="K597" s="1"/>
  <c r="I598" s="1"/>
  <c r="K598" s="1"/>
  <c r="I599" s="1"/>
  <c r="K599" s="1"/>
  <c r="AE366"/>
  <c r="AG366" s="1"/>
  <c r="X357"/>
  <c r="R1334"/>
  <c r="AB1190"/>
  <c r="V1300"/>
  <c r="P1064"/>
  <c r="R1064" s="1"/>
  <c r="K1053"/>
  <c r="P987"/>
  <c r="R987" s="1"/>
  <c r="P1089"/>
  <c r="AE1062"/>
  <c r="AG1062" s="1"/>
  <c r="P1240"/>
  <c r="R1240" s="1"/>
  <c r="R1263"/>
  <c r="V1243"/>
  <c r="X1302"/>
  <c r="V1322"/>
  <c r="X1322" s="1"/>
  <c r="AQ91"/>
  <c r="AS67"/>
  <c r="I3256"/>
  <c r="K3256" s="1"/>
  <c r="I3270"/>
  <c r="K3270" s="1"/>
  <c r="L3236" s="1"/>
  <c r="K3185"/>
  <c r="AE367"/>
  <c r="AG367" s="1"/>
  <c r="X358"/>
  <c r="P1173"/>
  <c r="R1173" s="1"/>
  <c r="R1142"/>
  <c r="I1405"/>
  <c r="K1405" s="1"/>
  <c r="K1412" s="1"/>
  <c r="K1414" s="1"/>
  <c r="I1200"/>
  <c r="K1200" s="1"/>
  <c r="K1211" s="1"/>
  <c r="K1213" s="1"/>
  <c r="I2441" s="1"/>
  <c r="K2441" s="1"/>
  <c r="I445"/>
  <c r="K445" s="1"/>
  <c r="K452" s="1"/>
  <c r="K454" s="1"/>
  <c r="I459" s="1"/>
  <c r="K459" s="1"/>
  <c r="K463" s="1"/>
  <c r="K465" s="1"/>
  <c r="K467" s="1"/>
  <c r="I411"/>
  <c r="K411" s="1"/>
  <c r="K418" s="1"/>
  <c r="K420" s="1"/>
  <c r="P362"/>
  <c r="R362" s="1"/>
  <c r="R370" s="1"/>
  <c r="R372" s="1"/>
  <c r="I356"/>
  <c r="I487"/>
  <c r="K487" s="1"/>
  <c r="K495" s="1"/>
  <c r="K497" s="1"/>
  <c r="I380"/>
  <c r="P232"/>
  <c r="R232" s="1"/>
  <c r="P164"/>
  <c r="R164" s="1"/>
  <c r="AQ133"/>
  <c r="AQ108"/>
  <c r="AS108" s="1"/>
  <c r="P1894"/>
  <c r="R1894" s="1"/>
  <c r="R1863"/>
  <c r="AE316"/>
  <c r="AG316" s="1"/>
  <c r="X316"/>
  <c r="AQ68"/>
  <c r="I1093"/>
  <c r="K1078"/>
  <c r="K1079" s="1"/>
  <c r="K1081" s="1"/>
  <c r="P1074"/>
  <c r="P2857"/>
  <c r="R2857" s="1"/>
  <c r="R2824"/>
  <c r="I3963"/>
  <c r="K3947"/>
  <c r="AQ3116"/>
  <c r="AQ3117" s="1"/>
  <c r="AQ3118" s="1"/>
  <c r="AR3116"/>
  <c r="AR3117" s="1"/>
  <c r="AR3118" s="1"/>
  <c r="AG3115"/>
  <c r="AG3116" s="1"/>
  <c r="AG3117" s="1"/>
  <c r="AH3115"/>
  <c r="AH3116" s="1"/>
  <c r="AH3117" s="1"/>
  <c r="AF3115"/>
  <c r="AF3116" s="1"/>
  <c r="AF3117" s="1"/>
  <c r="P1614"/>
  <c r="R1614" s="1"/>
  <c r="R1619" s="1"/>
  <c r="R1621" s="1"/>
  <c r="K1613"/>
  <c r="K1618" s="1"/>
  <c r="K1620" s="1"/>
  <c r="V3594"/>
  <c r="X3579"/>
  <c r="P1892"/>
  <c r="R1892" s="1"/>
  <c r="R1861"/>
  <c r="X883"/>
  <c r="V899"/>
  <c r="X899" s="1"/>
  <c r="AE313"/>
  <c r="AG313" s="1"/>
  <c r="AQ65"/>
  <c r="X313"/>
  <c r="AC1203"/>
  <c r="AJ1202"/>
  <c r="I3923"/>
  <c r="I878"/>
  <c r="R3294"/>
  <c r="P3397"/>
  <c r="R3397" s="1"/>
  <c r="P3363"/>
  <c r="R3363" s="1"/>
  <c r="AE2650"/>
  <c r="AG2650" s="1"/>
  <c r="AE2616"/>
  <c r="AG2616" s="1"/>
  <c r="Z2600"/>
  <c r="X2602"/>
  <c r="V413"/>
  <c r="X413" s="1"/>
  <c r="AE391"/>
  <c r="X382"/>
  <c r="H3854"/>
  <c r="K2607"/>
  <c r="K2612" s="1"/>
  <c r="K2615" s="1"/>
  <c r="M2615" s="1"/>
  <c r="W565"/>
  <c r="AC565" s="1"/>
  <c r="J564"/>
  <c r="J565" s="1"/>
  <c r="J566" s="1"/>
  <c r="J567" s="1"/>
  <c r="J568" s="1"/>
  <c r="J569" s="1"/>
  <c r="J570" s="1"/>
  <c r="J571" s="1"/>
  <c r="V1454"/>
  <c r="P1536"/>
  <c r="R1536" s="1"/>
  <c r="R1493"/>
  <c r="K3533"/>
  <c r="P3537"/>
  <c r="X706"/>
  <c r="Z706" s="1"/>
  <c r="V676"/>
  <c r="X676" s="1"/>
  <c r="I3254"/>
  <c r="K3254" s="1"/>
  <c r="I1478"/>
  <c r="K1478" s="1"/>
  <c r="K1483" s="1"/>
  <c r="K1485" s="1"/>
  <c r="I1465"/>
  <c r="K1465" s="1"/>
  <c r="K1470" s="1"/>
  <c r="K1472" s="1"/>
  <c r="I1392"/>
  <c r="K1392" s="1"/>
  <c r="K1398" s="1"/>
  <c r="K1400" s="1"/>
  <c r="P628" s="1"/>
  <c r="R628" s="1"/>
  <c r="I1453"/>
  <c r="K1453" s="1"/>
  <c r="K1458" s="1"/>
  <c r="K1460" s="1"/>
  <c r="P336"/>
  <c r="R336" s="1"/>
  <c r="R342" s="1"/>
  <c r="R344" s="1"/>
  <c r="AE312"/>
  <c r="AG312" s="1"/>
  <c r="AG319" s="1"/>
  <c r="AG321" s="1"/>
  <c r="AG323" s="1"/>
  <c r="V312"/>
  <c r="X312" s="1"/>
  <c r="I312"/>
  <c r="K312" s="1"/>
  <c r="K319" s="1"/>
  <c r="K321" s="1"/>
  <c r="I196"/>
  <c r="K196" s="1"/>
  <c r="I297"/>
  <c r="K297" s="1"/>
  <c r="K304" s="1"/>
  <c r="K306" s="1"/>
  <c r="P80"/>
  <c r="R80" s="1"/>
  <c r="R87" s="1"/>
  <c r="R89" s="1"/>
  <c r="AQ64"/>
  <c r="AS64" s="1"/>
  <c r="I3809"/>
  <c r="K3809" s="1"/>
  <c r="K3814" s="1"/>
  <c r="K3816" s="1"/>
  <c r="I1271"/>
  <c r="P319"/>
  <c r="R319" s="1"/>
  <c r="R325" s="1"/>
  <c r="R327" s="1"/>
  <c r="I211"/>
  <c r="K211" s="1"/>
  <c r="AB1332"/>
  <c r="AC1332" s="1"/>
  <c r="AC1336" s="1"/>
  <c r="AC1337" s="1"/>
  <c r="P307"/>
  <c r="R307" s="1"/>
  <c r="R313" s="1"/>
  <c r="R315" s="1"/>
  <c r="P66"/>
  <c r="R66" s="1"/>
  <c r="P1262"/>
  <c r="R1220"/>
  <c r="T1220" s="1"/>
  <c r="P1225"/>
  <c r="X340"/>
  <c r="AE340"/>
  <c r="AG340" s="1"/>
  <c r="V821"/>
  <c r="X821" s="1"/>
  <c r="X806"/>
  <c r="I2899"/>
  <c r="K2899" s="1"/>
  <c r="K503"/>
  <c r="P3263"/>
  <c r="R3194"/>
  <c r="R1093"/>
  <c r="P1114"/>
  <c r="R1114" s="1"/>
  <c r="I3199"/>
  <c r="K3184"/>
  <c r="K96"/>
  <c r="K99" s="1"/>
  <c r="K101" s="1"/>
  <c r="M96"/>
  <c r="M97" s="1"/>
  <c r="K3532"/>
  <c r="I3548"/>
  <c r="P3536"/>
  <c r="R1499"/>
  <c r="V1460"/>
  <c r="P1482"/>
  <c r="R1475"/>
  <c r="V1436"/>
  <c r="X1404"/>
  <c r="AB1402"/>
  <c r="P1537"/>
  <c r="R1537" s="1"/>
  <c r="V1455"/>
  <c r="R1494"/>
  <c r="I4025"/>
  <c r="K4010"/>
  <c r="AB1374"/>
  <c r="AD1357"/>
  <c r="I4012"/>
  <c r="K3996"/>
  <c r="K613"/>
  <c r="I613"/>
  <c r="X395"/>
  <c r="V427"/>
  <c r="X427" s="1"/>
  <c r="P3396"/>
  <c r="R3396" s="1"/>
  <c r="R3293"/>
  <c r="R3305" s="1"/>
  <c r="R3307" s="1"/>
  <c r="V3249"/>
  <c r="X3249" s="1"/>
  <c r="P3362"/>
  <c r="R3362" s="1"/>
  <c r="R3374" s="1"/>
  <c r="R3376" s="1"/>
  <c r="AE2649"/>
  <c r="AG2649" s="1"/>
  <c r="AE2615"/>
  <c r="AG2615" s="1"/>
  <c r="AG2627" s="1"/>
  <c r="AG2629" s="1"/>
  <c r="Z2599"/>
  <c r="Z2610" s="1"/>
  <c r="Z2611" s="1"/>
  <c r="X2601"/>
  <c r="I2949"/>
  <c r="K2930"/>
  <c r="P1090"/>
  <c r="P1065"/>
  <c r="R1065" s="1"/>
  <c r="K1054"/>
  <c r="AE1063"/>
  <c r="AG1063" s="1"/>
  <c r="P988"/>
  <c r="R988" s="1"/>
  <c r="I3282"/>
  <c r="K1102"/>
  <c r="V819"/>
  <c r="X819" s="1"/>
  <c r="X804"/>
  <c r="R197"/>
  <c r="V197"/>
  <c r="X197" s="1"/>
  <c r="X338"/>
  <c r="AE338"/>
  <c r="AG338" s="1"/>
  <c r="P1491"/>
  <c r="R1460"/>
  <c r="V1421"/>
  <c r="X1421" s="1"/>
  <c r="K4021"/>
  <c r="I4022"/>
  <c r="I3082"/>
  <c r="K3082" s="1"/>
  <c r="K3063"/>
  <c r="P3070"/>
  <c r="R3070" s="1"/>
  <c r="Z15"/>
  <c r="AC15" s="1"/>
  <c r="AC14"/>
  <c r="P1452"/>
  <c r="R1436"/>
  <c r="I3998"/>
  <c r="AB1378"/>
  <c r="AD1361"/>
  <c r="I3457"/>
  <c r="I2424"/>
  <c r="I1706"/>
  <c r="K1706" s="1"/>
  <c r="I1433"/>
  <c r="K1433" s="1"/>
  <c r="I1418"/>
  <c r="K1418" s="1"/>
  <c r="K1424" s="1"/>
  <c r="K1426" s="1"/>
  <c r="I1376"/>
  <c r="K1376" s="1"/>
  <c r="I1354"/>
  <c r="K1354" s="1"/>
  <c r="I1336"/>
  <c r="K1336" s="1"/>
  <c r="K1342" s="1"/>
  <c r="K1344" s="1"/>
  <c r="P1333"/>
  <c r="I1249"/>
  <c r="I1220"/>
  <c r="I620"/>
  <c r="K620" s="1"/>
  <c r="K625" s="1"/>
  <c r="K627" s="1"/>
  <c r="I628" s="1"/>
  <c r="K628" s="1"/>
  <c r="I629" s="1"/>
  <c r="K629" s="1"/>
  <c r="I630" s="1"/>
  <c r="K630" s="1"/>
  <c r="I631" s="1"/>
  <c r="K631" s="1"/>
  <c r="I632" s="1"/>
  <c r="K632" s="1"/>
  <c r="P348"/>
  <c r="R348" s="1"/>
  <c r="R354" s="1"/>
  <c r="R356" s="1"/>
  <c r="P296"/>
  <c r="R296" s="1"/>
  <c r="R302" s="1"/>
  <c r="R304" s="1"/>
  <c r="P196"/>
  <c r="I226"/>
  <c r="K226" s="1"/>
  <c r="K232" s="1"/>
  <c r="K234" s="1"/>
  <c r="P51"/>
  <c r="R51" s="1"/>
  <c r="R57" s="1"/>
  <c r="R60" s="1"/>
  <c r="K809"/>
  <c r="V644"/>
  <c r="V802"/>
  <c r="I2901"/>
  <c r="K2901" s="1"/>
  <c r="K505"/>
  <c r="P2155"/>
  <c r="R2155" s="1"/>
  <c r="R2163" s="1"/>
  <c r="R2165" s="1"/>
  <c r="K2148"/>
  <c r="K2156" s="1"/>
  <c r="K2158" s="1"/>
  <c r="K3173"/>
  <c r="K3176" s="1"/>
  <c r="K3177" s="1"/>
  <c r="I3186"/>
  <c r="V415"/>
  <c r="X415" s="1"/>
  <c r="X384"/>
  <c r="AE393"/>
  <c r="I3949"/>
  <c r="K3931"/>
  <c r="I3684"/>
  <c r="K3684" s="1"/>
  <c r="K3697" s="1"/>
  <c r="K3699" s="1"/>
  <c r="K3663"/>
  <c r="K3677" s="1"/>
  <c r="K3679" s="1"/>
  <c r="AE428"/>
  <c r="AG428" s="1"/>
  <c r="AG392"/>
  <c r="R1868"/>
  <c r="R1870" s="1"/>
  <c r="P1879" s="1"/>
  <c r="R1879" s="1"/>
  <c r="R1881" s="1"/>
  <c r="K3114"/>
  <c r="K3116" s="1"/>
  <c r="K1028"/>
  <c r="K1030" s="1"/>
  <c r="K1139"/>
  <c r="K1141" s="1"/>
  <c r="R1899"/>
  <c r="R1901" s="1"/>
  <c r="P1910" s="1"/>
  <c r="R1910" s="1"/>
  <c r="R1912" s="1"/>
  <c r="K1651"/>
  <c r="K1653" s="1"/>
  <c r="R3203"/>
  <c r="R3205" s="1"/>
  <c r="R2652"/>
  <c r="R2654" s="1"/>
  <c r="K3359"/>
  <c r="K3360" s="1"/>
  <c r="K2981"/>
  <c r="K2983" s="1"/>
  <c r="D26" i="3"/>
  <c r="H26" s="1"/>
  <c r="H28" s="1"/>
  <c r="G29" s="1"/>
  <c r="G9" i="5" s="1"/>
  <c r="H23" i="3"/>
  <c r="G24" s="1"/>
  <c r="E54" i="5" l="1"/>
  <c r="I54" s="1"/>
  <c r="H9"/>
  <c r="I9"/>
  <c r="L43"/>
  <c r="K43"/>
  <c r="B43" i="4"/>
  <c r="F43" s="1"/>
  <c r="J43" i="5"/>
  <c r="B93" i="4"/>
  <c r="F93" s="1"/>
  <c r="J92" i="5"/>
  <c r="F30" i="4"/>
  <c r="J30" i="5"/>
  <c r="H30"/>
  <c r="F30"/>
  <c r="F18" i="4"/>
  <c r="F45"/>
  <c r="F41"/>
  <c r="R3238" i="7"/>
  <c r="R3240" s="1"/>
  <c r="I1991"/>
  <c r="I2105"/>
  <c r="K2105" s="1"/>
  <c r="K2111" s="1"/>
  <c r="I1971"/>
  <c r="P610"/>
  <c r="R610" s="1"/>
  <c r="P596"/>
  <c r="R596" s="1"/>
  <c r="P623"/>
  <c r="R623" s="1"/>
  <c r="AG393"/>
  <c r="AE429"/>
  <c r="AG429" s="1"/>
  <c r="I3965"/>
  <c r="K3949"/>
  <c r="I3257"/>
  <c r="K3257" s="1"/>
  <c r="I3271"/>
  <c r="K3271" s="1"/>
  <c r="L3237" s="1"/>
  <c r="K3186"/>
  <c r="V817"/>
  <c r="X817" s="1"/>
  <c r="X802"/>
  <c r="P655"/>
  <c r="R655" s="1"/>
  <c r="P612"/>
  <c r="R612" s="1"/>
  <c r="P598"/>
  <c r="R598" s="1"/>
  <c r="K1249"/>
  <c r="K1262" s="1"/>
  <c r="K1264" s="1"/>
  <c r="V1278"/>
  <c r="X1278" s="1"/>
  <c r="X1291" s="1"/>
  <c r="X1293" s="1"/>
  <c r="I1377"/>
  <c r="K1377" s="1"/>
  <c r="V1333"/>
  <c r="X1333" s="1"/>
  <c r="I1355"/>
  <c r="K1355" s="1"/>
  <c r="L1412"/>
  <c r="K1440"/>
  <c r="K1442" s="1"/>
  <c r="I1989" s="1"/>
  <c r="P2431"/>
  <c r="R2431" s="1"/>
  <c r="R2440" s="1"/>
  <c r="R2442" s="1"/>
  <c r="K2424"/>
  <c r="K2433" s="1"/>
  <c r="K2435" s="1"/>
  <c r="I4014"/>
  <c r="K3998"/>
  <c r="P1469"/>
  <c r="R1452"/>
  <c r="P2346"/>
  <c r="P231"/>
  <c r="R231" s="1"/>
  <c r="R238" s="1"/>
  <c r="R240" s="1"/>
  <c r="I167"/>
  <c r="K167" s="1"/>
  <c r="K171" s="1"/>
  <c r="C74"/>
  <c r="K4022"/>
  <c r="I4023"/>
  <c r="K4023" s="1"/>
  <c r="V1452"/>
  <c r="R1491"/>
  <c r="K3282"/>
  <c r="K3293" s="1"/>
  <c r="K3295" s="1"/>
  <c r="V3250"/>
  <c r="X3250" s="1"/>
  <c r="X1460"/>
  <c r="AB1458"/>
  <c r="AD1458" s="1"/>
  <c r="P3552"/>
  <c r="R3552" s="1"/>
  <c r="R3536"/>
  <c r="K102"/>
  <c r="K104"/>
  <c r="K105" s="1"/>
  <c r="I3213"/>
  <c r="K3199"/>
  <c r="K3202" s="1"/>
  <c r="K3204" s="1"/>
  <c r="I3244"/>
  <c r="R3263"/>
  <c r="R3272" s="1"/>
  <c r="R3274" s="1"/>
  <c r="I3323"/>
  <c r="K3323" s="1"/>
  <c r="K3331" s="1"/>
  <c r="K3333" s="1"/>
  <c r="P654"/>
  <c r="R654" s="1"/>
  <c r="P611"/>
  <c r="R611" s="1"/>
  <c r="P597"/>
  <c r="R597" s="1"/>
  <c r="P3553"/>
  <c r="R3553" s="1"/>
  <c r="R3537"/>
  <c r="AB1452"/>
  <c r="AD1452" s="1"/>
  <c r="X1454"/>
  <c r="H3875"/>
  <c r="J3875" s="1"/>
  <c r="J3854"/>
  <c r="AG391"/>
  <c r="AE427"/>
  <c r="AG427" s="1"/>
  <c r="K3923"/>
  <c r="I3941"/>
  <c r="AC1204"/>
  <c r="AJ1203"/>
  <c r="AQ89"/>
  <c r="AS65"/>
  <c r="I3980"/>
  <c r="K3980" s="1"/>
  <c r="K3963"/>
  <c r="AQ92"/>
  <c r="AS68"/>
  <c r="AQ164"/>
  <c r="AS164" s="1"/>
  <c r="AS133"/>
  <c r="K468"/>
  <c r="K469" s="1"/>
  <c r="K470" s="1"/>
  <c r="P657"/>
  <c r="R657" s="1"/>
  <c r="X1243"/>
  <c r="AB1248"/>
  <c r="R1089"/>
  <c r="P1111"/>
  <c r="R1111" s="1"/>
  <c r="X1300"/>
  <c r="V1320"/>
  <c r="X1320" s="1"/>
  <c r="K4024"/>
  <c r="I4037"/>
  <c r="K4037" s="1"/>
  <c r="V3589"/>
  <c r="X3574"/>
  <c r="I2950"/>
  <c r="K2931"/>
  <c r="AB1246"/>
  <c r="X1241"/>
  <c r="V1323"/>
  <c r="X1323" s="1"/>
  <c r="X1303"/>
  <c r="R1492"/>
  <c r="V1453"/>
  <c r="AD1403"/>
  <c r="AB1420"/>
  <c r="AD1420" s="1"/>
  <c r="X1459"/>
  <c r="AB1457"/>
  <c r="AD1457" s="1"/>
  <c r="R1223"/>
  <c r="T1223" s="1"/>
  <c r="P1265"/>
  <c r="I3962"/>
  <c r="K3946"/>
  <c r="X1458"/>
  <c r="AB1456"/>
  <c r="AD1456" s="1"/>
  <c r="R1490"/>
  <c r="V1451"/>
  <c r="X1450"/>
  <c r="AB1448"/>
  <c r="AD1448" s="1"/>
  <c r="P3450"/>
  <c r="R3406"/>
  <c r="H3876"/>
  <c r="J3876" s="1"/>
  <c r="J3855"/>
  <c r="R2826"/>
  <c r="P2859"/>
  <c r="R2859" s="1"/>
  <c r="W543"/>
  <c r="AC543" s="1"/>
  <c r="J544"/>
  <c r="R1483"/>
  <c r="V1444"/>
  <c r="V3608"/>
  <c r="X3591"/>
  <c r="P1236"/>
  <c r="R1236" s="1"/>
  <c r="R1259"/>
  <c r="V1239"/>
  <c r="V3717"/>
  <c r="X3717" s="1"/>
  <c r="X3725" s="1"/>
  <c r="X3726" s="1"/>
  <c r="X3703"/>
  <c r="X3711" s="1"/>
  <c r="X3712" s="1"/>
  <c r="P2344"/>
  <c r="R2344" s="1"/>
  <c r="I1767"/>
  <c r="K1767" s="1"/>
  <c r="K1775" s="1"/>
  <c r="K91"/>
  <c r="K1385"/>
  <c r="K1387" s="1"/>
  <c r="AD1363"/>
  <c r="K2907"/>
  <c r="K2909" s="1"/>
  <c r="K2913" s="1"/>
  <c r="K2915" s="1"/>
  <c r="X319"/>
  <c r="X321" s="1"/>
  <c r="X323" s="1"/>
  <c r="K1064"/>
  <c r="K1066" s="1"/>
  <c r="R3073"/>
  <c r="R3075" s="1"/>
  <c r="R3339"/>
  <c r="R3341" s="1"/>
  <c r="R1438"/>
  <c r="X1382"/>
  <c r="K4000"/>
  <c r="K4001" s="1"/>
  <c r="AD644"/>
  <c r="AF644" s="1"/>
  <c r="AF650" s="1"/>
  <c r="AF652" s="1"/>
  <c r="AF654" s="1"/>
  <c r="V707"/>
  <c r="X644"/>
  <c r="X650" s="1"/>
  <c r="X652" s="1"/>
  <c r="X654" s="1"/>
  <c r="V196"/>
  <c r="X196" s="1"/>
  <c r="R196"/>
  <c r="K1220"/>
  <c r="K1238" s="1"/>
  <c r="K1241" s="1"/>
  <c r="P284" s="1"/>
  <c r="R284" s="1"/>
  <c r="R289" s="1"/>
  <c r="R291" s="1"/>
  <c r="P1216"/>
  <c r="P1373"/>
  <c r="R1373" s="1"/>
  <c r="V1332"/>
  <c r="X1332" s="1"/>
  <c r="X1345" s="1"/>
  <c r="X1347" s="1"/>
  <c r="V1299"/>
  <c r="R1333"/>
  <c r="R1338" s="1"/>
  <c r="R1340" s="1"/>
  <c r="R1341" s="1"/>
  <c r="R1342" s="1"/>
  <c r="R1343" s="1"/>
  <c r="R1344" s="1"/>
  <c r="R1345" s="1"/>
  <c r="Q1341" s="1"/>
  <c r="Q1342" s="1"/>
  <c r="AB1189"/>
  <c r="I3824"/>
  <c r="K3824" s="1"/>
  <c r="K3837" s="1"/>
  <c r="K3839" s="1"/>
  <c r="K3457"/>
  <c r="K3470" s="1"/>
  <c r="K3472" s="1"/>
  <c r="P3463"/>
  <c r="R3463" s="1"/>
  <c r="R3476" s="1"/>
  <c r="R3478" s="1"/>
  <c r="AB1395"/>
  <c r="AD1395" s="1"/>
  <c r="AD1378"/>
  <c r="V800"/>
  <c r="V705"/>
  <c r="C73"/>
  <c r="I175"/>
  <c r="K175" s="1"/>
  <c r="K179" s="1"/>
  <c r="R1090"/>
  <c r="P1112"/>
  <c r="R1112" s="1"/>
  <c r="I2958"/>
  <c r="K2958" s="1"/>
  <c r="K2949"/>
  <c r="K614"/>
  <c r="I614"/>
  <c r="I4027"/>
  <c r="K4012"/>
  <c r="P1539"/>
  <c r="R1539" s="1"/>
  <c r="R1543" s="1"/>
  <c r="R1545" s="1"/>
  <c r="S1545" s="1"/>
  <c r="AD1374"/>
  <c r="AD1380" s="1"/>
  <c r="AB1391"/>
  <c r="AD1391" s="1"/>
  <c r="AD1397" s="1"/>
  <c r="K4025"/>
  <c r="I4036"/>
  <c r="K4036" s="1"/>
  <c r="X1455"/>
  <c r="AB1453"/>
  <c r="AD1453" s="1"/>
  <c r="AB1419"/>
  <c r="AD1419" s="1"/>
  <c r="AD1402"/>
  <c r="X1436"/>
  <c r="AB1434"/>
  <c r="AD1434" s="1"/>
  <c r="R1482"/>
  <c r="V1443"/>
  <c r="K3548"/>
  <c r="AE3548"/>
  <c r="AG3548" s="1"/>
  <c r="V3548"/>
  <c r="R1225"/>
  <c r="T1225" s="1"/>
  <c r="P1267"/>
  <c r="V1242"/>
  <c r="R1262"/>
  <c r="P1239"/>
  <c r="R1239" s="1"/>
  <c r="I1285"/>
  <c r="K1285" s="1"/>
  <c r="K1290" s="1"/>
  <c r="K1292" s="1"/>
  <c r="K1271"/>
  <c r="K1276" s="1"/>
  <c r="K1278" s="1"/>
  <c r="AB1264"/>
  <c r="AD1264" s="1"/>
  <c r="AD1269" s="1"/>
  <c r="AD1271" s="1"/>
  <c r="P625"/>
  <c r="R625" s="1"/>
  <c r="P624"/>
  <c r="R624" s="1"/>
  <c r="K323"/>
  <c r="AG324"/>
  <c r="AH323"/>
  <c r="I894"/>
  <c r="K894" s="1"/>
  <c r="I860"/>
  <c r="V878"/>
  <c r="K878"/>
  <c r="V3611"/>
  <c r="X3594"/>
  <c r="R1074"/>
  <c r="P1100"/>
  <c r="I1108"/>
  <c r="K1108" s="1"/>
  <c r="K1093"/>
  <c r="K1095" s="1"/>
  <c r="K1097" s="1"/>
  <c r="AU108"/>
  <c r="AV108" s="1"/>
  <c r="K380"/>
  <c r="K387" s="1"/>
  <c r="K389" s="1"/>
  <c r="I394" s="1"/>
  <c r="K394" s="1"/>
  <c r="K398" s="1"/>
  <c r="K400" s="1"/>
  <c r="K402" s="1"/>
  <c r="V380"/>
  <c r="V356"/>
  <c r="K356"/>
  <c r="K363" s="1"/>
  <c r="K365" s="1"/>
  <c r="K367" s="1"/>
  <c r="I426"/>
  <c r="K426" s="1"/>
  <c r="K430" s="1"/>
  <c r="K432" s="1"/>
  <c r="K434" s="1"/>
  <c r="K435" s="1"/>
  <c r="K436" s="1"/>
  <c r="K437" s="1"/>
  <c r="K438" s="1"/>
  <c r="P267"/>
  <c r="R267" s="1"/>
  <c r="R271" s="1"/>
  <c r="R273" s="1"/>
  <c r="R275" s="1"/>
  <c r="R276" s="1"/>
  <c r="R277" s="1"/>
  <c r="R278" s="1"/>
  <c r="AQ111"/>
  <c r="AS91"/>
  <c r="AI1190"/>
  <c r="AK1190" s="1"/>
  <c r="AD1190"/>
  <c r="X1456"/>
  <c r="AB1454"/>
  <c r="AD1454" s="1"/>
  <c r="AD1401"/>
  <c r="AB1418"/>
  <c r="AD1418" s="1"/>
  <c r="P1382"/>
  <c r="R1382" s="1"/>
  <c r="R1266"/>
  <c r="V1246"/>
  <c r="P1243"/>
  <c r="R1243" s="1"/>
  <c r="P1113"/>
  <c r="R1113" s="1"/>
  <c r="R1091"/>
  <c r="V336"/>
  <c r="K336"/>
  <c r="K343" s="1"/>
  <c r="K345" s="1"/>
  <c r="K347" s="1"/>
  <c r="V1413"/>
  <c r="X1397"/>
  <c r="V3590"/>
  <c r="X3575"/>
  <c r="V3609"/>
  <c r="X3592"/>
  <c r="V1301"/>
  <c r="R1260"/>
  <c r="V1240"/>
  <c r="P1237"/>
  <c r="R1237" s="1"/>
  <c r="I4066"/>
  <c r="K4066" s="1"/>
  <c r="K4076" s="1"/>
  <c r="K4078" s="1"/>
  <c r="X3116"/>
  <c r="X3126" s="1"/>
  <c r="X3128" s="1"/>
  <c r="V3133"/>
  <c r="AE426"/>
  <c r="AG390"/>
  <c r="AE404"/>
  <c r="AG404" s="1"/>
  <c r="K2410"/>
  <c r="K2415" s="1"/>
  <c r="I2443"/>
  <c r="K2443" s="1"/>
  <c r="P1465"/>
  <c r="R1448"/>
  <c r="R1454" s="1"/>
  <c r="R1455" s="1"/>
  <c r="V1409"/>
  <c r="X1393"/>
  <c r="X1399" s="1"/>
  <c r="AB1435"/>
  <c r="AD1435" s="1"/>
  <c r="X1437"/>
  <c r="AQ90"/>
  <c r="AS66"/>
  <c r="AS71" s="1"/>
  <c r="AS73" s="1"/>
  <c r="AS75" s="1"/>
  <c r="AS76" s="1"/>
  <c r="AS77" s="1"/>
  <c r="AS78" s="1"/>
  <c r="AS79" s="1"/>
  <c r="K1363"/>
  <c r="K1365" s="1"/>
  <c r="K1110"/>
  <c r="K1112" s="1"/>
  <c r="X3261"/>
  <c r="X3263" s="1"/>
  <c r="R3408"/>
  <c r="R3410" s="1"/>
  <c r="K3189"/>
  <c r="K3190" s="1"/>
  <c r="K511"/>
  <c r="K513" s="1"/>
  <c r="K3260"/>
  <c r="K3262" s="1"/>
  <c r="K2446"/>
  <c r="K2448" s="1"/>
  <c r="AG1073"/>
  <c r="AG1075" s="1"/>
  <c r="R998"/>
  <c r="R1000" s="1"/>
  <c r="R1075"/>
  <c r="R1077" s="1"/>
  <c r="K3066"/>
  <c r="K3068" s="1"/>
  <c r="K3085"/>
  <c r="K3087" s="1"/>
  <c r="B54" i="4" l="1"/>
  <c r="F54" s="1"/>
  <c r="J54" i="5"/>
  <c r="F54"/>
  <c r="L54"/>
  <c r="B9" i="4"/>
  <c r="F9" s="1"/>
  <c r="J9" i="5"/>
  <c r="J41"/>
  <c r="H41"/>
  <c r="F41"/>
  <c r="F49" i="4"/>
  <c r="F7"/>
  <c r="AB1407" i="7"/>
  <c r="X1409"/>
  <c r="X3133"/>
  <c r="X3143" s="1"/>
  <c r="X3145" s="1"/>
  <c r="V3158"/>
  <c r="X3158" s="1"/>
  <c r="X3168" s="1"/>
  <c r="X3170" s="1"/>
  <c r="AE441"/>
  <c r="AG441" s="1"/>
  <c r="AG426"/>
  <c r="K348"/>
  <c r="L347"/>
  <c r="K368"/>
  <c r="J367"/>
  <c r="V411"/>
  <c r="X411" s="1"/>
  <c r="X418" s="1"/>
  <c r="X420" s="1"/>
  <c r="V426" s="1"/>
  <c r="X426" s="1"/>
  <c r="X430" s="1"/>
  <c r="X432" s="1"/>
  <c r="X434" s="1"/>
  <c r="X435" s="1"/>
  <c r="X436" s="1"/>
  <c r="X437" s="1"/>
  <c r="X438" s="1"/>
  <c r="X380"/>
  <c r="X387" s="1"/>
  <c r="X389" s="1"/>
  <c r="V394" s="1"/>
  <c r="X394" s="1"/>
  <c r="X398" s="1"/>
  <c r="X400" s="1"/>
  <c r="X402" s="1"/>
  <c r="X403" s="1"/>
  <c r="X404" s="1"/>
  <c r="X405" s="1"/>
  <c r="X406" s="1"/>
  <c r="AE389"/>
  <c r="X3611"/>
  <c r="V3626"/>
  <c r="X3627" s="1"/>
  <c r="V894"/>
  <c r="X894" s="1"/>
  <c r="X878"/>
  <c r="AH325"/>
  <c r="AH324"/>
  <c r="AG325"/>
  <c r="AG326" s="1"/>
  <c r="AG327" s="1"/>
  <c r="P1383"/>
  <c r="R1383" s="1"/>
  <c r="R1267"/>
  <c r="V1247"/>
  <c r="P1244"/>
  <c r="R1244" s="1"/>
  <c r="V3564"/>
  <c r="X3548"/>
  <c r="X705"/>
  <c r="V675"/>
  <c r="X675" s="1"/>
  <c r="R1216"/>
  <c r="P1258"/>
  <c r="X655"/>
  <c r="X657" s="1"/>
  <c r="AF655"/>
  <c r="AF657" s="1"/>
  <c r="I2929"/>
  <c r="K2929" s="1"/>
  <c r="K2932" s="1"/>
  <c r="K2933" s="1"/>
  <c r="K2916"/>
  <c r="AB1244"/>
  <c r="X1239"/>
  <c r="V3623"/>
  <c r="X3624" s="1"/>
  <c r="X3608"/>
  <c r="I3530"/>
  <c r="R3450"/>
  <c r="R3452" s="1"/>
  <c r="R3454" s="1"/>
  <c r="I3979"/>
  <c r="K3979" s="1"/>
  <c r="K3962"/>
  <c r="AB1218"/>
  <c r="AD1218" s="1"/>
  <c r="AD1246"/>
  <c r="I2959"/>
  <c r="K2959" s="1"/>
  <c r="K2950"/>
  <c r="V3606"/>
  <c r="X3589"/>
  <c r="K471"/>
  <c r="L470"/>
  <c r="AU164"/>
  <c r="AV164" s="1"/>
  <c r="AQ112"/>
  <c r="AS92"/>
  <c r="AQ109"/>
  <c r="AS89"/>
  <c r="AC1205"/>
  <c r="AJ1204"/>
  <c r="K3244"/>
  <c r="I3269"/>
  <c r="K3269" s="1"/>
  <c r="I3228"/>
  <c r="K3228" s="1"/>
  <c r="K3213"/>
  <c r="X1452"/>
  <c r="AB1450"/>
  <c r="AD1450" s="1"/>
  <c r="R2346"/>
  <c r="P2355"/>
  <c r="R2355" s="1"/>
  <c r="R2357" s="1"/>
  <c r="V1430"/>
  <c r="X1430" s="1"/>
  <c r="P1500"/>
  <c r="P1477"/>
  <c r="R1469"/>
  <c r="K4014"/>
  <c r="K4016" s="1"/>
  <c r="K4017" s="1"/>
  <c r="I4029"/>
  <c r="K1971"/>
  <c r="K1977" s="1"/>
  <c r="P1971"/>
  <c r="R1971" s="1"/>
  <c r="R1978" s="1"/>
  <c r="P1991"/>
  <c r="R1991" s="1"/>
  <c r="K1991"/>
  <c r="J3880"/>
  <c r="J3882" s="1"/>
  <c r="I550"/>
  <c r="K550" s="1"/>
  <c r="K555" s="1"/>
  <c r="K557" s="1"/>
  <c r="I559" s="1"/>
  <c r="K559" s="1"/>
  <c r="I560" s="1"/>
  <c r="K560" s="1"/>
  <c r="I561" s="1"/>
  <c r="K561" s="1"/>
  <c r="I562" s="1"/>
  <c r="K562" s="1"/>
  <c r="I563" s="1"/>
  <c r="K563" s="1"/>
  <c r="I564" s="1"/>
  <c r="K564" s="1"/>
  <c r="I565" s="1"/>
  <c r="K565" s="1"/>
  <c r="I566" s="1"/>
  <c r="K566" s="1"/>
  <c r="I567" s="1"/>
  <c r="K567" s="1"/>
  <c r="I568" s="1"/>
  <c r="K568" s="1"/>
  <c r="I569" s="1"/>
  <c r="K569" s="1"/>
  <c r="I570" s="1"/>
  <c r="K570" s="1"/>
  <c r="I571" s="1"/>
  <c r="K571" s="1"/>
  <c r="I526"/>
  <c r="K526" s="1"/>
  <c r="K531" s="1"/>
  <c r="K533" s="1"/>
  <c r="I535" s="1"/>
  <c r="K535" s="1"/>
  <c r="I536" s="1"/>
  <c r="K536" s="1"/>
  <c r="I537" s="1"/>
  <c r="K537" s="1"/>
  <c r="I538" s="1"/>
  <c r="K538" s="1"/>
  <c r="I539" s="1"/>
  <c r="K539" s="1"/>
  <c r="I540" s="1"/>
  <c r="K540" s="1"/>
  <c r="I541" s="1"/>
  <c r="K541" s="1"/>
  <c r="I542" s="1"/>
  <c r="K542" s="1"/>
  <c r="I543" s="1"/>
  <c r="K543" s="1"/>
  <c r="I544" s="1"/>
  <c r="K544" s="1"/>
  <c r="I545" s="1"/>
  <c r="K517"/>
  <c r="K519" s="1"/>
  <c r="AQ110"/>
  <c r="AS90"/>
  <c r="V1426"/>
  <c r="X1426" s="1"/>
  <c r="X1432" s="1"/>
  <c r="P1496"/>
  <c r="R1465"/>
  <c r="R1471" s="1"/>
  <c r="AB1245"/>
  <c r="X1240"/>
  <c r="V1321"/>
  <c r="X1321" s="1"/>
  <c r="X1301"/>
  <c r="V3624"/>
  <c r="X3609"/>
  <c r="V3607"/>
  <c r="X3590"/>
  <c r="AB1411"/>
  <c r="X1413"/>
  <c r="AE336"/>
  <c r="AG336" s="1"/>
  <c r="AG343" s="1"/>
  <c r="AG345" s="1"/>
  <c r="AG347" s="1"/>
  <c r="AG348" s="1"/>
  <c r="AG349" s="1"/>
  <c r="AG350" s="1"/>
  <c r="AG351" s="1"/>
  <c r="AG352" s="1"/>
  <c r="AG353" s="1"/>
  <c r="AG354" s="1"/>
  <c r="AG355" s="1"/>
  <c r="AG356" s="1"/>
  <c r="AG357" s="1"/>
  <c r="AG358" s="1"/>
  <c r="AG359" s="1"/>
  <c r="AG360" s="1"/>
  <c r="X336"/>
  <c r="X343" s="1"/>
  <c r="X345" s="1"/>
  <c r="X347" s="1"/>
  <c r="X348" s="1"/>
  <c r="X349" s="1"/>
  <c r="X350" s="1"/>
  <c r="X351" s="1"/>
  <c r="X1246"/>
  <c r="AB1251"/>
  <c r="AS111"/>
  <c r="AQ136"/>
  <c r="X356"/>
  <c r="X363" s="1"/>
  <c r="X365" s="1"/>
  <c r="AE365"/>
  <c r="AG365" s="1"/>
  <c r="AG372" s="1"/>
  <c r="AG374" s="1"/>
  <c r="AG376" s="1"/>
  <c r="K403"/>
  <c r="J402"/>
  <c r="R1100"/>
  <c r="R1101" s="1"/>
  <c r="R1103" s="1"/>
  <c r="P1121"/>
  <c r="I3302"/>
  <c r="K3302" s="1"/>
  <c r="V860"/>
  <c r="X860" s="1"/>
  <c r="K860"/>
  <c r="P853"/>
  <c r="R853" s="1"/>
  <c r="K324"/>
  <c r="L323"/>
  <c r="AB1247"/>
  <c r="X1242"/>
  <c r="V1467"/>
  <c r="X1467" s="1"/>
  <c r="X1443"/>
  <c r="K4027"/>
  <c r="I4038"/>
  <c r="K4038" s="1"/>
  <c r="K615"/>
  <c r="I615"/>
  <c r="I1705"/>
  <c r="K1705" s="1"/>
  <c r="K1711" s="1"/>
  <c r="K1713" s="1"/>
  <c r="P1141"/>
  <c r="P626"/>
  <c r="R626" s="1"/>
  <c r="I807"/>
  <c r="K807" s="1"/>
  <c r="K815" s="1"/>
  <c r="K817" s="1"/>
  <c r="I270"/>
  <c r="K270" s="1"/>
  <c r="K278" s="1"/>
  <c r="K280" s="1"/>
  <c r="I210"/>
  <c r="K210" s="1"/>
  <c r="K217" s="1"/>
  <c r="K219" s="1"/>
  <c r="P65"/>
  <c r="R65" s="1"/>
  <c r="R72" s="1"/>
  <c r="R74" s="1"/>
  <c r="P653" s="1"/>
  <c r="R653" s="1"/>
  <c r="P195"/>
  <c r="R195" s="1"/>
  <c r="R202" s="1"/>
  <c r="R204" s="1"/>
  <c r="V815"/>
  <c r="X815" s="1"/>
  <c r="X826" s="1"/>
  <c r="Z815" s="1"/>
  <c r="Z816" s="1"/>
  <c r="Z817" s="1"/>
  <c r="Z818" s="1"/>
  <c r="Z819" s="1"/>
  <c r="Z820" s="1"/>
  <c r="Z821" s="1"/>
  <c r="Z822" s="1"/>
  <c r="Z823" s="1"/>
  <c r="Z824" s="1"/>
  <c r="X800"/>
  <c r="X811" s="1"/>
  <c r="AI1189"/>
  <c r="AK1189" s="1"/>
  <c r="AK1194" s="1"/>
  <c r="AK1196" s="1"/>
  <c r="AK1197" s="1"/>
  <c r="AK1198" s="1"/>
  <c r="AK1199" s="1"/>
  <c r="AK1200" s="1"/>
  <c r="AK1201" s="1"/>
  <c r="AK1202" s="1"/>
  <c r="AK1203" s="1"/>
  <c r="AK1204" s="1"/>
  <c r="AD1189"/>
  <c r="AD1194" s="1"/>
  <c r="AD1196" s="1"/>
  <c r="AD1197" s="1"/>
  <c r="AD1198" s="1"/>
  <c r="AD1199" s="1"/>
  <c r="AD1200" s="1"/>
  <c r="AD1201" s="1"/>
  <c r="AD1202" s="1"/>
  <c r="AD1203" s="1"/>
  <c r="AD1204" s="1"/>
  <c r="AD1205" s="1"/>
  <c r="V1319"/>
  <c r="X1319" s="1"/>
  <c r="X1326" s="1"/>
  <c r="X1328" s="1"/>
  <c r="X1299"/>
  <c r="X1306" s="1"/>
  <c r="X1308" s="1"/>
  <c r="X1309" s="1"/>
  <c r="X1310" s="1"/>
  <c r="X1311" s="1"/>
  <c r="X1312" s="1"/>
  <c r="X1313" s="1"/>
  <c r="W1309" s="1"/>
  <c r="W1310" s="1"/>
  <c r="X707"/>
  <c r="Z707" s="1"/>
  <c r="V677"/>
  <c r="X677" s="1"/>
  <c r="X324"/>
  <c r="Y323"/>
  <c r="V1468"/>
  <c r="X1468" s="1"/>
  <c r="X1444"/>
  <c r="J545"/>
  <c r="W544"/>
  <c r="AC544" s="1"/>
  <c r="AB1449"/>
  <c r="AD1449" s="1"/>
  <c r="X1451"/>
  <c r="P1381"/>
  <c r="R1381" s="1"/>
  <c r="R1265"/>
  <c r="P1242"/>
  <c r="R1242" s="1"/>
  <c r="V1245"/>
  <c r="X1453"/>
  <c r="AB1451"/>
  <c r="AD1451" s="1"/>
  <c r="AD1248"/>
  <c r="AB1220"/>
  <c r="AD1220" s="1"/>
  <c r="AU133"/>
  <c r="AV133" s="1"/>
  <c r="K3941"/>
  <c r="I3957"/>
  <c r="V195"/>
  <c r="X195" s="1"/>
  <c r="X202" s="1"/>
  <c r="X204" s="1"/>
  <c r="I195"/>
  <c r="K1989"/>
  <c r="K1998" s="1"/>
  <c r="P1989"/>
  <c r="R1989" s="1"/>
  <c r="R1999" s="1"/>
  <c r="L1337"/>
  <c r="L1335"/>
  <c r="K3965"/>
  <c r="I3982"/>
  <c r="K3982" s="1"/>
  <c r="R1386"/>
  <c r="R1388" s="1"/>
  <c r="J3859"/>
  <c r="J3861" s="1"/>
  <c r="X659" l="1"/>
  <c r="X660" s="1"/>
  <c r="X661" s="1"/>
  <c r="X662" s="1"/>
  <c r="X663" s="1"/>
  <c r="X664" s="1"/>
  <c r="V528"/>
  <c r="K195"/>
  <c r="K202" s="1"/>
  <c r="K204" s="1"/>
  <c r="I1781" s="1"/>
  <c r="K1781" s="1"/>
  <c r="K1790" s="1"/>
  <c r="P163"/>
  <c r="R163" s="1"/>
  <c r="R170" s="1"/>
  <c r="R172" s="1"/>
  <c r="K3957"/>
  <c r="I3974"/>
  <c r="K3974" s="1"/>
  <c r="J546"/>
  <c r="W545"/>
  <c r="AC545" s="1"/>
  <c r="X325"/>
  <c r="X326" s="1"/>
  <c r="X327" s="1"/>
  <c r="Y324"/>
  <c r="I2341"/>
  <c r="K2341" s="1"/>
  <c r="K2343" s="1"/>
  <c r="I637"/>
  <c r="K637" s="1"/>
  <c r="K641" s="1"/>
  <c r="K643" s="1"/>
  <c r="P656"/>
  <c r="R656" s="1"/>
  <c r="R672" s="1"/>
  <c r="K285"/>
  <c r="K287" s="1"/>
  <c r="K288" s="1"/>
  <c r="K289" s="1"/>
  <c r="K290" s="1"/>
  <c r="K291" s="1"/>
  <c r="I2383"/>
  <c r="K2383" s="1"/>
  <c r="K2390" s="1"/>
  <c r="K2392" s="1"/>
  <c r="I1720"/>
  <c r="K1720" s="1"/>
  <c r="K1725" s="1"/>
  <c r="K1727" s="1"/>
  <c r="I1731"/>
  <c r="K1731" s="1"/>
  <c r="K1734" s="1"/>
  <c r="K1736" s="1"/>
  <c r="I1741" s="1"/>
  <c r="K1741" s="1"/>
  <c r="K1744" s="1"/>
  <c r="K1746" s="1"/>
  <c r="K616"/>
  <c r="I616"/>
  <c r="AB1219"/>
  <c r="AD1219" s="1"/>
  <c r="AD1247"/>
  <c r="L324"/>
  <c r="K325"/>
  <c r="K404"/>
  <c r="K405" s="1"/>
  <c r="K406" s="1"/>
  <c r="J403"/>
  <c r="X367"/>
  <c r="AU111"/>
  <c r="AV111" s="1"/>
  <c r="AB1428"/>
  <c r="AD1428" s="1"/>
  <c r="AD1411"/>
  <c r="V3622"/>
  <c r="X3623" s="1"/>
  <c r="X3607"/>
  <c r="AD1245"/>
  <c r="AB1217"/>
  <c r="AD1217" s="1"/>
  <c r="R1496"/>
  <c r="V1457"/>
  <c r="L519"/>
  <c r="K520"/>
  <c r="K521" s="1"/>
  <c r="K522" s="1"/>
  <c r="P1484"/>
  <c r="R1477"/>
  <c r="R1478" s="1"/>
  <c r="R1479" s="1"/>
  <c r="V1438"/>
  <c r="L3194"/>
  <c r="L3197" s="1"/>
  <c r="L3199" s="1"/>
  <c r="K3231"/>
  <c r="K3233" s="1"/>
  <c r="L3210"/>
  <c r="L3213" s="1"/>
  <c r="K3247"/>
  <c r="K3249" s="1"/>
  <c r="AC1206"/>
  <c r="AJ1205"/>
  <c r="AS109"/>
  <c r="AQ134"/>
  <c r="AS112"/>
  <c r="AQ137"/>
  <c r="I2938"/>
  <c r="K2938" s="1"/>
  <c r="K2941" s="1"/>
  <c r="K2942" s="1"/>
  <c r="K2917"/>
  <c r="R1258"/>
  <c r="R1270" s="1"/>
  <c r="R1272" s="1"/>
  <c r="V1238"/>
  <c r="P1235"/>
  <c r="R1235" s="1"/>
  <c r="R1247" s="1"/>
  <c r="R1249" s="1"/>
  <c r="AK1205"/>
  <c r="X683"/>
  <c r="X684" s="1"/>
  <c r="L368"/>
  <c r="X1415"/>
  <c r="AB1250"/>
  <c r="X1245"/>
  <c r="I2994"/>
  <c r="K821"/>
  <c r="R1141"/>
  <c r="R1152" s="1"/>
  <c r="R1156" s="1"/>
  <c r="P1172"/>
  <c r="R1172" s="1"/>
  <c r="R1183" s="1"/>
  <c r="R1184" s="1"/>
  <c r="R1185" s="1"/>
  <c r="P2833"/>
  <c r="I2826"/>
  <c r="K2826" s="1"/>
  <c r="K2827" s="1"/>
  <c r="K2829" s="1"/>
  <c r="R1121"/>
  <c r="R1122" s="1"/>
  <c r="R1124" s="1"/>
  <c r="AG377"/>
  <c r="AQ167"/>
  <c r="AS167" s="1"/>
  <c r="AS136"/>
  <c r="AD1251"/>
  <c r="AB1223"/>
  <c r="AD1223" s="1"/>
  <c r="AS110"/>
  <c r="AQ135"/>
  <c r="K4029"/>
  <c r="K4031" s="1"/>
  <c r="K4032" s="1"/>
  <c r="I4041"/>
  <c r="K4041" s="1"/>
  <c r="K4043" s="1"/>
  <c r="K4044" s="1"/>
  <c r="R1500"/>
  <c r="V1461"/>
  <c r="L3179"/>
  <c r="L3182" s="1"/>
  <c r="L3184" s="1"/>
  <c r="K3216"/>
  <c r="K3218" s="1"/>
  <c r="L3235"/>
  <c r="L3241" s="1"/>
  <c r="L3243" s="1"/>
  <c r="K3275"/>
  <c r="K3277" s="1"/>
  <c r="K472"/>
  <c r="L471"/>
  <c r="V3621"/>
  <c r="X3622" s="1"/>
  <c r="X3606"/>
  <c r="P3534"/>
  <c r="K3530"/>
  <c r="K3534" s="1"/>
  <c r="K3535" s="1"/>
  <c r="I3546"/>
  <c r="AB1216"/>
  <c r="AD1216" s="1"/>
  <c r="AD1244"/>
  <c r="AF659"/>
  <c r="AF660" s="1"/>
  <c r="AF661" s="1"/>
  <c r="AF662" s="1"/>
  <c r="AF663" s="1"/>
  <c r="AF664" s="1"/>
  <c r="AB528"/>
  <c r="T1216"/>
  <c r="T1228" s="1"/>
  <c r="T1230" s="1"/>
  <c r="R1228"/>
  <c r="R1230" s="1"/>
  <c r="S1230" s="1"/>
  <c r="X713"/>
  <c r="Z705"/>
  <c r="X3564"/>
  <c r="V3580"/>
  <c r="AB1252"/>
  <c r="X1247"/>
  <c r="AG389"/>
  <c r="AG396" s="1"/>
  <c r="AG398" s="1"/>
  <c r="AE403" s="1"/>
  <c r="AG403" s="1"/>
  <c r="AG407" s="1"/>
  <c r="AG409" s="1"/>
  <c r="AG411" s="1"/>
  <c r="AG412" s="1"/>
  <c r="AG413" s="1"/>
  <c r="AG414" s="1"/>
  <c r="AG415" s="1"/>
  <c r="AG416" s="1"/>
  <c r="AG417" s="1"/>
  <c r="AG418" s="1"/>
  <c r="AG419" s="1"/>
  <c r="AG420" s="1"/>
  <c r="AG421" s="1"/>
  <c r="AG422" s="1"/>
  <c r="AI422" s="1"/>
  <c r="AI423" s="1"/>
  <c r="AE425"/>
  <c r="AG425" s="1"/>
  <c r="AG432" s="1"/>
  <c r="AG434" s="1"/>
  <c r="AE440" s="1"/>
  <c r="AG440" s="1"/>
  <c r="AG444" s="1"/>
  <c r="AG446" s="1"/>
  <c r="AG448" s="1"/>
  <c r="AG449" s="1"/>
  <c r="AG450" s="1"/>
  <c r="AG451" s="1"/>
  <c r="AG452" s="1"/>
  <c r="AG453" s="1"/>
  <c r="K369"/>
  <c r="J372" s="1"/>
  <c r="J368"/>
  <c r="K349"/>
  <c r="L348"/>
  <c r="AB1424"/>
  <c r="AD1424" s="1"/>
  <c r="AD1430" s="1"/>
  <c r="AD1407"/>
  <c r="AD1413" s="1"/>
  <c r="AD1206"/>
  <c r="K545"/>
  <c r="I546" s="1"/>
  <c r="K546" s="1"/>
  <c r="I547" s="1"/>
  <c r="AS95"/>
  <c r="AS97" s="1"/>
  <c r="AS99" s="1"/>
  <c r="AD1252" l="1"/>
  <c r="AB1224"/>
  <c r="AD1224" s="1"/>
  <c r="X714"/>
  <c r="Z713"/>
  <c r="AS100"/>
  <c r="AU99"/>
  <c r="AV99" s="1"/>
  <c r="AE453"/>
  <c r="AG454"/>
  <c r="X3580"/>
  <c r="V3595"/>
  <c r="AD528"/>
  <c r="AD533" s="1"/>
  <c r="AD535" s="1"/>
  <c r="AB537" s="1"/>
  <c r="AD537" s="1"/>
  <c r="AB538" s="1"/>
  <c r="AD538" s="1"/>
  <c r="AB539" s="1"/>
  <c r="AD539" s="1"/>
  <c r="AB540" s="1"/>
  <c r="AD540" s="1"/>
  <c r="AB541" s="1"/>
  <c r="AD541" s="1"/>
  <c r="AB542" s="1"/>
  <c r="AD542" s="1"/>
  <c r="AB543" s="1"/>
  <c r="AD543" s="1"/>
  <c r="AB544" s="1"/>
  <c r="AD544" s="1"/>
  <c r="AB545" s="1"/>
  <c r="AD545" s="1"/>
  <c r="AB546" s="1"/>
  <c r="AB552"/>
  <c r="AD552" s="1"/>
  <c r="AD557" s="1"/>
  <c r="AD559" s="1"/>
  <c r="AB561" s="1"/>
  <c r="AD561" s="1"/>
  <c r="AB562" s="1"/>
  <c r="AD562" s="1"/>
  <c r="AB563" s="1"/>
  <c r="AD563" s="1"/>
  <c r="AB564" s="1"/>
  <c r="AD564" s="1"/>
  <c r="AB565" s="1"/>
  <c r="AD565" s="1"/>
  <c r="AB566" s="1"/>
  <c r="AD566" s="1"/>
  <c r="K3546"/>
  <c r="K3550" s="1"/>
  <c r="K3551" s="1"/>
  <c r="AE3546"/>
  <c r="AG3546" s="1"/>
  <c r="AG3550" s="1"/>
  <c r="AG3551" s="1"/>
  <c r="V3546"/>
  <c r="P3550"/>
  <c r="R3550" s="1"/>
  <c r="R3554" s="1"/>
  <c r="R3555" s="1"/>
  <c r="R3534"/>
  <c r="R3538" s="1"/>
  <c r="R3539" s="1"/>
  <c r="L472"/>
  <c r="K473"/>
  <c r="AU110"/>
  <c r="AV110" s="1"/>
  <c r="AU167"/>
  <c r="AV167" s="1"/>
  <c r="AH368"/>
  <c r="AG378"/>
  <c r="V2794"/>
  <c r="P2866"/>
  <c r="R2833"/>
  <c r="R2834" s="1"/>
  <c r="R2836" s="1"/>
  <c r="I2643"/>
  <c r="R1158"/>
  <c r="R1159" s="1"/>
  <c r="R1160" s="1"/>
  <c r="R1161" s="1"/>
  <c r="R1162" s="1"/>
  <c r="R1163" s="1"/>
  <c r="R1164" s="1"/>
  <c r="R1165" s="1"/>
  <c r="R1166" s="1"/>
  <c r="R1167" s="1"/>
  <c r="R1168" s="1"/>
  <c r="R1169" s="1"/>
  <c r="R1170" s="1"/>
  <c r="R1171" s="1"/>
  <c r="S1159"/>
  <c r="K2994"/>
  <c r="K3001" s="1"/>
  <c r="K3003" s="1"/>
  <c r="I2791"/>
  <c r="K2791" s="1"/>
  <c r="K2798" s="1"/>
  <c r="K2800" s="1"/>
  <c r="AB1222"/>
  <c r="AD1222" s="1"/>
  <c r="AD1250"/>
  <c r="AV112"/>
  <c r="AU112"/>
  <c r="AU109"/>
  <c r="AV109" s="1"/>
  <c r="AS115"/>
  <c r="AC1207"/>
  <c r="AC1208" s="1"/>
  <c r="AJ1206"/>
  <c r="AB1455"/>
  <c r="AD1455" s="1"/>
  <c r="X1457"/>
  <c r="X368"/>
  <c r="Y368" s="1"/>
  <c r="K326"/>
  <c r="K327" s="1"/>
  <c r="M325"/>
  <c r="J547"/>
  <c r="W547" s="1"/>
  <c r="AC547" s="1"/>
  <c r="W546"/>
  <c r="AC546" s="1"/>
  <c r="K350"/>
  <c r="K351" s="1"/>
  <c r="L349"/>
  <c r="K370"/>
  <c r="K372" s="1"/>
  <c r="J369"/>
  <c r="X1461"/>
  <c r="AB1459"/>
  <c r="AD1459" s="1"/>
  <c r="AQ166"/>
  <c r="AS166" s="1"/>
  <c r="AS135"/>
  <c r="AU136"/>
  <c r="AV136" s="1"/>
  <c r="I3922"/>
  <c r="K823"/>
  <c r="K824" s="1"/>
  <c r="K825" s="1"/>
  <c r="K826" s="1"/>
  <c r="K827" s="1"/>
  <c r="K828" s="1"/>
  <c r="K829" s="1"/>
  <c r="K830" s="1"/>
  <c r="K831" s="1"/>
  <c r="K832" s="1"/>
  <c r="K833" s="1"/>
  <c r="K834" s="1"/>
  <c r="K835" s="1"/>
  <c r="Y684"/>
  <c r="Y686" s="1"/>
  <c r="X686"/>
  <c r="AB1242"/>
  <c r="X1238"/>
  <c r="X1250" s="1"/>
  <c r="X1252" s="1"/>
  <c r="I2948"/>
  <c r="K2948" s="1"/>
  <c r="K2951" s="1"/>
  <c r="K2952" s="1"/>
  <c r="K2918"/>
  <c r="I2957" s="1"/>
  <c r="K2957" s="1"/>
  <c r="K2960" s="1"/>
  <c r="K2961" s="1"/>
  <c r="AQ168"/>
  <c r="AS168" s="1"/>
  <c r="AS137"/>
  <c r="AQ148"/>
  <c r="AS148" s="1"/>
  <c r="AS134"/>
  <c r="AQ165"/>
  <c r="X1438"/>
  <c r="X1439" s="1"/>
  <c r="X1440" s="1"/>
  <c r="AB1436"/>
  <c r="AD1436" s="1"/>
  <c r="AD1437" s="1"/>
  <c r="AD1438" s="1"/>
  <c r="R1484"/>
  <c r="R1485" s="1"/>
  <c r="V1445"/>
  <c r="L406"/>
  <c r="L407" s="1"/>
  <c r="P630"/>
  <c r="R630" s="1"/>
  <c r="R634" s="1"/>
  <c r="P613"/>
  <c r="R613" s="1"/>
  <c r="R617" s="1"/>
  <c r="P599"/>
  <c r="R599" s="1"/>
  <c r="R603" s="1"/>
  <c r="I649"/>
  <c r="K649" s="1"/>
  <c r="K655" s="1"/>
  <c r="K657" s="1"/>
  <c r="I659" s="1"/>
  <c r="K659" s="1"/>
  <c r="I660" s="1"/>
  <c r="K660" s="1"/>
  <c r="I661" s="1"/>
  <c r="K661" s="1"/>
  <c r="I662" s="1"/>
  <c r="K662" s="1"/>
  <c r="I663" s="1"/>
  <c r="K663" s="1"/>
  <c r="I664" s="1"/>
  <c r="K664" s="1"/>
  <c r="I665" s="1"/>
  <c r="K665" s="1"/>
  <c r="I666" s="1"/>
  <c r="K666" s="1"/>
  <c r="I667" s="1"/>
  <c r="K667" s="1"/>
  <c r="I668" s="1"/>
  <c r="K668" s="1"/>
  <c r="I669" s="1"/>
  <c r="K669" s="1"/>
  <c r="I670" s="1"/>
  <c r="K670" s="1"/>
  <c r="X528"/>
  <c r="X533" s="1"/>
  <c r="X535" s="1"/>
  <c r="V537" s="1"/>
  <c r="X537" s="1"/>
  <c r="V538" s="1"/>
  <c r="X538" s="1"/>
  <c r="V539" s="1"/>
  <c r="X539" s="1"/>
  <c r="V540" s="1"/>
  <c r="X540" s="1"/>
  <c r="V541" s="1"/>
  <c r="X541" s="1"/>
  <c r="V542" s="1"/>
  <c r="X542" s="1"/>
  <c r="V543" s="1"/>
  <c r="X543" s="1"/>
  <c r="V544" s="1"/>
  <c r="X544" s="1"/>
  <c r="V545" s="1"/>
  <c r="X545" s="1"/>
  <c r="V546" s="1"/>
  <c r="X546" s="1"/>
  <c r="V547" s="1"/>
  <c r="X547" s="1"/>
  <c r="V548" s="1"/>
  <c r="X548" s="1"/>
  <c r="V549" s="1"/>
  <c r="X549" s="1"/>
  <c r="V552"/>
  <c r="X552" s="1"/>
  <c r="X557" s="1"/>
  <c r="X559" s="1"/>
  <c r="K547"/>
  <c r="AD1207"/>
  <c r="AD1208" s="1"/>
  <c r="AK1206"/>
  <c r="R1502"/>
  <c r="L369"/>
  <c r="F34" i="4" l="1"/>
  <c r="P2347" i="7"/>
  <c r="R2347" s="1"/>
  <c r="R2350" s="1"/>
  <c r="V561"/>
  <c r="X561" s="1"/>
  <c r="V562" s="1"/>
  <c r="X562" s="1"/>
  <c r="V563" s="1"/>
  <c r="X563" s="1"/>
  <c r="V564" s="1"/>
  <c r="X564" s="1"/>
  <c r="V565" s="1"/>
  <c r="X565" s="1"/>
  <c r="V1469"/>
  <c r="X1469" s="1"/>
  <c r="X1470" s="1"/>
  <c r="X1471" s="1"/>
  <c r="X1445"/>
  <c r="X1446" s="1"/>
  <c r="X1447" s="1"/>
  <c r="AQ180"/>
  <c r="AS180" s="1"/>
  <c r="AS165"/>
  <c r="AU148"/>
  <c r="AV148" s="1"/>
  <c r="AU168"/>
  <c r="AV168" s="1"/>
  <c r="AB1214"/>
  <c r="AD1214" s="1"/>
  <c r="AD1227" s="1"/>
  <c r="AD1229" s="1"/>
  <c r="AD1242"/>
  <c r="AD1255" s="1"/>
  <c r="AD1257" s="1"/>
  <c r="Y687"/>
  <c r="Y688" s="1"/>
  <c r="K3922"/>
  <c r="K3934" s="1"/>
  <c r="I3940"/>
  <c r="AU166"/>
  <c r="AV166" s="1"/>
  <c r="J370"/>
  <c r="K371"/>
  <c r="J371" s="1"/>
  <c r="L351"/>
  <c r="L352" s="1"/>
  <c r="L353" s="1"/>
  <c r="X369"/>
  <c r="X370" s="1"/>
  <c r="X371" s="1"/>
  <c r="AS117"/>
  <c r="AU115"/>
  <c r="AV115" s="1"/>
  <c r="AE2798"/>
  <c r="AG2798" s="1"/>
  <c r="AG2799" s="1"/>
  <c r="AG2801" s="1"/>
  <c r="X2794"/>
  <c r="X2795" s="1"/>
  <c r="X2797" s="1"/>
  <c r="V3612"/>
  <c r="X3595"/>
  <c r="AG455"/>
  <c r="AE454"/>
  <c r="AS101"/>
  <c r="AU100"/>
  <c r="AV100" s="1"/>
  <c r="X716"/>
  <c r="Z714"/>
  <c r="Z716" s="1"/>
  <c r="X1463"/>
  <c r="R1486"/>
  <c r="S1446"/>
  <c r="AU134"/>
  <c r="AV134" s="1"/>
  <c r="AS140"/>
  <c r="AU137"/>
  <c r="AV137" s="1"/>
  <c r="X687"/>
  <c r="X688" s="1"/>
  <c r="X690" s="1"/>
  <c r="X691" s="1"/>
  <c r="X692" s="1"/>
  <c r="X693" s="1"/>
  <c r="X694" s="1"/>
  <c r="AU135"/>
  <c r="AV135" s="1"/>
  <c r="K2643"/>
  <c r="K2645" s="1"/>
  <c r="K2647" s="1"/>
  <c r="V2612"/>
  <c r="R2866"/>
  <c r="R2867" s="1"/>
  <c r="R2869" s="1"/>
  <c r="P3165"/>
  <c r="R3165" s="1"/>
  <c r="R3166" s="1"/>
  <c r="R3168" s="1"/>
  <c r="AG379"/>
  <c r="AG380" s="1"/>
  <c r="AH369"/>
  <c r="L473"/>
  <c r="K474"/>
  <c r="X3546"/>
  <c r="X3550" s="1"/>
  <c r="X3551" s="1"/>
  <c r="V3562"/>
  <c r="AD1461"/>
  <c r="AD546"/>
  <c r="AB547" s="1"/>
  <c r="AD547" s="1"/>
  <c r="AB548" s="1"/>
  <c r="AD548" s="1"/>
  <c r="AB549" s="1"/>
  <c r="AD549" s="1"/>
  <c r="F115" i="4" l="1"/>
  <c r="J34" i="5"/>
  <c r="J114" s="1"/>
  <c r="H34"/>
  <c r="F34"/>
  <c r="F114" s="1"/>
  <c r="X372" i="7"/>
  <c r="AG381"/>
  <c r="Y369"/>
  <c r="Y367"/>
  <c r="Z367" s="1"/>
  <c r="C877"/>
  <c r="AB464"/>
  <c r="AD464" s="1"/>
  <c r="AD468" s="1"/>
  <c r="AD470" s="1"/>
  <c r="AB476" s="1"/>
  <c r="AD476" s="1"/>
  <c r="AD482" s="1"/>
  <c r="AD484" s="1"/>
  <c r="AB486" s="1"/>
  <c r="AD486" s="1"/>
  <c r="AB487" s="1"/>
  <c r="AD487" s="1"/>
  <c r="AB488" s="1"/>
  <c r="AD488" s="1"/>
  <c r="AB489" s="1"/>
  <c r="AD489" s="1"/>
  <c r="AB490" s="1"/>
  <c r="AD490" s="1"/>
  <c r="V3578"/>
  <c r="X3562"/>
  <c r="X3566" s="1"/>
  <c r="X3567" s="1"/>
  <c r="L474"/>
  <c r="K475"/>
  <c r="X717"/>
  <c r="X718" s="1"/>
  <c r="X720" s="1"/>
  <c r="X721" s="1"/>
  <c r="X722" s="1"/>
  <c r="X723" s="1"/>
  <c r="X724" s="1"/>
  <c r="AU101"/>
  <c r="AV101" s="1"/>
  <c r="AS102"/>
  <c r="AS119"/>
  <c r="AU117"/>
  <c r="AV117" s="1"/>
  <c r="AU180"/>
  <c r="AV180" s="1"/>
  <c r="X2612"/>
  <c r="X2613" s="1"/>
  <c r="X2615" s="1"/>
  <c r="AE2660"/>
  <c r="AG2660" s="1"/>
  <c r="AG2661" s="1"/>
  <c r="AG2663" s="1"/>
  <c r="AU140"/>
  <c r="AV140" s="1"/>
  <c r="AS142"/>
  <c r="Z717"/>
  <c r="Z718" s="1"/>
  <c r="AG456"/>
  <c r="AE455"/>
  <c r="V3627"/>
  <c r="X3628" s="1"/>
  <c r="X3612"/>
  <c r="K3940"/>
  <c r="K3952" s="1"/>
  <c r="L3952" s="1"/>
  <c r="I3956"/>
  <c r="AU165"/>
  <c r="AV165" s="1"/>
  <c r="AS171"/>
  <c r="G8" i="6" l="1"/>
  <c r="H115" i="4"/>
  <c r="D5" i="6"/>
  <c r="F5" s="1"/>
  <c r="F6" s="1"/>
  <c r="K34" i="5"/>
  <c r="H114"/>
  <c r="D7" i="6" s="1"/>
  <c r="F7" s="1"/>
  <c r="L34" i="5"/>
  <c r="AS173" i="7"/>
  <c r="AU171"/>
  <c r="AV171" s="1"/>
  <c r="AG457"/>
  <c r="AE456"/>
  <c r="V464"/>
  <c r="X464" s="1"/>
  <c r="X468" s="1"/>
  <c r="X470" s="1"/>
  <c r="V476" s="1"/>
  <c r="X476" s="1"/>
  <c r="X482" s="1"/>
  <c r="X484" s="1"/>
  <c r="V486" s="1"/>
  <c r="X486" s="1"/>
  <c r="V487" s="1"/>
  <c r="X487" s="1"/>
  <c r="V488" s="1"/>
  <c r="X488" s="1"/>
  <c r="V489" s="1"/>
  <c r="X489" s="1"/>
  <c r="V490" s="1"/>
  <c r="X490" s="1"/>
  <c r="I877"/>
  <c r="AU142"/>
  <c r="AV142" s="1"/>
  <c r="AQ147"/>
  <c r="AS103"/>
  <c r="AU102"/>
  <c r="AV102" s="1"/>
  <c r="L475"/>
  <c r="K476"/>
  <c r="K3956"/>
  <c r="K3968" s="1"/>
  <c r="I3973"/>
  <c r="K3973" s="1"/>
  <c r="K3985" s="1"/>
  <c r="AS120"/>
  <c r="AT119"/>
  <c r="AU119"/>
  <c r="AV119" s="1"/>
  <c r="X3578"/>
  <c r="X3582" s="1"/>
  <c r="X3583" s="1"/>
  <c r="V3593"/>
  <c r="F8" i="6" l="1"/>
  <c r="H213" i="5"/>
  <c r="H225"/>
  <c r="J226"/>
  <c r="J225"/>
  <c r="H116"/>
  <c r="H215"/>
  <c r="K114"/>
  <c r="L114" s="1"/>
  <c r="H183"/>
  <c r="J116"/>
  <c r="J117" s="1"/>
  <c r="X3593" i="7"/>
  <c r="X3597" s="1"/>
  <c r="X3598" s="1"/>
  <c r="V3610"/>
  <c r="AU120"/>
  <c r="AV120" s="1"/>
  <c r="AS121"/>
  <c r="AT120"/>
  <c r="L476"/>
  <c r="K477"/>
  <c r="AU103"/>
  <c r="AV103" s="1"/>
  <c r="AQ179"/>
  <c r="AS179" s="1"/>
  <c r="AS147"/>
  <c r="I893"/>
  <c r="K893" s="1"/>
  <c r="K905" s="1"/>
  <c r="V877"/>
  <c r="K877"/>
  <c r="K889" s="1"/>
  <c r="I859"/>
  <c r="AV173"/>
  <c r="AU173"/>
  <c r="AG458"/>
  <c r="AE457"/>
  <c r="F9" i="6" l="1"/>
  <c r="F10" s="1"/>
  <c r="F12" s="1"/>
  <c r="H8"/>
  <c r="AG459" i="7"/>
  <c r="AE458"/>
  <c r="AS183"/>
  <c r="AU179"/>
  <c r="AV179" s="1"/>
  <c r="K891"/>
  <c r="L889"/>
  <c r="I3301"/>
  <c r="K3301" s="1"/>
  <c r="K3313" s="1"/>
  <c r="K859"/>
  <c r="K871" s="1"/>
  <c r="P852"/>
  <c r="R852" s="1"/>
  <c r="R864" s="1"/>
  <c r="V859"/>
  <c r="X859" s="1"/>
  <c r="X871" s="1"/>
  <c r="V893"/>
  <c r="X893" s="1"/>
  <c r="X905" s="1"/>
  <c r="X877"/>
  <c r="X889" s="1"/>
  <c r="AS151"/>
  <c r="AU147"/>
  <c r="AV147" s="1"/>
  <c r="L477"/>
  <c r="K478"/>
  <c r="AS122"/>
  <c r="AS124" s="1"/>
  <c r="AU121"/>
  <c r="AV121" s="1"/>
  <c r="V3625"/>
  <c r="X3610"/>
  <c r="X3614" s="1"/>
  <c r="X3615" s="1"/>
  <c r="F11" i="6" l="1"/>
  <c r="AU124" i="7"/>
  <c r="AV124" s="1"/>
  <c r="X3626"/>
  <c r="X3625"/>
  <c r="X3629" s="1"/>
  <c r="X3630" s="1"/>
  <c r="AS123"/>
  <c r="AU122"/>
  <c r="AV122" s="1"/>
  <c r="AS185"/>
  <c r="AU183"/>
  <c r="AV183" s="1"/>
  <c r="AG460"/>
  <c r="AE459"/>
  <c r="K479"/>
  <c r="L479" s="1"/>
  <c r="L478"/>
  <c r="AS153"/>
  <c r="AU151"/>
  <c r="AV151" s="1"/>
  <c r="F13" i="6" l="1"/>
  <c r="F15" s="1"/>
  <c r="G17" s="1"/>
  <c r="AS155" i="7"/>
  <c r="AT155" s="1"/>
  <c r="AU153"/>
  <c r="AV153" s="1"/>
  <c r="AE460"/>
  <c r="AG461"/>
  <c r="AU185"/>
  <c r="AV185" s="1"/>
  <c r="AS187"/>
  <c r="AU123"/>
  <c r="AV123" s="1"/>
  <c r="AU187" l="1"/>
  <c r="AR187"/>
  <c r="AS188"/>
  <c r="AV187"/>
  <c r="AU155"/>
  <c r="AV155" s="1"/>
  <c r="AS156"/>
  <c r="AR155"/>
  <c r="AG462"/>
  <c r="AE461"/>
  <c r="AS157" l="1"/>
  <c r="AT156"/>
  <c r="AR156"/>
  <c r="AU156"/>
  <c r="AV156" s="1"/>
  <c r="AE462"/>
  <c r="AG463"/>
  <c r="AE463" s="1"/>
  <c r="AS189"/>
  <c r="AU188"/>
  <c r="AV188" s="1"/>
  <c r="AR188"/>
  <c r="AS190" l="1"/>
  <c r="AU189"/>
  <c r="AV189" s="1"/>
  <c r="AR189"/>
  <c r="AS158"/>
  <c r="AU157"/>
  <c r="AV157" s="1"/>
  <c r="AR157"/>
  <c r="AS159" l="1"/>
  <c r="AU158"/>
  <c r="AV158" s="1"/>
  <c r="AR158"/>
  <c r="AS191"/>
  <c r="AU190"/>
  <c r="AV190" s="1"/>
  <c r="AR190"/>
  <c r="AU191" l="1"/>
  <c r="AV191" s="1"/>
  <c r="AR191"/>
  <c r="AU159"/>
  <c r="AV159" s="1"/>
  <c r="AR159"/>
</calcChain>
</file>

<file path=xl/sharedStrings.xml><?xml version="1.0" encoding="utf-8"?>
<sst xmlns="http://schemas.openxmlformats.org/spreadsheetml/2006/main" count="20462" uniqueCount="3505">
  <si>
    <t>DETAILED  ESTIMATE</t>
  </si>
  <si>
    <t>S.No</t>
  </si>
  <si>
    <t>Description of work</t>
  </si>
  <si>
    <t>Nos</t>
  </si>
  <si>
    <t>Measurement in mtrs</t>
  </si>
  <si>
    <t>Qty</t>
  </si>
  <si>
    <t>L</t>
  </si>
  <si>
    <t>B</t>
  </si>
  <si>
    <t>D</t>
  </si>
  <si>
    <t>a.)  0 to 2m depth</t>
  </si>
  <si>
    <t xml:space="preserve">Grade beam all round </t>
  </si>
  <si>
    <t>Grade beam @ horizontal</t>
  </si>
  <si>
    <t>Inspsction chamber</t>
  </si>
  <si>
    <t>Entrance steps1</t>
  </si>
  <si>
    <t>Total</t>
  </si>
  <si>
    <t>Dinning</t>
  </si>
  <si>
    <t>Gents toilet</t>
  </si>
  <si>
    <t>Ladies toilet</t>
  </si>
  <si>
    <t>lobby</t>
  </si>
  <si>
    <t>Ramp</t>
  </si>
  <si>
    <t>a)T.W over 2m &amp;below 3m</t>
  </si>
  <si>
    <t>Main door vertical</t>
  </si>
  <si>
    <t xml:space="preserve"> </t>
  </si>
  <si>
    <t>b)T.W below 2m length</t>
  </si>
  <si>
    <t xml:space="preserve">Main door top </t>
  </si>
  <si>
    <t>Thresh hold plate</t>
  </si>
  <si>
    <t xml:space="preserve">Main door </t>
  </si>
  <si>
    <t xml:space="preserve">T.W door </t>
  </si>
  <si>
    <t xml:space="preserve"> Door (D)</t>
  </si>
  <si>
    <t>window W</t>
  </si>
  <si>
    <t>window W1</t>
  </si>
  <si>
    <t>kg</t>
  </si>
  <si>
    <t>co-eff</t>
  </si>
  <si>
    <t xml:space="preserve">Door D </t>
  </si>
  <si>
    <t>co-effi</t>
  </si>
  <si>
    <t>window w1</t>
  </si>
  <si>
    <t>Gents toilet &amp; Wash area</t>
  </si>
  <si>
    <t>Ladies toilet &amp; Wash area</t>
  </si>
  <si>
    <t>Window   (1.20x1.35)</t>
  </si>
  <si>
    <t>W1 ( 1.5 x 1.35)</t>
  </si>
  <si>
    <t xml:space="preserve">Dining room </t>
  </si>
  <si>
    <t>Rmt</t>
  </si>
  <si>
    <t>No</t>
  </si>
  <si>
    <t>a.) For size 4.23 x 2.15m</t>
  </si>
  <si>
    <t>Dining room - Cupboard</t>
  </si>
  <si>
    <t>dinning area</t>
  </si>
  <si>
    <t>toilet portion</t>
  </si>
  <si>
    <t>MT</t>
  </si>
  <si>
    <t>Roof Beam</t>
  </si>
  <si>
    <t>Roof Slab</t>
  </si>
  <si>
    <t>Lobby</t>
  </si>
  <si>
    <t>All round brick work</t>
  </si>
  <si>
    <t>d/f main door MD (1.50 X 2.10)</t>
  </si>
  <si>
    <t>d/f window W Size (1.20 x1.35)</t>
  </si>
  <si>
    <t>d/f window W1 Size (1.05 x1.35)</t>
  </si>
  <si>
    <t>d/f for ventilater V( 0.90 x0.75)</t>
  </si>
  <si>
    <t>d/f for ventilater V (0.90 x0.75)</t>
  </si>
  <si>
    <t>wall betweeen dinning and toilet</t>
  </si>
  <si>
    <t>d/f door D (0.90 X 2.10)</t>
  </si>
  <si>
    <t>wall between gents toilet and ladies toilet</t>
  </si>
  <si>
    <t>Gents toilet wall</t>
  </si>
  <si>
    <t>Ladies toilet wall</t>
  </si>
  <si>
    <t>In Ground floor</t>
  </si>
  <si>
    <t xml:space="preserve">Urinal divider wall </t>
  </si>
  <si>
    <t>d/f toilet door TD (0.75X2.10)</t>
  </si>
  <si>
    <t>parapet all round</t>
  </si>
  <si>
    <t>parapet all round(lobby)</t>
  </si>
  <si>
    <t>a) In Ground floor</t>
  </si>
  <si>
    <t>Dining(cupboard )</t>
  </si>
  <si>
    <t xml:space="preserve"> II.40mm thick</t>
  </si>
  <si>
    <t xml:space="preserve">Dining </t>
  </si>
  <si>
    <t>a.) For Column footings, plinth beam, Grade beam, Raft beam, Raft slab etc.,</t>
  </si>
  <si>
    <t>b) Plain surfaces such as Roof slab, floorslab, Beams, lintels, lofts, sillslab, staircase waist, portico slab and other similar works</t>
  </si>
  <si>
    <t>ladies toilet</t>
  </si>
  <si>
    <t>c.) For Square and rectangular columns and small quantities</t>
  </si>
  <si>
    <t>Gents and ladies toilet</t>
  </si>
  <si>
    <t>a) For door size 900x2100mm</t>
  </si>
  <si>
    <t>For door D</t>
  </si>
  <si>
    <t xml:space="preserve">Supplying and fixing of teak wood panelled door of Double leaves shutters </t>
  </si>
  <si>
    <t>a) For door size 1500x2100mm</t>
  </si>
  <si>
    <t>For MAIN DOOR</t>
  </si>
  <si>
    <t>For inspection chamber</t>
  </si>
  <si>
    <t>wash area</t>
  </si>
  <si>
    <t>Outer allround</t>
  </si>
  <si>
    <t>parapet wall inner</t>
  </si>
  <si>
    <t>parapet wall inner Top</t>
  </si>
  <si>
    <t>D/F  MD</t>
  </si>
  <si>
    <t>D/F  W</t>
  </si>
  <si>
    <t>D/F  W1</t>
  </si>
  <si>
    <t>D/F  Ventilator</t>
  </si>
  <si>
    <t>Dining Inner alround</t>
  </si>
  <si>
    <t>D/F  D</t>
  </si>
  <si>
    <t>A/F Jams</t>
  </si>
  <si>
    <t>A/F cupboard</t>
  </si>
  <si>
    <t>Ladies toilet - wash area</t>
  </si>
  <si>
    <t xml:space="preserve">D/F  Door </t>
  </si>
  <si>
    <t>Ladies toilet - Toilet</t>
  </si>
  <si>
    <t>Gents toilet - Toilet</t>
  </si>
  <si>
    <t xml:space="preserve">D/F  Toilet Door </t>
  </si>
  <si>
    <t>Gents toilet - Wash area</t>
  </si>
  <si>
    <t>D/f toilet urinal wall tiles</t>
  </si>
  <si>
    <t>A/F Door Jams</t>
  </si>
  <si>
    <t>Cupboard wall</t>
  </si>
  <si>
    <t>urinal partition wall</t>
  </si>
  <si>
    <t>a) 150mm wide Border</t>
  </si>
  <si>
    <t>b) 75mm wide Border</t>
  </si>
  <si>
    <t>Rain water pipe</t>
  </si>
  <si>
    <t>WATER SUPPLY ARRANGEMENTS</t>
  </si>
  <si>
    <t>a) 32mm ASTM-D schedule 40 threaded PVC pipe with necessary PVC/GI specials</t>
  </si>
  <si>
    <t>Source To tank connection</t>
  </si>
  <si>
    <t>b) 25mm ASTM-D schedule 40 threaded PVC pipe with necessary PVC/GI specials</t>
  </si>
  <si>
    <t>delivery line l.toilet</t>
  </si>
  <si>
    <t>delivery line g.toilet</t>
  </si>
  <si>
    <t>c) 20mm ASTM-D schedule 40 threaded PVC pipe with necessaray PVC/GI specials</t>
  </si>
  <si>
    <t>For Gens &amp; Ladies wash area</t>
  </si>
  <si>
    <t>Gents, ladies toilet &amp; wash area</t>
  </si>
  <si>
    <t>a) 110mm dia PVC SWR pipe including all required PVC specials etc., all complete</t>
  </si>
  <si>
    <t>b) 75mm dia PVC SWR pipe including all required PVC specials etc., all complete</t>
  </si>
  <si>
    <t>gents &amp;ladies toilet</t>
  </si>
  <si>
    <t>For wash basin</t>
  </si>
  <si>
    <t>For toilet waste water line</t>
  </si>
  <si>
    <t>a) 110mm UPVC Non Pressure pipe</t>
  </si>
  <si>
    <t xml:space="preserve">Toilet to I/s </t>
  </si>
  <si>
    <t>ELECTRICAL ITEMS</t>
  </si>
  <si>
    <t>a)Light point with ceiling rose</t>
  </si>
  <si>
    <t>Gents toilet &amp; wash area</t>
  </si>
  <si>
    <t>Ladies toilet &amp; wash area</t>
  </si>
  <si>
    <t>Dinning ( For  R.O)</t>
  </si>
  <si>
    <t>a) 48" Electric Fan 1200mm sweep</t>
  </si>
  <si>
    <t>Main to power plug</t>
  </si>
  <si>
    <t>a.) 9 watts LED Lamp for bath &amp; WC</t>
  </si>
  <si>
    <t>Gents toilet wash area</t>
  </si>
  <si>
    <t>Ladies toilet wash area</t>
  </si>
  <si>
    <t>Wash area</t>
  </si>
  <si>
    <t>Service connection accessories L.T 1100V PVC aluminium armoured under ground cable with ISI mark</t>
  </si>
  <si>
    <t>2.0 core 10 sqmm LTUG cable</t>
  </si>
  <si>
    <t xml:space="preserve">Meter to panel </t>
  </si>
  <si>
    <t xml:space="preserve">Supplying and fixing of approved rand porcelain Flat Back urinal superior variety    (White)  </t>
  </si>
  <si>
    <t>Supplying and  Delivery  of  following  Dia GI , GM , CI , PVC  and  MS  SpecIals  of best  and  approved  quality  having  ISI  mark  including  cost  of  specials  and  delivery  at  site of work etc., all complete and as directed by the  departmental  officers.</t>
  </si>
  <si>
    <t>Gents &amp; ladies toilet</t>
  </si>
  <si>
    <t>Main door</t>
  </si>
  <si>
    <t>sqm</t>
  </si>
  <si>
    <t>LADIES TOILET</t>
  </si>
  <si>
    <t>GENTS TOILET</t>
  </si>
  <si>
    <t>50mm thick</t>
  </si>
  <si>
    <t>Ventilater (0.90*0.75)</t>
  </si>
  <si>
    <r>
      <rPr>
        <b/>
        <sz val="14"/>
        <rFont val="Calibri"/>
        <family val="2"/>
        <scheme val="minor"/>
      </rPr>
      <t>Earth work excavation for foundation in all soils and sub-soils</t>
    </r>
    <r>
      <rPr>
        <sz val="14"/>
        <rFont val="Calibri"/>
        <family val="2"/>
        <scheme val="minor"/>
      </rPr>
      <t xml:space="preserve"> </t>
    </r>
    <r>
      <rPr>
        <b/>
        <sz val="14"/>
        <rFont val="Calibri"/>
        <family val="2"/>
        <scheme val="minor"/>
      </rPr>
      <t xml:space="preserve">to the required depth </t>
    </r>
    <r>
      <rPr>
        <sz val="14"/>
        <rFont val="Calibri"/>
        <family val="2"/>
        <scheme val="minor"/>
      </rPr>
      <t>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leveling the site with an initial lead of 10 metres and lift as specified here under etc. complete in all respects complying with relevant standard specifications. (Including refilling)</t>
    </r>
  </si>
  <si>
    <r>
      <rPr>
        <b/>
        <sz val="14"/>
        <rFont val="Calibri"/>
        <family val="2"/>
        <scheme val="minor"/>
      </rPr>
      <t>Supplying and filling in foundation and basement with filling M.sand</t>
    </r>
    <r>
      <rPr>
        <sz val="14"/>
        <rFont val="Calibri"/>
        <family val="2"/>
        <scheme val="minor"/>
      </rPr>
      <t xml:space="preserve"> in layers of 150 mm thickness well watered, rammed and  consolidated complying  with relevant Standard specification including cost of supplying filling sand</t>
    </r>
  </si>
  <si>
    <r>
      <t xml:space="preserve">Filling in foundation and basement </t>
    </r>
    <r>
      <rPr>
        <sz val="14"/>
        <color indexed="8"/>
        <rFont val="Calibri"/>
        <family val="2"/>
        <scheme val="minor"/>
      </rPr>
      <t>and other similar works with Excavated earth in layers of 150mm thick well watered rammed and consolidated complying with relevant standard specifications etc., all complete and as directed by the departmental officers.</t>
    </r>
  </si>
  <si>
    <r>
      <t xml:space="preserve">Supplying and fixing of Teak Wood wrought and put up for frames of doors, windows, ventilators, cupboard </t>
    </r>
    <r>
      <rPr>
        <sz val="14"/>
        <rFont val="Calibri"/>
        <family val="2"/>
        <scheme val="minor"/>
      </rPr>
      <t>and any other similar joinery works with necessary plugs, rebates for shutters, plaster grooves on all faces etc. , including labour charges for fixing hold fasts. complying with relevant standard specifications etc.. in all respects</t>
    </r>
  </si>
  <si>
    <r>
      <t xml:space="preserve">Supply and fixing of best approved superior variety Magnetic door catches </t>
    </r>
    <r>
      <rPr>
        <sz val="14"/>
        <rFont val="Calibri"/>
        <family val="2"/>
        <scheme val="minor"/>
      </rPr>
      <t>shitable for doors including cost of door catches, aluminium, stainless steel screws fixing in position etc., complete and as directed by the departmental officers. (The quality and brand shall be got approved from the Executive Engineer before use)</t>
    </r>
  </si>
  <si>
    <r>
      <t xml:space="preserve">Supplying of Mild steel hold fasts horizontally twisted </t>
    </r>
    <r>
      <rPr>
        <sz val="14"/>
        <rFont val="Calibri"/>
        <family val="2"/>
        <scheme val="minor"/>
      </rPr>
      <t>of size 230x40x4mm with pair of suiteable iron screws.</t>
    </r>
  </si>
  <si>
    <r>
      <t>Finishing the top of flooring with cement concrete 1:3</t>
    </r>
    <r>
      <rPr>
        <sz val="14"/>
        <rFont val="Calibri"/>
        <family val="2"/>
        <scheme val="minor"/>
      </rPr>
      <t xml:space="preserve"> (one of cement and three of blue granite chips of size 10mm and below) 20mm thick </t>
    </r>
    <r>
      <rPr>
        <b/>
        <sz val="14"/>
        <rFont val="Calibri"/>
        <family val="2"/>
        <scheme val="minor"/>
      </rPr>
      <t>Ellispattern Flooring</t>
    </r>
    <r>
      <rPr>
        <sz val="14"/>
        <rFont val="Calibri"/>
        <family val="2"/>
        <scheme val="minor"/>
      </rPr>
      <t xml:space="preserve"> (No sand) and surface rendered smooth including 50mm wide skirting, providing proper slopes, thread lining, curing etc., complete in all floors complying with relevant specifications.</t>
    </r>
  </si>
  <si>
    <r>
      <rPr>
        <b/>
        <sz val="14"/>
        <rFont val="Calibri"/>
        <family val="2"/>
        <scheme val="minor"/>
      </rPr>
      <t>White washing three coats</t>
    </r>
    <r>
      <rPr>
        <sz val="14"/>
        <rFont val="Calibri"/>
        <family val="2"/>
        <scheme val="minor"/>
      </rPr>
      <t xml:space="preserve"> using clean shell lime slaked including cost of lime, gum, blue, brushes, including scaffolding etc., complete in all respects.</t>
    </r>
  </si>
  <si>
    <r>
      <t xml:space="preserve">Manufacturing and supplying  of windows </t>
    </r>
    <r>
      <rPr>
        <sz val="14"/>
        <rFont val="Calibri"/>
        <family val="2"/>
        <scheme val="minor"/>
      </rPr>
      <t xml:space="preserve">confirming ti IS 1038/1983 specification with  steel section used for fabrication of windows as per IS 7452/1982 specification and as per the approved type design for all size applicable for the work with iron oxidised handles with locking arrangements peg stays and including cost for one coat of red oxide primer etc., complete and as directed by the departmental officers </t>
    </r>
  </si>
  <si>
    <r>
      <rPr>
        <b/>
        <sz val="14"/>
        <rFont val="Calibri"/>
        <family val="2"/>
        <scheme val="minor"/>
      </rPr>
      <t xml:space="preserve">Painting the New wood work with two coats </t>
    </r>
    <r>
      <rPr>
        <sz val="14"/>
        <rFont val="Calibri"/>
        <family val="2"/>
        <scheme val="minor"/>
      </rPr>
      <t>of approved first class synthetic enamel ready mixed paint in addition to one coat of primer of approved quality and shade, the paint should be supplied by the contractor at his own cost (The quality and the shade of paint should be got approved by the Executive Engineer before use) complying with relevant standard specifications.</t>
    </r>
  </si>
  <si>
    <r>
      <t xml:space="preserve">Painting the New iron work </t>
    </r>
    <r>
      <rPr>
        <sz val="14"/>
        <rFont val="Calibri"/>
        <family val="2"/>
        <scheme val="minor"/>
      </rPr>
      <t>and other similar works such as PVC/ASTM pipes, kerb stones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r>
  </si>
  <si>
    <r>
      <t xml:space="preserve">Supplying and fixing of Aluminium towel rails of 75cm long, </t>
    </r>
    <r>
      <rPr>
        <sz val="14"/>
        <rFont val="Calibri"/>
        <family val="2"/>
        <scheme val="minor"/>
      </rPr>
      <t>including cost of screws, TW plugs and labour charges for fixing in position etc., complete in all respects and as directed by the departmental officers.</t>
    </r>
  </si>
  <si>
    <r>
      <t xml:space="preserve">Supplying and fixing of 4mm thick pin headed glass panels </t>
    </r>
    <r>
      <rPr>
        <sz val="14"/>
        <rFont val="Calibri"/>
        <family val="2"/>
        <scheme val="minor"/>
      </rPr>
      <t>with aluminium anodized U shape beeding or size 12x12 mm with 107 gram in average weight for 1m length with aluminium bolts and nuts for the shutters of the steel windows</t>
    </r>
  </si>
  <si>
    <r>
      <t xml:space="preserve">Supplying and fixing of best approved superior variety consealed type Fibre box with MS Fan hook </t>
    </r>
    <r>
      <rPr>
        <sz val="14"/>
        <rFont val="Calibri"/>
        <family val="2"/>
        <scheme val="minor"/>
      </rPr>
      <t>of 100mm dia, 75mm depth and 3mm thick including cost and fixing in position etc., complete and as directed by the departmental officers. (The quality should be got approved by the Executive Engineer before use)</t>
    </r>
  </si>
  <si>
    <r>
      <t xml:space="preserve">Charges of assembling and fixing of ceiling fan </t>
    </r>
    <r>
      <rPr>
        <sz val="14"/>
        <rFont val="Calibri"/>
        <family val="2"/>
        <scheme val="minor"/>
      </rPr>
      <t>of different sweep with necessary connection and fixing of fan regulator on the existing board etc., all complete (excluding cost of fan)</t>
    </r>
  </si>
  <si>
    <r>
      <t>Supplying and laying of 8 SWG GI wire</t>
    </r>
    <r>
      <rPr>
        <sz val="14"/>
        <color indexed="8"/>
        <rFont val="Calibri"/>
        <family val="2"/>
        <scheme val="minor"/>
      </rPr>
      <t xml:space="preserve"> on wall/below ground level with necessary 'U' nails, earth work excavation and refilling etc., including cost of all materials etc., all complete.</t>
    </r>
  </si>
  <si>
    <r>
      <t xml:space="preserve">Supplying and fixing and concealing TW box </t>
    </r>
    <r>
      <rPr>
        <sz val="14"/>
        <rFont val="Calibri"/>
        <family val="2"/>
        <scheme val="minor"/>
      </rPr>
      <t>of size 8"x6"x4" covered with 3mm thick hylem sheet including cost of TV line socket / Telephone line socket etc., all complete and as directed by the departmental officers.</t>
    </r>
  </si>
  <si>
    <r>
      <t xml:space="preserve">Providing Earthing station </t>
    </r>
    <r>
      <rPr>
        <sz val="14"/>
        <rFont val="Calibri"/>
        <family val="2"/>
        <scheme val="minor"/>
      </rPr>
      <t>using pipe electrode as per IS 3043 using 2.5m of 40mm and 1.0m of 20mm dia B-class GI pipe including earth work excavation, brick work in cement mortar and plastering and cost of funnel, GI nuts, bolts, washers, check nuts, GI bend, reducer and coupling, CI cover of 30x30cm and including charcoal of 40 kgs and salt 10 kg etc., all complete</t>
    </r>
  </si>
  <si>
    <r>
      <t xml:space="preserve">Providing Pre-constructional Antitermite treatment </t>
    </r>
    <r>
      <rPr>
        <sz val="14"/>
        <rFont val="Calibri"/>
        <family val="2"/>
        <scheme val="minor"/>
      </rPr>
      <t>including cost of chemicals labour as per standard specifications for preparing the area for treatment by spraying chemicals and other incidental charges etc., complete the rates should be for curing antitermite treatment from the plinth beam and brick masonry with super structure in contract with the back fill earth and at the junction of the walls.  The top surfaces of filled earth for flooring and the soil along with the perimeter of the building by making holes with the crow bar and poured 5% termicide 'Chloripyrifos' and spraying the same termicide solution on the wooden frames and treating the other periphery of buildings etc., complete in all respects as per IS 6313 (part II)/1981 and as directed by the departmental officers.</t>
    </r>
  </si>
  <si>
    <r>
      <rPr>
        <b/>
        <sz val="14"/>
        <rFont val="Calibri"/>
        <family val="2"/>
        <scheme val="minor"/>
      </rPr>
      <t xml:space="preserve">Plain Cement Concrete 1:5:10 </t>
    </r>
    <r>
      <rPr>
        <sz val="14"/>
        <rFont val="Calibri"/>
        <family val="2"/>
        <scheme val="minor"/>
      </rPr>
      <t>(One of cement, five of sand and ten of hard broken stone Jelly)</t>
    </r>
    <r>
      <rPr>
        <b/>
        <sz val="14"/>
        <rFont val="Calibri"/>
        <family val="2"/>
        <scheme val="minor"/>
      </rPr>
      <t xml:space="preserve"> for Foundation and Basement  </t>
    </r>
    <r>
      <rPr>
        <sz val="14"/>
        <rFont val="Calibri"/>
        <family val="2"/>
        <scheme val="minor"/>
      </rPr>
      <t>using 40 mm gauge broken stone jelly inclusive of shoring, strutting and bailing out water wherever necessary ramming, curing etc., complete in all respects complying with relevant standard specifications and as directed by the departmental officers</t>
    </r>
  </si>
  <si>
    <r>
      <t>Providing Precast concrete slab</t>
    </r>
    <r>
      <rPr>
        <sz val="14"/>
        <rFont val="Calibri"/>
        <family val="2"/>
        <scheme val="minor"/>
      </rPr>
      <t xml:space="preserve"> for cupboard  ward robs shelves, cover slab for chambers, baffle walls side slabs of boxing around windows and other similar works in cement concrete 1:2:4 (one of cement, two of sand and four of stone jelly) using hard broken stone jelly of size 10mm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                                                                                   </t>
    </r>
    <r>
      <rPr>
        <b/>
        <sz val="14"/>
        <rFont val="Calibri"/>
        <family val="2"/>
        <scheme val="minor"/>
      </rPr>
      <t>a) In Foundation and Basement</t>
    </r>
  </si>
  <si>
    <r>
      <t xml:space="preserve">Providing cuddappah slab of 20mm thick, </t>
    </r>
    <r>
      <rPr>
        <sz val="14"/>
        <rFont val="Calibri"/>
        <family val="2"/>
        <scheme val="minor"/>
      </rPr>
      <t xml:space="preserve"> finishing with two sides for cupboard, wardrobes shelves, and other similar works including finishing and fixing in position complying with relevant standard specifications etc., compete in the following floors (measurement will be taken including bearing also) as directed by the departmental officers (quality of cuddappah slab shall be got approved by the Executive Engineer before fixing).</t>
    </r>
  </si>
  <si>
    <r>
      <rPr>
        <b/>
        <sz val="14"/>
        <rFont val="Calibri"/>
        <family val="2"/>
        <scheme val="minor"/>
      </rPr>
      <t xml:space="preserve">Providing Form work and centering for reinforced cement concrete works </t>
    </r>
    <r>
      <rPr>
        <sz val="14"/>
        <rFont val="Calibri"/>
        <family val="2"/>
        <scheme val="minor"/>
      </rPr>
      <t>including supports and strutting up to 3.30m height for plane surfaces as detailed below with all cross bracings using mild steel sheets of size 90cm x 60cm and MS 10 gauge stiffened with welded mild steel angles of size 25mm x 25mm x 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specification and as directed by the departmental officers.</t>
    </r>
  </si>
  <si>
    <r>
      <t>Providing and fixing factory made polyvinyl chloride ( PVC ) Door Frame of size 50X47mm with a wall thickness of 5mm</t>
    </r>
    <r>
      <rPr>
        <sz val="14"/>
        <rFont val="Calibri"/>
        <family val="2"/>
        <scheme val="minor"/>
      </rPr>
      <t xml:space="preserve">, made out  extruded 5mm rigid UPVC foam sheet, mitred  at two corners and joined with 2nos of 150mm long brackets of 15X15mm M.S square tube. (Fitting provided shall bear ISI marks if available .The quality and brand of door shutter and furniture fittings should be got approved by the Executive Engineer before use)                             
</t>
    </r>
  </si>
  <si>
    <r>
      <t xml:space="preserve">Flooring with a bed Cement concrete 1:5:10 </t>
    </r>
    <r>
      <rPr>
        <sz val="14"/>
        <rFont val="Calibri"/>
        <family val="2"/>
        <scheme val="minor"/>
      </rPr>
      <t>(one of cement, five of sand and ten of hard broken stone jelly) using 40mm size hard broken stone jelly and top left rough to receive the floor finish with required slopes including ramming, curing etc., all complete complying with relevant standard specifications.</t>
    </r>
  </si>
  <si>
    <r>
      <t xml:space="preserve">Plastering the top flooring in CM 1:4 </t>
    </r>
    <r>
      <rPr>
        <sz val="14"/>
        <rFont val="Calibri"/>
        <family val="2"/>
        <scheme val="minor"/>
      </rPr>
      <t>(One of cement and four of sand) 20mm thick including surface rendered smooth including providing proper slopes, thread lining, curing and 150mm wide skirting alround with the same cement mortar etc., complete in all respects.</t>
    </r>
  </si>
  <si>
    <r>
      <t>Supplying and fixing of colour glazed tiles</t>
    </r>
    <r>
      <rPr>
        <sz val="14"/>
        <rFont val="Calibri"/>
        <family val="2"/>
        <scheme val="minor"/>
      </rPr>
      <t xml:space="preserve"> (best approved quality and the same shall be got approved from the Executive Engineer before using) over cement plastering in CM 1:2 (one of cement and two of sand) 10mm thick including fixing in position, cutting the tiles to the reqauired size wherever necessary, pointing the joints with Grout (Tile joint filler), curing, finishing etc., all complete and as directed by the departmental officers.</t>
    </r>
  </si>
  <si>
    <r>
      <t xml:space="preserve">Supplying and fixing of colour ceramic tiles Anti skid without corrugated design for flooring and other similar works </t>
    </r>
    <r>
      <rPr>
        <sz val="14"/>
        <rFont val="Calibri"/>
        <family val="2"/>
        <scheme val="minor"/>
      </rPr>
      <t>(best approved quality colour and shade shall be got approved from the EE before using) over cement 1:3 (one cement and three of sand) 20mm thick including  fixing in position, cutting the tiles to the required size wherever necessary, pointing the joints with grout (Tile joint filler) curing, finishing etc., all complete and as directed by the departmental officers.</t>
    </r>
  </si>
  <si>
    <r>
      <t>Plastering with CM 1:5 (</t>
    </r>
    <r>
      <rPr>
        <sz val="14"/>
        <rFont val="Calibri"/>
        <family val="2"/>
        <scheme val="minor"/>
      </rPr>
      <t xml:space="preserve">One of cement and five of crushed stone sand ) </t>
    </r>
    <r>
      <rPr>
        <b/>
        <sz val="14"/>
        <rFont val="Calibri"/>
        <family val="2"/>
        <scheme val="minor"/>
      </rPr>
      <t xml:space="preserve">12mm thick </t>
    </r>
    <r>
      <rPr>
        <sz val="14"/>
        <rFont val="Calibri"/>
        <family val="2"/>
        <scheme val="minor"/>
      </rPr>
      <t>finished with neat cement including plasticizer, providing band cornice, ceiling cornice curing scaffolding etc., completed in all respects and complying with relevant standard specifications</t>
    </r>
  </si>
  <si>
    <r>
      <t xml:space="preserve">Supplying, fabricating and placing in position of </t>
    </r>
    <r>
      <rPr>
        <b/>
        <sz val="14"/>
        <color indexed="8"/>
        <rFont val="Calibri"/>
        <family val="2"/>
        <scheme val="minor"/>
      </rPr>
      <t xml:space="preserve">Mild steel Grills/Ribbed Tor Steels for reinforcement </t>
    </r>
    <r>
      <rPr>
        <sz val="14"/>
        <color indexed="8"/>
        <rFont val="Calibri"/>
        <family val="2"/>
        <scheme val="minor"/>
      </rPr>
      <t>for all floors including cost of binding wire, bending, tying etc., all complete and as directed by the departmental officers for all sizes.</t>
    </r>
  </si>
  <si>
    <r>
      <t xml:space="preserve">Plastering with CM 1:4 (One of cement and four of sand) 12mm thick </t>
    </r>
    <r>
      <rPr>
        <sz val="14"/>
        <rFont val="Calibri"/>
        <family val="2"/>
        <scheme val="minor"/>
      </rPr>
      <t>finishd with neat cement including providing band cornice, ceiling cornice, curing scaffolding etc., complete in all repects and complying with relevant standard specifications.</t>
    </r>
  </si>
  <si>
    <r>
      <t>Special Ceiling plastering in cement mortar 1:3 (one of cement and three of sand) 10mm thick</t>
    </r>
    <r>
      <rPr>
        <sz val="14"/>
        <rFont val="Calibri"/>
        <family val="2"/>
        <scheme val="minor"/>
      </rPr>
      <t xml:space="preserve"> for bottom of roof, stair, waist, landing and sunshades in all floors finished with near cement including hacking the areas providing band cornice, scaffolding, curing etc., complete</t>
    </r>
  </si>
  <si>
    <r>
      <t>Plastering in CM 1:5 (One of cement and five of sand) 12mm thick</t>
    </r>
    <r>
      <rPr>
        <sz val="14"/>
        <rFont val="Calibri"/>
        <family val="2"/>
        <scheme val="minor"/>
      </rPr>
      <t xml:space="preserve"> for border finish in all floors for elevation purposes, including scaffolding, curing, finishing etc., all complete.</t>
    </r>
  </si>
  <si>
    <r>
      <t>Painting Primer coat using  approved quality of white cement over the   cement plastered / concrete wall</t>
    </r>
    <r>
      <rPr>
        <sz val="14"/>
        <rFont val="Calibri"/>
        <family val="2"/>
        <scheme val="minor"/>
      </rPr>
      <t xml:space="preserve"> surfaces, ceiling or other similar works including cost of cement paints, putty, brushers, watering, curing etc., all complete and as directed by the departmental officers. (Paints  and its shade shall be got approved from the Executive Engineer before using)</t>
    </r>
  </si>
  <si>
    <r>
      <rPr>
        <b/>
        <sz val="14"/>
        <rFont val="Calibri"/>
        <family val="2"/>
        <scheme val="minor"/>
      </rPr>
      <t xml:space="preserve">Painting two coats with ready mixed Plastic Emulsion paint of first class quality </t>
    </r>
    <r>
      <rPr>
        <sz val="14"/>
        <rFont val="Calibri"/>
        <family val="2"/>
        <scheme val="minor"/>
      </rPr>
      <t>paint of approved colour and shade over a priming coat on cement plastered / concrete wall surfaces or other similar works, including cost of necessary brushes, labour charges, patty etc., complying with relevant standard specification. The paint should be supplied by the contractors at his own cost. (The quality and shade of the paint should be got approved by the Executive engineer before use.)</t>
    </r>
  </si>
  <si>
    <r>
      <t>Supplying and fixing of 110mm dia PVC SWR pipe</t>
    </r>
    <r>
      <rPr>
        <sz val="14"/>
        <rFont val="Calibri"/>
        <family val="2"/>
        <scheme val="minor"/>
      </rPr>
      <t xml:space="preserve"> with ISI mark confirming to IS 13952:1992 Type 'A' for Rainwater Down fall pipe with relevant specials such as gratings, shoes, bends, offsets confirming to IS 14735 including jointing with seal ring confirming to IS 5382 with leaving a gap about 10mm to allow thermal expansion with necessary clamps, teak wood plugs etc., of approved quality and including fixing CI gratings at the junction of parapet and floor or roof slab etc., including finishing etc., complete complying with relevant standard specifications.</t>
    </r>
  </si>
  <si>
    <r>
      <rPr>
        <b/>
        <sz val="14"/>
        <rFont val="Calibri"/>
        <family val="2"/>
        <scheme val="minor"/>
      </rPr>
      <t>Supplying, laying, fixing and jointing the following PVC pipes</t>
    </r>
    <r>
      <rPr>
        <sz val="14"/>
        <rFont val="Calibri"/>
        <family val="2"/>
        <scheme val="minor"/>
      </rPr>
      <t xml:space="preserve"> as per ASTMD-1785 of schedule 40 of wall thickness not less than specified in IS 4985 suitable for plumbing by threading of wall thickness including the cost of suitable PVC/GI specials/GM specials like elbow, Tee, reducers, plug, union, bend, coupler, nipple/GM gate vavle check and wheel valve etc., wherever required above the ground level including the cost of teflon tape, special clamps, nails, etc., fixing on wall to the proper gradient and alignment and redoing the chipped of masonry etc., as directed by the departmental officers.</t>
    </r>
  </si>
  <si>
    <r>
      <rPr>
        <b/>
        <sz val="14"/>
        <rFont val="Calibri"/>
        <family val="2"/>
        <scheme val="minor"/>
      </rPr>
      <t>Supplying and fixing of porcelain Wash hand basin</t>
    </r>
    <r>
      <rPr>
        <sz val="14"/>
        <rFont val="Calibri"/>
        <family val="2"/>
        <scheme val="minor"/>
      </rPr>
      <t xml:space="preserve"> (white without pedastal) superior variety of size 550x400mm with all accessories such as poweder coated cast iron brackets, 32mm dia CP waste coupling, rubber plug and aluminium chain, 32mmdia 'B' classGI waste pipe, angle valve, 15mm dia Nylon connection, 15mm dia brass nipples, 15mm CP pillar tap and required grating etc., complete in all respects (wash hand basin shall be got approved by the Executive Engineer before fixing)</t>
    </r>
  </si>
  <si>
    <r>
      <rPr>
        <b/>
        <sz val="14"/>
        <rFont val="Calibri"/>
        <family val="2"/>
        <scheme val="minor"/>
      </rPr>
      <t>Supplying and fixing of half turn C.P Short body Tap of 15mm dia</t>
    </r>
    <r>
      <rPr>
        <sz val="14"/>
        <rFont val="Calibri"/>
        <family val="2"/>
        <scheme val="minor"/>
      </rPr>
      <t xml:space="preserve"> of best quality including cost of half turn  CP tap with required specials, and labour for fixing etc, all complete and as directed by the departmental officers., (The quality and brand should be got approved from Executive Engineer before use).</t>
    </r>
  </si>
  <si>
    <r>
      <rPr>
        <b/>
        <sz val="14"/>
        <rFont val="Calibri"/>
        <family val="2"/>
        <scheme val="minor"/>
      </rPr>
      <t>Supplying and fixing EWC white</t>
    </r>
    <r>
      <rPr>
        <sz val="14"/>
        <rFont val="Calibri"/>
        <family val="2"/>
        <scheme val="minor"/>
      </rPr>
      <t xml:space="preserve"> superior variety 500mm including cost and fixing of double flapped coloured plastic sheet cover PVC flusing cistern in appropriate level as directed by the departmental offcers at a maximum level of 5'6" and of approved brand of 10 litres capacity including fittings such as CI brackers.  PVC connection GM wheel valve, Hex Nipple, etc., complete (EWC and plastic cover shall be got approved from the Executive Engineer before fixing)</t>
    </r>
  </si>
  <si>
    <r>
      <rPr>
        <b/>
        <sz val="14"/>
        <rFont val="Calibri"/>
        <family val="2"/>
        <scheme val="minor"/>
      </rPr>
      <t xml:space="preserve">Supplying and fixing the following dia PVC (SWR) pipe </t>
    </r>
    <r>
      <rPr>
        <sz val="14"/>
        <rFont val="Calibri"/>
        <family val="2"/>
        <scheme val="minor"/>
      </rPr>
      <t>with ISI mark confirming to IS 13952:1992 type 'B' for soil line with relevant jointing with seal ring confirming to IS 5382 with leaving a gap about 10mm to allow thermal expansion, fixing the pipes into walls with necessary wooden plug, screws, holding wherever necessary and making good of the dismantled portiong with necessary connections to sanitary fittings etc., complete in all respects and as directed by the departmental officers.</t>
    </r>
  </si>
  <si>
    <r>
      <rPr>
        <b/>
        <sz val="14"/>
        <color indexed="8"/>
        <rFont val="Calibri"/>
        <family val="2"/>
        <scheme val="minor"/>
      </rPr>
      <t xml:space="preserve">Supplying and fixing of PVC Nahani Trap </t>
    </r>
    <r>
      <rPr>
        <sz val="14"/>
        <color indexed="8"/>
        <rFont val="Calibri"/>
        <family val="2"/>
        <scheme val="minor"/>
      </rPr>
      <t>not less than 75mm 4 way/ 2ay (superior variety) having minimum of water seal of 50mm confirm to relevant IS specifications with its latest amendments including resting on the bed of brick jelly concrete 1:5:10 (one of cement, five of sand and ten of 40mm gauge brick jelly) etc., complete as directed by the departmental officers. (The PVC Nahani Trap should be got approved from the EE before use)</t>
    </r>
  </si>
  <si>
    <r>
      <t xml:space="preserve">Supplying, laying and jointing the following dia UPVC Non Pressure pipes </t>
    </r>
    <r>
      <rPr>
        <sz val="14"/>
        <rFont val="Calibri"/>
        <family val="2"/>
        <scheme val="minor"/>
      </rPr>
      <t>of SN8 SDR 34 (S 16.5)as per IS 15328/2003 superior variety and tested with eater, including necessary earth work excavation for trenches and refilling the same, well remmed and consolidated after the pipes are jointed and laid to the aligment as directed by the departmental officers.(SN8 SDR 34(S 16.5), as per IS 15328/2003, should be got approved by the EE/SE/CE before use in works)</t>
    </r>
  </si>
  <si>
    <r>
      <rPr>
        <b/>
        <sz val="14"/>
        <rFont val="Calibri"/>
        <family val="2"/>
        <scheme val="minor"/>
      </rPr>
      <t>Wiring with 1.5 sqmm PVC insulated single core multi strand fire retardant flexible copper cable</t>
    </r>
    <r>
      <rPr>
        <sz val="14"/>
        <rFont val="Calibri"/>
        <family val="2"/>
        <scheme val="minor"/>
      </rPr>
      <t xml:space="preserve"> with ISI mark confirming to ISI 694/1990, 1.1 KV grade cable with continuous earth by means of 1.5 sqmm PVC insulated single core multi strand fire retardant flexible copper cable with ISI mark confirming to IS:694/1990, 1.1 KV grade cable in fully concealed PVC rigid conduit pipe heavy duty with ISI mark with suitable size MS box of 16g thick concealed and covered with 3mm hylem sheet controlled by 5 amps flush type switch including circuit mains cost of all materials, specials etc., all complete</t>
    </r>
  </si>
  <si>
    <r>
      <t>Wiring with 1.5 sqmm PVC insulated single core multi strand fire retardant  flexible copper cable</t>
    </r>
    <r>
      <rPr>
        <sz val="14"/>
        <rFont val="Calibri"/>
        <family val="2"/>
        <scheme val="minor"/>
      </rPr>
      <t xml:space="preserve"> with ISI mark confirming to ISI 694/1990, 1.1 KV grade cable with continuous earth by means of 1.5 sqmm PVC insulated single core multi strand fire retardant flexible copper cable with ISI mark confirming to IS:694/1990, 1.1 KV grade cable in fully concealed PVC rigid conduit pipe heavy duty with ISI mark with suitable size MS box of 16g thick concealed and covered with 3mm thick hylem sheet for</t>
    </r>
    <r>
      <rPr>
        <b/>
        <sz val="14"/>
        <rFont val="Calibri"/>
        <family val="2"/>
        <scheme val="minor"/>
      </rPr>
      <t xml:space="preserve"> 5 amps 5 pin plug socket point at switch board itself </t>
    </r>
    <r>
      <rPr>
        <sz val="14"/>
        <rFont val="Calibri"/>
        <family val="2"/>
        <scheme val="minor"/>
      </rPr>
      <t xml:space="preserve"> including circuit mains cost of all materials, specials etc., all complete</t>
    </r>
  </si>
  <si>
    <r>
      <rPr>
        <b/>
        <sz val="14"/>
        <rFont val="Calibri"/>
        <family val="2"/>
        <scheme val="minor"/>
      </rPr>
      <t xml:space="preserve">Wiring with 1.5 sqmm PVC insulated single core multi strand fire retardant  flexible copper cable </t>
    </r>
    <r>
      <rPr>
        <sz val="14"/>
        <rFont val="Calibri"/>
        <family val="2"/>
        <scheme val="minor"/>
      </rPr>
      <t xml:space="preserve">with ISI mark confirming to ISI 694/1990, 1.1 KV grade cable with continuous earth by means of 1.5 sqmm PVC insulated single core multi strand fire retardant flexible copper cable with ISI mark confirming to IS:694/1990, 1.1 KV grade cable in fully concealed PVC rigid conduit pipe heavy duty with ISI mark with suitable size MS box of 16g thick concealed and covered with 3mm thick hylem sheet for </t>
    </r>
    <r>
      <rPr>
        <b/>
        <sz val="14"/>
        <rFont val="Calibri"/>
        <family val="2"/>
        <scheme val="minor"/>
      </rPr>
      <t xml:space="preserve">5 amps 5 pin plug socket point at convenient places  </t>
    </r>
    <r>
      <rPr>
        <sz val="14"/>
        <rFont val="Calibri"/>
        <family val="2"/>
        <scheme val="minor"/>
      </rPr>
      <t>including circuit mains cost of all materials, specials etc., all complete</t>
    </r>
  </si>
  <si>
    <r>
      <t xml:space="preserve">Supplying and fixing </t>
    </r>
    <r>
      <rPr>
        <b/>
        <sz val="14"/>
        <rFont val="Calibri"/>
        <family val="2"/>
        <scheme val="minor"/>
      </rPr>
      <t>15 amps 3 pin plug type socket</t>
    </r>
    <r>
      <rPr>
        <sz val="14"/>
        <rFont val="Calibri"/>
        <family val="2"/>
        <scheme val="minor"/>
      </rPr>
      <t xml:space="preserve"> on a suitable MS box 16g thick concealed and covered with 3mm thick laminated hylem sheet inclusive of all connections and cost of all materials.</t>
    </r>
  </si>
  <si>
    <r>
      <t xml:space="preserve">Supply and delivery of following Electric Ceiling fan </t>
    </r>
    <r>
      <rPr>
        <sz val="14"/>
        <color indexed="8"/>
        <rFont val="Calibri"/>
        <family val="2"/>
        <scheme val="minor"/>
      </rPr>
      <t>with ISI mark with blades and double ball bearing, capacitor, etc., complete with 300mm down rod, canopies, capacitor, shackle blades with electronic dimmer regulator suitable for operation on 230 volts 50 HTZ single phase AC supply conforming to ISS No.374/79 and provided with insulation . (The brand should be got approved from the Executive Engineer before supply made).</t>
    </r>
  </si>
  <si>
    <r>
      <t>Run off main with 2 wires of 2.5 Sqmm PVC insulated</t>
    </r>
    <r>
      <rPr>
        <sz val="14"/>
        <rFont val="Calibri"/>
        <family val="2"/>
        <scheme val="minor"/>
      </rPr>
      <t xml:space="preserve"> single core multi strand fire retardant flexible copper cable with ISI mark conforming to IS: 694/1990, 1.1 KV grade cable with continuous earth by means of 1.5 sqmm PVC insulated single core multi strand fire retardant flexible copper cablewith ISI mark conforming to IS: 694/1990, 1.1 KV grade cable in fully concealed 19/20mm dia rigid PVC conduit pipe with ISI mark etc. including cost of all materials, specials etc. all complete and as directed by the departmental officers.</t>
    </r>
  </si>
  <si>
    <r>
      <t xml:space="preserve">Supplying and fixing of  9W LED lamp for bath and WC and other rooms </t>
    </r>
    <r>
      <rPr>
        <sz val="14"/>
        <rFont val="Calibri"/>
        <family val="2"/>
        <scheme val="minor"/>
      </rPr>
      <t>including necessary connections, cost of materials etc., all complete.</t>
    </r>
  </si>
  <si>
    <r>
      <t xml:space="preserve">Supply, assembling and fixing of 18 watts LED tube light </t>
    </r>
    <r>
      <rPr>
        <sz val="14"/>
        <rFont val="Calibri"/>
        <family val="2"/>
        <scheme val="minor"/>
      </rPr>
      <t xml:space="preserve">with fitting of four feet long and fixing the tube light fitting on teak wood round blocks of 75mm dia 40mm deep suspended from ceiling or mounted on the wall including cost of all materials and labour for fixing in position and as directed by the departmental officers. (The entire fittings should be got approved from the Executive Engineer before use) </t>
    </r>
  </si>
  <si>
    <r>
      <t xml:space="preserve">Supplying and fixing of 225 mm dia sweep </t>
    </r>
    <r>
      <rPr>
        <sz val="14"/>
        <color indexed="8"/>
        <rFont val="Calibri"/>
        <family val="2"/>
        <scheme val="minor"/>
      </rPr>
      <t>AC exhaust fan of approved ISI Quality including necessary wall opening, fixing and finishing the wall opening and making good including cost of materials, labour for fixing, chipping and redoing necessary inter connection, scaffolding, hire charges for tools and plants etc., all complete and as directed by the departmental Officers</t>
    </r>
  </si>
  <si>
    <r>
      <t xml:space="preserve">Providing wooden (Melamine Door) Polish for new wood </t>
    </r>
    <r>
      <rPr>
        <sz val="14"/>
        <rFont val="Calibri"/>
        <family val="2"/>
        <scheme val="minor"/>
      </rPr>
      <t>by removing by blade scrapping the exisiting dirt from the wooden surface using sand paper with M50 and repeat M80 paper to get a smooth surface leaves atleast 4hrs drying sand paper and prepare surface by M100 and clear the surface apply one coat of touch wood stainer by brush and leaves for two hrs. for drying prepare the surface by M100 sand paper and apply one coat of ash sanding sealer mixed with approved quality thinner after drying apply one coat of sanding sealer and attend the surface to get thoroughly dried smoother surface with no.220 water emery wood cleaner fill the holes and dots by putty and packing to get the surface clean apply surface by wax emery no.220 apply first coat of melamine sealer with the thinner for preparing the surface and apply second coat of the same by dry aftering drying preparing the surface with water emery no.330 and apply two coats of melamine matt mixed with glazing and thinner 106 prepar the surface water no.320 and apply two coats of same and finally smoother etc., all complete including cost of all materials and labour etc., and as directed by the departmental officers ( The quality and shade of the polish should be got approved from the EE before use ).</t>
    </r>
  </si>
  <si>
    <r>
      <t xml:space="preserve">Supply &amp; Fixing of </t>
    </r>
    <r>
      <rPr>
        <b/>
        <sz val="14"/>
        <rFont val="Calibri"/>
        <family val="2"/>
        <scheme val="minor"/>
      </rPr>
      <t>Bevelled edge mirror</t>
    </r>
    <r>
      <rPr>
        <sz val="14"/>
        <rFont val="Calibri"/>
        <family val="2"/>
        <scheme val="minor"/>
      </rPr>
      <t xml:space="preserve"> of approved quality and brand of size 500 x 400 x 5.5mm  shelf type mounted in the PVC / Fibre Glass framed with necessary hard board backing including labour for fixing in position etc., complete and as directed by the departmental officers</t>
    </r>
  </si>
  <si>
    <r>
      <t xml:space="preserve">Supply &amp; fixing of Ivory colour vitrified Tiles </t>
    </r>
    <r>
      <rPr>
        <sz val="14"/>
        <rFont val="Calibri"/>
        <family val="2"/>
        <scheme val="minor"/>
      </rPr>
      <t xml:space="preserve">of size 59.5x59.5x10mm for florring and other similar works in cement mortar 1:3 (one of cement and theree of sand) 20mm thick including fixing in position, cutting the tiles to the required size wherever necessary pointing the joints with grout (Tile joint filler), curing, finishing etc., all completed and as directed by the departmental iffucers.(The brand quality of toles should be gotapproved from the EE before use.)  </t>
    </r>
  </si>
  <si>
    <r>
      <rPr>
        <b/>
        <sz val="14"/>
        <rFont val="Calibri"/>
        <family val="2"/>
        <scheme val="minor"/>
      </rPr>
      <t>Supplying and laying of concrete tiles superior  variety such as (Eurocon tiles</t>
    </r>
    <r>
      <rPr>
        <sz val="14"/>
        <rFont val="Calibri"/>
        <family val="2"/>
        <scheme val="minor"/>
      </rPr>
      <t>) for staircase steps finishing in CM 1:3 ( one of cement and three of sand) 20mm thick, including fixing in position, cutting the tiles to the required size wherever necessary, pointing the joints with colour cement finishing, curing etc., completed and as directed by the departmental officers.</t>
    </r>
  </si>
  <si>
    <r>
      <t>Painting the new walls with TWO COATS OF OIL BOUND DISTEMPER</t>
    </r>
    <r>
      <rPr>
        <sz val="14"/>
        <rFont val="Calibri"/>
        <family val="2"/>
        <scheme val="minor"/>
      </rPr>
      <t xml:space="preserve"> over the primer coat of white cement of approved brand over cement plastered wall surfaces including cost of paints, putty, brushes, watering, curing, etc., all complete as directed by the departmental officers (paints and its shade shall be got approved from the Executive Engineer before use).</t>
    </r>
  </si>
  <si>
    <r>
      <t xml:space="preserve">Supplying and fixing Monolithic RCC door frames </t>
    </r>
    <r>
      <rPr>
        <sz val="14"/>
        <rFont val="Calibri"/>
        <family val="2"/>
        <scheme val="minor"/>
      </rPr>
      <t>of size 100x75mm with one edge grooves size 't'x20mm ('t' represents the shutter thickness) in reinforced cement concrete 1:1 1/2:3 (one of cement, one and half ofsand three of hard broken stone jelly) using 20mm hard broken stone jelly including cost of steel and fabrication of reinforcement grills with 3 nos.of 6mm MS rod alround and 3mm steel stirrups at 30cm centre to centre including fixing of 3 nos of iron bracket of size 100x100x5mm or 3 nos of teak wood plug for receiving hinges and 2 nos of teak wood plug receiving the tower bolts including fixing of 6 nos of hold fasts and cost and fixing of check nuts and aluminium sleeves and 2 nos iron oxide tower bolts receiver all as per drawings, including moulding in steel mould and casting witth smooth surfaces and fine edges, curing, transporting etc., all complete as directed by the departmental officers.</t>
    </r>
  </si>
  <si>
    <r>
      <t>Precast cement concrete Jolly ventilator in</t>
    </r>
    <r>
      <rPr>
        <sz val="14"/>
        <rFont val="Calibri"/>
        <family val="2"/>
        <scheme val="minor"/>
      </rPr>
      <t xml:space="preserve"> cement concrete 1:2:4 (One of cement, two of sand, and four of hard broken stone jelly) using 20mm gauge hard broken stone jelly for the following thickness excluding the cost and fabrication of reinforcement grills but including precasting, moulding, curing, finrshing and fixing in position complying with relevant standard specifications etc., complete in the following floors.
</t>
    </r>
    <r>
      <rPr>
        <b/>
        <sz val="14"/>
        <rFont val="Calibri"/>
        <family val="2"/>
        <scheme val="minor"/>
      </rPr>
      <t>In Ground floor</t>
    </r>
  </si>
  <si>
    <t>C1F1 size footing</t>
  </si>
  <si>
    <t>C2F2 size footing</t>
  </si>
  <si>
    <t>Add Sundrise</t>
  </si>
  <si>
    <t>Column Footing</t>
  </si>
  <si>
    <t>For C1 F1 Footing</t>
  </si>
  <si>
    <t>For C2 F2 Footing</t>
  </si>
  <si>
    <t>Column raising up to basement</t>
  </si>
  <si>
    <t>Grade beam</t>
  </si>
  <si>
    <t>Front Dining outer Beams GB - 1</t>
  </si>
  <si>
    <t>Outer Beams &amp; Cross Beam GB - 1</t>
  </si>
  <si>
    <t>Add sundries</t>
  </si>
  <si>
    <t>Entrance Lobby</t>
  </si>
  <si>
    <t>Ladies Toilet W/b area</t>
  </si>
  <si>
    <t>Gents Toilet W/b area</t>
  </si>
  <si>
    <t>Brick work in cm 1:5 (One of cement and five of sand) using chamber burnt bricks of size 9”x4½”x3” (23x11.4x7.5 cm) in foundation and basement including dewatering wherever necessary proper setting, curing etc., complete with relevant standard specifications.</t>
  </si>
  <si>
    <t>Basement brickwork</t>
  </si>
  <si>
    <t>Front Steps</t>
  </si>
  <si>
    <t>1st step</t>
  </si>
  <si>
    <t>2nd step</t>
  </si>
  <si>
    <t>3rd step</t>
  </si>
  <si>
    <t>Inspection chamber</t>
  </si>
  <si>
    <t>a) InFoundation &amp; Basement</t>
  </si>
  <si>
    <t>Sill slab for Windows</t>
  </si>
  <si>
    <t>Window W</t>
  </si>
  <si>
    <t>Window W1</t>
  </si>
  <si>
    <t>Lintel</t>
  </si>
  <si>
    <t>Sunshade W</t>
  </si>
  <si>
    <t>Sunshade W1</t>
  </si>
  <si>
    <t>Entrance Verandah</t>
  </si>
  <si>
    <t>Cantilever Slab</t>
  </si>
  <si>
    <t>Ladies Toilet</t>
  </si>
  <si>
    <r>
      <t>Brick work in Cement Mortar 1:6</t>
    </r>
    <r>
      <rPr>
        <sz val="14"/>
        <rFont val="Calibri"/>
        <family val="2"/>
        <scheme val="minor"/>
      </rPr>
      <t xml:space="preserve"> (One of cement and six of m. sand) using chamber burnt bricks of size 9”x4½”x3” (23x11.4x7.5 cm) for super structure in the following floors including labour for fixing the doors, windows and ventilator frames in position, fixing of hold fasts, scaffoldings, curing etc., complete in all respect complying with relevant standard specifications and drawings</t>
    </r>
  </si>
  <si>
    <t>Say</t>
  </si>
  <si>
    <t>Cum</t>
  </si>
  <si>
    <t>Add sundrise</t>
  </si>
  <si>
    <t>Pigeon Wall</t>
  </si>
  <si>
    <t>Inspection Chamber</t>
  </si>
  <si>
    <t>Footing allround</t>
  </si>
  <si>
    <t>Gents &amp; Toilet Wash area                     (0.90 x 2.10m)</t>
  </si>
  <si>
    <t>Ground floor</t>
  </si>
  <si>
    <t>Gents Toilet</t>
  </si>
  <si>
    <t>Cantaliver Slab</t>
  </si>
  <si>
    <t>Sunshade Window Bottom</t>
  </si>
  <si>
    <t>Dining Hall</t>
  </si>
  <si>
    <t>Inner Plastering</t>
  </si>
  <si>
    <t>Sqm</t>
  </si>
  <si>
    <t>Outer Plastering</t>
  </si>
  <si>
    <t>D/F Window</t>
  </si>
  <si>
    <t>D/F Window W1</t>
  </si>
  <si>
    <t>Gents Toilet &amp; Ladies Toilet</t>
  </si>
  <si>
    <t>D/f  TD</t>
  </si>
  <si>
    <t>Urinal &amp; Wash Basin area</t>
  </si>
  <si>
    <t>Toilet</t>
  </si>
  <si>
    <t>Dining</t>
  </si>
  <si>
    <t>Skerting</t>
  </si>
  <si>
    <t>Entrance  Step</t>
  </si>
  <si>
    <t>x</t>
  </si>
  <si>
    <t>Precast slab 40mm thick</t>
  </si>
  <si>
    <t>Inspecton Chamber</t>
  </si>
  <si>
    <t>Foundation and Basement</t>
  </si>
  <si>
    <t>Ground Floor</t>
  </si>
  <si>
    <t xml:space="preserve">Say </t>
  </si>
  <si>
    <t>W1 ( 1.05 x 1.35)</t>
  </si>
  <si>
    <t>In Ground Floor</t>
  </si>
  <si>
    <t>b) Light Point without Ceiling rose</t>
  </si>
  <si>
    <r>
      <t>Wiring with 1.5 sqmm PVC insulated single core multi strand fire retardant flexible copper cable with ISI mark confirming to IS: 694/1990,1.1.k.v. grade cable with continuous earth by means of 1.5 sqmm PVC insulated single core multi strand fire retardant flexible copper cable with ISI mark confirming to IS: 694/1990,  1.1.k.v. grade cable in</t>
    </r>
    <r>
      <rPr>
        <sz val="10"/>
        <rFont val="Calibri"/>
        <family val="2"/>
        <scheme val="minor"/>
      </rPr>
      <t xml:space="preserve"> </t>
    </r>
    <r>
      <rPr>
        <sz val="14"/>
        <rFont val="Calibri"/>
        <family val="2"/>
        <scheme val="minor"/>
      </rPr>
      <t>fully concealed PVC rigid conduit pipe heavy duty with ISI mark with suitable size MS box of 16g thick concealed and covered with 3mm thick laminated hylem sheet for Fan point controlled by 5 amps flush type switch including circuit mains cost of all materials, specials, etc., all complete</t>
    </r>
  </si>
  <si>
    <t>Near Building</t>
  </si>
  <si>
    <t>Supply and fixing of 4 way Single Phase DB of 32 A /way with 32 Amps. DP Switch with metal clad of 500 V (Side Handle) with F &amp; N on suitable angle iron framework with trunking box, MS cable entry box with PWD earthing</t>
  </si>
  <si>
    <r>
      <t>Run off main with 2 wires of 4 Sqmm PVC insulated</t>
    </r>
    <r>
      <rPr>
        <sz val="14"/>
        <rFont val="Calibri"/>
        <family val="2"/>
        <scheme val="minor"/>
      </rPr>
      <t xml:space="preserve"> single core multi strand fire retardant flexible copper cable with ISI mark conforming to IS: 694/1990, 1.1 KV grade cable with continuous earth by means of 1.5 sqmm PVC insulated single core multi strand fire retardant flexible copper cablewith ISI mark conforming to IS: 694/1990, 1.1 KV grade cable in fully concealed 19/20mm dia rigid PVC conduit pipe with ISI mark etc. including cost of all materials, specials etc. all complete and as directed by the departmental officers.</t>
    </r>
  </si>
  <si>
    <t>Main to DB</t>
  </si>
  <si>
    <t>Mens Toilet</t>
  </si>
  <si>
    <t>Womens Toilet</t>
  </si>
  <si>
    <r>
      <rPr>
        <b/>
        <sz val="14"/>
        <rFont val="Calibri"/>
        <family val="2"/>
        <scheme val="minor"/>
      </rPr>
      <t>Supplying and fixing of half turn C.P Long body Tap of 15mm dia</t>
    </r>
    <r>
      <rPr>
        <sz val="14"/>
        <rFont val="Calibri"/>
        <family val="2"/>
        <scheme val="minor"/>
      </rPr>
      <t xml:space="preserve"> of best quality including cost of half turn  CP tap with required specials, and labour for fixing etc, all complete and as directed by the departmental officers., (The quality and brand should be got approved from Executive Engineer before use).</t>
    </r>
  </si>
  <si>
    <t>Toilet to I/c to I/c  mm dia</t>
  </si>
  <si>
    <t>Plinth Protection</t>
  </si>
  <si>
    <t>DETAILED ESTIMATE</t>
  </si>
  <si>
    <t xml:space="preserve">Description of work </t>
  </si>
  <si>
    <t xml:space="preserve">Measurement in Mtrs </t>
  </si>
  <si>
    <t>Earth work excavation in Soft disintegrated rock  (including refilling)</t>
  </si>
  <si>
    <t>a.) 0 to 2 mt.</t>
  </si>
  <si>
    <t>For Plinth Protection alround building</t>
  </si>
  <si>
    <t>Filling sand</t>
  </si>
  <si>
    <t xml:space="preserve">For Plinth Protection alround building  </t>
  </si>
  <si>
    <r>
      <rPr>
        <b/>
        <sz val="14"/>
        <rFont val="Calibri"/>
        <family val="2"/>
      </rPr>
      <t>C.C.1:5:10</t>
    </r>
    <r>
      <rPr>
        <sz val="14"/>
        <rFont val="Calibri"/>
        <family val="2"/>
      </rPr>
      <t xml:space="preserve"> for Foundation &amp; Basement using 40 mm HBG metal</t>
    </r>
  </si>
  <si>
    <r>
      <t xml:space="preserve">Brick partition work in C.M. 1:4 </t>
    </r>
    <r>
      <rPr>
        <sz val="14"/>
        <rFont val="Calibri"/>
        <family val="2"/>
      </rPr>
      <t xml:space="preserve">Chamber Burnt Bricks of size 23 x 11.4 x 7.5 cm (9" x 4 1/2" x 3") </t>
    </r>
    <r>
      <rPr>
        <b/>
        <sz val="14"/>
        <rFont val="Calibri"/>
        <family val="2"/>
      </rPr>
      <t>114 mm tk (B.P.)</t>
    </r>
  </si>
  <si>
    <t xml:space="preserve">For Plinth Protection alround building </t>
  </si>
  <si>
    <t xml:space="preserve">Plastering in CM 1:5, 12mm tk </t>
  </si>
  <si>
    <t>Outer portion of the wall alr</t>
  </si>
  <si>
    <r>
      <rPr>
        <b/>
        <sz val="14"/>
        <rFont val="Calibri"/>
        <family val="2"/>
      </rPr>
      <t>Precast slab 50 mm tk</t>
    </r>
    <r>
      <rPr>
        <sz val="14"/>
        <rFont val="Calibri"/>
        <family val="2"/>
      </rPr>
      <t>. in C.C. 1:3:6 with fibre</t>
    </r>
  </si>
  <si>
    <r>
      <rPr>
        <b/>
        <sz val="14"/>
        <rFont val="Calibri"/>
        <family val="2"/>
      </rPr>
      <t>B.W in C.M 1:5</t>
    </r>
    <r>
      <rPr>
        <sz val="14"/>
        <rFont val="Calibri"/>
        <family val="2"/>
      </rPr>
      <t xml:space="preserve"> using country bricks in F &amp; B </t>
    </r>
  </si>
  <si>
    <t>Pillar</t>
  </si>
  <si>
    <t>ABSTRACT</t>
  </si>
  <si>
    <t>Sl. No.</t>
  </si>
  <si>
    <t>Qty.</t>
  </si>
  <si>
    <t>Description</t>
  </si>
  <si>
    <t>Rate</t>
  </si>
  <si>
    <t>Unit</t>
  </si>
  <si>
    <t>Amount</t>
  </si>
  <si>
    <t>Total Rs.</t>
  </si>
  <si>
    <t>Main Estimate</t>
  </si>
  <si>
    <t>Total Qty.
(Buildg.+ Dev.)</t>
  </si>
  <si>
    <r>
      <t xml:space="preserve">Earth work excavation in all soils </t>
    </r>
    <r>
      <rPr>
        <b/>
        <sz val="18"/>
        <rFont val="Calibri"/>
        <family val="2"/>
      </rPr>
      <t>(including refilling)</t>
    </r>
  </si>
  <si>
    <t>*</t>
  </si>
  <si>
    <t>a. 0 to 2 mt.</t>
  </si>
  <si>
    <t>Cum.</t>
  </si>
  <si>
    <t>C.C.1:5:10 for Foundation &amp; Basement</t>
  </si>
  <si>
    <t>Sqm.</t>
  </si>
  <si>
    <r>
      <t>Brick work in C.M. 1:5 (F&amp; B)</t>
    </r>
    <r>
      <rPr>
        <sz val="18"/>
        <rFont val="Calibri"/>
        <family val="2"/>
      </rPr>
      <t xml:space="preserve"> using chamber Burnt bricks of size 23 x 11.4 x 7.5 cm (9" x 4 1/2"x 3")</t>
    </r>
  </si>
  <si>
    <t>a. In Ground floor</t>
  </si>
  <si>
    <t>a. In Ground Floor</t>
  </si>
  <si>
    <t>b. In First Floor</t>
  </si>
  <si>
    <r>
      <t>Brick work in C.M. 1:6</t>
    </r>
    <r>
      <rPr>
        <sz val="18"/>
        <rFont val="Calibri"/>
        <family val="2"/>
      </rPr>
      <t xml:space="preserve"> using chamber Burnt bricks of size 23 x 11.4 x 7.5 cm (9" x 4 1/2"x 3")</t>
    </r>
  </si>
  <si>
    <t>a. In Ground Floor/Stilt floor</t>
  </si>
  <si>
    <t>a. In Foundation and basement</t>
  </si>
  <si>
    <t>c. In First Floor</t>
  </si>
  <si>
    <r>
      <t xml:space="preserve">Brick partition work in C.M. 1:4 </t>
    </r>
    <r>
      <rPr>
        <sz val="18"/>
        <rFont val="Calibri"/>
        <family val="2"/>
      </rPr>
      <t xml:space="preserve">using chamber Burnt bricks of size 23 x 11.4 x 7.5 cm (9" x 4 1/2"x 3") </t>
    </r>
    <r>
      <rPr>
        <b/>
        <sz val="18"/>
        <rFont val="Calibri"/>
        <family val="2"/>
      </rPr>
      <t>114 mm tk (B.P.)</t>
    </r>
  </si>
  <si>
    <t>b. In Ground Floor/stilt floor</t>
  </si>
  <si>
    <r>
      <t xml:space="preserve">Brick work in C.M. 1:4 </t>
    </r>
    <r>
      <rPr>
        <sz val="18"/>
        <rFont val="Calibri"/>
        <family val="2"/>
      </rPr>
      <t xml:space="preserve">using chamber Burnt bricks of size 23 x 11.4 x 7.5 cm (9" x 4 1/2"x 3") </t>
    </r>
    <r>
      <rPr>
        <b/>
        <sz val="18"/>
        <rFont val="Calibri"/>
        <family val="2"/>
      </rPr>
      <t>75 mm tk (B.P.)</t>
    </r>
  </si>
  <si>
    <t>Filling with Excavated Earth</t>
  </si>
  <si>
    <t>14.I</t>
  </si>
  <si>
    <t>14.II</t>
  </si>
  <si>
    <t>Precast cupboard slab 40 mm tk.</t>
  </si>
  <si>
    <t>a. In Foundation &amp; basement</t>
  </si>
  <si>
    <t>Cuddappa slab 20 mm tk.</t>
  </si>
  <si>
    <r>
      <t xml:space="preserve">Precast </t>
    </r>
    <r>
      <rPr>
        <b/>
        <sz val="18"/>
        <rFont val="Calibri"/>
        <family val="2"/>
      </rPr>
      <t>Jally ventilator 50mm tk.</t>
    </r>
  </si>
  <si>
    <t>R.C.C.Door frame</t>
  </si>
  <si>
    <t>a. 900 x 2100 mm</t>
  </si>
  <si>
    <t>Each</t>
  </si>
  <si>
    <t>Teak wood Wrought &amp; Put up</t>
  </si>
  <si>
    <t>a. T.W. over 2 m &amp; below 3 m</t>
  </si>
  <si>
    <t>b. T.W. below 2 m length.</t>
  </si>
  <si>
    <t>S&amp;F of Magnetic door catches</t>
  </si>
  <si>
    <t>Manufacturing &amp; supply of steel windows (Weight basis)</t>
  </si>
  <si>
    <t>Kg.</t>
  </si>
  <si>
    <t>M.S.Holdfast</t>
  </si>
  <si>
    <t>Flooring in C.C.1:5:10</t>
  </si>
  <si>
    <r>
      <t>Floor plastering</t>
    </r>
    <r>
      <rPr>
        <sz val="18"/>
        <rFont val="Calibri"/>
        <family val="2"/>
      </rPr>
      <t xml:space="preserve"> in C.M. 1:4, 20 mm tk.</t>
    </r>
  </si>
  <si>
    <t>Glazed tiles</t>
  </si>
  <si>
    <t>Floor ceramic tiles (Anti-skid)</t>
  </si>
  <si>
    <t>Ellispattern</t>
  </si>
  <si>
    <t>Plastering in C.M. 1:5, 12 mm tk.</t>
  </si>
  <si>
    <t>Plastering in C.M. 1:4, 12 mm tk.</t>
  </si>
  <si>
    <t>Spl. Ceiling plastering in C.M. 1:3,
 10 mm tk.</t>
  </si>
  <si>
    <t>Cement mortar Border in  C.M. 1:5, 12 mm tk.</t>
  </si>
  <si>
    <t>a. 150 mm wide</t>
  </si>
  <si>
    <t>b. 75 mm wide</t>
  </si>
  <si>
    <r>
      <t>White washing 3 coats</t>
    </r>
    <r>
      <rPr>
        <b/>
        <sz val="18"/>
        <rFont val="Calibri"/>
        <family val="2"/>
      </rPr>
      <t xml:space="preserve">  (slaked)</t>
    </r>
  </si>
  <si>
    <t>Matt paint</t>
  </si>
  <si>
    <t>Painting - New "wood work"</t>
  </si>
  <si>
    <t>Painting - New "iron work"</t>
  </si>
  <si>
    <t>a. upto 16mm dia rods</t>
  </si>
  <si>
    <r>
      <t xml:space="preserve">Fabrication of </t>
    </r>
    <r>
      <rPr>
        <b/>
        <sz val="18"/>
        <rFont val="Calibri"/>
        <family val="2"/>
      </rPr>
      <t xml:space="preserve">Mild steel / RTS grills </t>
    </r>
    <r>
      <rPr>
        <sz val="18"/>
        <rFont val="Calibri"/>
        <family val="2"/>
      </rPr>
      <t xml:space="preserve">
</t>
    </r>
  </si>
  <si>
    <r>
      <t xml:space="preserve">PVC SWR 110 mm dia </t>
    </r>
    <r>
      <rPr>
        <b/>
        <sz val="18"/>
        <rFont val="Calibri"/>
        <family val="2"/>
      </rPr>
      <t>Rain water pipe</t>
    </r>
  </si>
  <si>
    <t>S &amp; F 20 mm dia Alu. Hanger Rod</t>
  </si>
  <si>
    <t>S &amp; F Alu  Towel rail 75 cm long</t>
  </si>
  <si>
    <t xml:space="preserve">a. 32 mm dia </t>
  </si>
  <si>
    <t xml:space="preserve">b. 25 mm dia </t>
  </si>
  <si>
    <t>G.I Pipe 20mm dia for Hot water line (Fully Concealed in walls)</t>
  </si>
  <si>
    <t>Wash basin</t>
  </si>
  <si>
    <t>Brass tap (with ISI mark)</t>
  </si>
  <si>
    <t>Flat Back Urinal</t>
  </si>
  <si>
    <t>S &amp; F of E.W.C.(white)</t>
  </si>
  <si>
    <t>PVC SWR pipe (Soil line)</t>
  </si>
  <si>
    <t>a. 110 mm dia.</t>
  </si>
  <si>
    <t>b. 75 mm dia.</t>
  </si>
  <si>
    <t>PVC Nahani trap (4way/2way)</t>
  </si>
  <si>
    <t>Electrical arrangements</t>
  </si>
  <si>
    <t>a. Light point with ceiling rose</t>
  </si>
  <si>
    <t>b. Light point without ceiling rose</t>
  </si>
  <si>
    <t xml:space="preserve">Fan point </t>
  </si>
  <si>
    <t>5 amps 5 pin Plug point (Switch board itself)</t>
  </si>
  <si>
    <t>5 amps 5 pin Plug point (Convenient places)</t>
  </si>
  <si>
    <t>15 Amp. Power plug</t>
  </si>
  <si>
    <t>Box type Fibre Fan hook</t>
  </si>
  <si>
    <t>4 way - D.B.</t>
  </si>
  <si>
    <t>Charges for fixing of "Fan"</t>
  </si>
  <si>
    <t>Supply and delivery of Fan</t>
  </si>
  <si>
    <t>a. 48" (1200 mm)</t>
  </si>
  <si>
    <t>8 SWG wire</t>
  </si>
  <si>
    <t>Run of 2 wires of 4 sqmm with continuous earth by means of 2.5sqmm</t>
  </si>
  <si>
    <t>S&amp;F of TV/Telephone line Socket</t>
  </si>
  <si>
    <t>Earthing Station IS3043 (Type I)</t>
  </si>
  <si>
    <t>Meter cupboard</t>
  </si>
  <si>
    <t>Anti termite treatment</t>
  </si>
  <si>
    <t>ANNEXURE</t>
  </si>
  <si>
    <t>Standardised concrete Mix M20 Grade Concrete</t>
  </si>
  <si>
    <t>b. Ground Floor</t>
  </si>
  <si>
    <t>Standardised concrete Mix M30 Grade Concrete</t>
  </si>
  <si>
    <t>Set</t>
  </si>
  <si>
    <t>Formwork using M.S.Sheet</t>
  </si>
  <si>
    <t>a.For Column footings,plinth beam,Grade beam,Raftbeam,Raft slab etc.,</t>
  </si>
  <si>
    <t>b.Plain surfaces such as Roof slab,floorslab,Beams,lintels,lofts,sill slab,staircase,portico slab and other similar works</t>
  </si>
  <si>
    <t>c.For Square and rectangular columns and small quantities</t>
  </si>
  <si>
    <t>21.5.2</t>
  </si>
  <si>
    <t>23.2.1</t>
  </si>
  <si>
    <t>4mm thick pin headed Glass panels with Aluminium beedings</t>
  </si>
  <si>
    <t>Run of 2 Wires of 2.5 sqmm PVC insulated single core multi strand fire retardant flexible copper cable with ISI mark confirming IS: 694:1990.</t>
  </si>
  <si>
    <t>S &amp; F of Exsaust Fan 225mm dia</t>
  </si>
  <si>
    <t>Compact Fluoresent Lamp (CFL)</t>
  </si>
  <si>
    <t>S&amp;F of Bevelled edge mirror 500 x 400 x 5.5mm</t>
  </si>
  <si>
    <t>Plastic Emulsion PAINT including primer for outer walls</t>
  </si>
  <si>
    <t>38.4.1</t>
  </si>
  <si>
    <r>
      <t xml:space="preserve">Providing wooden </t>
    </r>
    <r>
      <rPr>
        <b/>
        <sz val="18"/>
        <rFont val="Calibri"/>
        <family val="2"/>
      </rPr>
      <t>Melamine</t>
    </r>
    <r>
      <rPr>
        <sz val="18"/>
        <rFont val="Calibri"/>
        <family val="2"/>
      </rPr>
      <t xml:space="preserve"> polish for new wood work</t>
    </r>
  </si>
  <si>
    <t>Vitrified Tiles flooring (Ivory)</t>
  </si>
  <si>
    <t xml:space="preserve">Eurocon Tiles flooring </t>
  </si>
  <si>
    <t>RMT</t>
  </si>
  <si>
    <t>MS door of Size 1000 x 2100mm</t>
  </si>
  <si>
    <t>each</t>
  </si>
  <si>
    <t>MS door of Size 750 x 1350mm</t>
  </si>
  <si>
    <t>MS Ventilator of Size 1350 x 600mm</t>
  </si>
  <si>
    <t>MS Ventilator of Size 900 x 600mm</t>
  </si>
  <si>
    <t>MS Ventilator of Size 600 x 600mm</t>
  </si>
  <si>
    <t>MS Ventilator of Size 1285 x 600mm</t>
  </si>
  <si>
    <t>UPVC Non Pressure  pipe of SN8 SDR 34
( S 16.5) as per IS 15328/2003</t>
  </si>
  <si>
    <t>a. 110 mm UPVC Non Pressure  pipe</t>
  </si>
  <si>
    <t>Kg</t>
  </si>
  <si>
    <t>cum</t>
  </si>
  <si>
    <t>TW double leaves shutter of size 1800 x 2100mm</t>
  </si>
  <si>
    <t>Ornamental TW double leaves panelled shutter of size 1800 x 2100mm</t>
  </si>
  <si>
    <t>Ornamental TW double leaves panelled shutter of size 1800 x 2400mm</t>
  </si>
  <si>
    <t>1500 liters capacity of HDPE Water Tank</t>
  </si>
  <si>
    <t>Providing shahabad stone flooring</t>
  </si>
  <si>
    <t xml:space="preserve">Vetrified Tiles flooring </t>
  </si>
  <si>
    <t xml:space="preserve">kota stone  flooring </t>
  </si>
  <si>
    <t xml:space="preserve">Granite Tiles flooring </t>
  </si>
  <si>
    <t>Plastering with ccccm 1:3, 12mm mixed with WPC</t>
  </si>
  <si>
    <t>HDPE water tank 5000 lit capacity</t>
  </si>
  <si>
    <t>TW Panelled Door 1500 X 2100MM (Double leaves)</t>
  </si>
  <si>
    <t>TW Panelled Door 1500 X 2400MM (Double leaves)</t>
  </si>
  <si>
    <t>TW Panelled Door 1200 X 2400MM (Double leaves)</t>
  </si>
  <si>
    <t>TW Panelled Door 1800 X 2400MM (Double leaves)</t>
  </si>
  <si>
    <r>
      <t>Partly glazed and partly BWR</t>
    </r>
    <r>
      <rPr>
        <sz val="18"/>
        <rFont val="Calibri"/>
        <family val="2"/>
      </rPr>
      <t xml:space="preserve"> panelled door shutter (Double leaves) with brass screws.
</t>
    </r>
    <r>
      <rPr>
        <b/>
        <sz val="18"/>
        <rFont val="Calibri"/>
        <family val="2"/>
      </rPr>
      <t>a. 1500x2400mm</t>
    </r>
  </si>
  <si>
    <r>
      <t>Partly glazed and partly TW</t>
    </r>
    <r>
      <rPr>
        <sz val="18"/>
        <rFont val="Calibri"/>
        <family val="2"/>
      </rPr>
      <t xml:space="preserve"> panelled door shutter (Double leaves) with brass screws.
</t>
    </r>
    <r>
      <rPr>
        <b/>
        <sz val="18"/>
        <rFont val="Calibri"/>
        <family val="2"/>
      </rPr>
      <t>a. 1200x2400mm</t>
    </r>
  </si>
  <si>
    <t>T.W DOOR SHUTTER TWO LEAVES(2000 X 2400 mm) WITH BRASS FITINGS</t>
  </si>
  <si>
    <t>BWR door 900 x 2400   single leaf</t>
  </si>
  <si>
    <t>BWR door 1050 x 2400   single leaf</t>
  </si>
  <si>
    <t>BWR door 1200 x 2400   double leaves</t>
  </si>
  <si>
    <t>BWR door 1500 x 2400   double leaves</t>
  </si>
  <si>
    <t>450 x 375 x 20 m   thick TW plank</t>
  </si>
  <si>
    <t>40 mm dia GI pipe "B"class</t>
  </si>
  <si>
    <t>Supplying and fixing of Three phase ELCB</t>
  </si>
  <si>
    <t>MDF 900 x 2100 single</t>
  </si>
  <si>
    <t>MDF 1000 x 2100</t>
  </si>
  <si>
    <t>MDF 1200 x 2100</t>
  </si>
  <si>
    <t>MDF 1500 X 2100MM (Double Leaf)</t>
  </si>
  <si>
    <t>MDF 1200 X 2100MM (Double Leaf)</t>
  </si>
  <si>
    <t>MDF 1500 X 2400MM (Double Leaf)</t>
  </si>
  <si>
    <t>MDF  double leaf shutter with TW alround frame for ward robe / cup board</t>
  </si>
  <si>
    <t>Varnishing one coat</t>
  </si>
  <si>
    <t>Varnishing two coat</t>
  </si>
  <si>
    <t>Red oxide plastering in CM 1:4</t>
  </si>
  <si>
    <t>Under reamed pile (Single)</t>
  </si>
  <si>
    <r>
      <t xml:space="preserve">LIGHT POINT WITH CEILING ROSE FOR </t>
    </r>
    <r>
      <rPr>
        <b/>
        <sz val="18"/>
        <rFont val="Calibri"/>
        <family val="2"/>
      </rPr>
      <t>ADMINISTRATIVE BLOCKS A</t>
    </r>
    <r>
      <rPr>
        <sz val="18"/>
        <rFont val="Calibri"/>
        <family val="2"/>
      </rPr>
      <t>ND COMMUNITY CENTRE</t>
    </r>
  </si>
  <si>
    <r>
      <t xml:space="preserve">LIGHT POINT WITH BAKELITE BATTERN TYPE HOLDER FOR </t>
    </r>
    <r>
      <rPr>
        <b/>
        <sz val="18"/>
        <rFont val="Calibri"/>
        <family val="2"/>
      </rPr>
      <t>ADMINISTRATIVE BLOCKS</t>
    </r>
    <r>
      <rPr>
        <sz val="18"/>
        <rFont val="Calibri"/>
        <family val="2"/>
      </rPr>
      <t xml:space="preserve"> AND COMMUNITY CENTRE</t>
    </r>
  </si>
  <si>
    <r>
      <t xml:space="preserve">FAN POINT FOR </t>
    </r>
    <r>
      <rPr>
        <b/>
        <sz val="18"/>
        <rFont val="Calibri"/>
        <family val="2"/>
      </rPr>
      <t>ADMINISTRATIVE BLOCKS</t>
    </r>
    <r>
      <rPr>
        <sz val="18"/>
        <rFont val="Calibri"/>
        <family val="2"/>
      </rPr>
      <t xml:space="preserve"> AND COMMUNITY CENTRE</t>
    </r>
  </si>
  <si>
    <r>
      <t xml:space="preserve">STAIRCASE LIGHT POINT FOR </t>
    </r>
    <r>
      <rPr>
        <b/>
        <sz val="18"/>
        <rFont val="Calibri"/>
        <family val="2"/>
      </rPr>
      <t>ADMINISTRATIVE BLOCKS</t>
    </r>
    <r>
      <rPr>
        <sz val="18"/>
        <rFont val="Calibri"/>
        <family val="2"/>
      </rPr>
      <t xml:space="preserve"> AND COMMUNITY CENTRE</t>
    </r>
  </si>
  <si>
    <t>2 X 2.5 Sq mm in fully concealed PVC conduit</t>
  </si>
  <si>
    <t>2 X 4 Sq mm in fully concealed PVC conduit</t>
  </si>
  <si>
    <t>4 X 4 Sq mm in fully concealed PVC conduit</t>
  </si>
  <si>
    <t>32 AMPS DOUBLE POLE MAIN SWITCH ON TEAK WOOD BOARD TOP MES SERVICE CONNECTION / MOTOR PUMP( SINGLE PHASE ) SET</t>
  </si>
  <si>
    <t>Supply and fixing 4 way 250 volt single phase with neutral link metalic distribution board on suitable Teak wood board etc., all complete including connections.</t>
  </si>
  <si>
    <t>16 AMPS TPIC ON TEAK WOOD BOARD FOR 3 PHASE MES SERVICE CONNECTION AND 3 PHASE MOTOR PUMPSETS</t>
  </si>
  <si>
    <t>Supplying and fixing of 32 amps triple pole main switch with fuse and neutral link on a suitable well varnished teak wood board</t>
  </si>
  <si>
    <t>THREE PHASE DISTRIBUTION BOARD WITH 6 WAY PHASE AND 30 AMPS / WAY WITH FUSE AND NEUTRAL LINK ON SUITABLE TW PLANK TOP MES CONNECTION BOARD (FOR 12 IN 1 BLOCKS)</t>
  </si>
  <si>
    <t>THREE PHASE DISTRIBUTION BOARD WITH 4 WAY PHASE AND 3 AMPS/WAY FUSE AND NEUTRAL LINK FOR MES SERVICE CONNECTION ( 6 IN 1  BLOCKS )</t>
  </si>
  <si>
    <t>FIXING OF TUBE LIGHT FITTINGS ON WALL / CEILING</t>
  </si>
  <si>
    <t>FIXING OF TUBE FITTINGS SUSPENDED FROM CEILING</t>
  </si>
  <si>
    <t xml:space="preserve">( to be supplied by the department free of cost ) on suitable well varnished teak wood plank </t>
  </si>
  <si>
    <t xml:space="preserve">Charges for fixing single phase RCCB/ELCB on fully concealed suitable MS BOX </t>
  </si>
  <si>
    <t xml:space="preserve">Charges for fixing three phase RCCB/ ELCB  on suitable well varnished teak wood plank </t>
  </si>
  <si>
    <t xml:space="preserve">Charges for fixing Three  phase RCCB/ELCB  on fully concealed suitable MS BOX </t>
  </si>
  <si>
    <t>Supplying and delivery of Single phase ELCB/RCCB</t>
  </si>
  <si>
    <t>Supplying and delivery of Three phase ELCB/RCCB</t>
  </si>
  <si>
    <r>
      <t xml:space="preserve">2 x 4 Sqmm Copper PVC insulated unsheathed single core 1 KV grade cable for </t>
    </r>
    <r>
      <rPr>
        <b/>
        <sz val="18"/>
        <rFont val="Calibri"/>
        <family val="2"/>
      </rPr>
      <t>EB service single phase.</t>
    </r>
  </si>
  <si>
    <r>
      <t>4 x 4  Sq mm copper PVC insulated unsheathed single core cable for</t>
    </r>
    <r>
      <rPr>
        <b/>
        <sz val="18"/>
        <rFont val="Calibri"/>
        <family val="2"/>
      </rPr>
      <t xml:space="preserve"> 3 phase EB service</t>
    </r>
    <r>
      <rPr>
        <sz val="18"/>
        <rFont val="Calibri"/>
        <family val="2"/>
      </rPr>
      <t xml:space="preserve"> connection</t>
    </r>
  </si>
  <si>
    <t xml:space="preserve">Supply of 40 mm dia GI pipe "B"class </t>
  </si>
  <si>
    <t>Laying of U.G. Cable below Ground Level</t>
  </si>
  <si>
    <t>Fixing of UG cables on Walls / Ceiling</t>
  </si>
  <si>
    <t>Fixing of Tube light street light fitting</t>
  </si>
  <si>
    <t>Charges for fixing Mercury, Sodium Vapour lamp street light fittings ( all types ) in the existing pole with required GI pipes 'B' class and accessories ( Street light fittings alone will be supplied departmentally at free of cost ).</t>
  </si>
  <si>
    <t>S &amp; F TNEB Meter Board made up of MS box 600 x 225 mm with door and lock and key arrangements</t>
  </si>
  <si>
    <t>25 mm dia PVC pipe Heavy duty with ISI mark for TV/ Telephone line</t>
  </si>
  <si>
    <t xml:space="preserve">TV/Telephone line junction </t>
  </si>
  <si>
    <t xml:space="preserve">Supply and erection of Tubular lamp, using 65 mm dia GI pipe 'B' class pipe with ISI mark of 6 mt length and 20 mm dia GI pipe 'B' class upto 2 mt with. </t>
  </si>
  <si>
    <t>Tube light -  Box type</t>
  </si>
  <si>
    <r>
      <t>Open wiring</t>
    </r>
    <r>
      <rPr>
        <sz val="18"/>
        <rFont val="Calibri"/>
        <family val="2"/>
      </rPr>
      <t xml:space="preserve"> for Light point with ceiling rose for flats/ houses</t>
    </r>
  </si>
  <si>
    <r>
      <t>Open wiring Light point with bakelite batern type holder for flats/ houses</t>
    </r>
    <r>
      <rPr>
        <b/>
        <sz val="18"/>
        <rFont val="Calibri"/>
        <family val="2"/>
      </rPr>
      <t>(Open wiring)</t>
    </r>
  </si>
  <si>
    <r>
      <t>Open wiring</t>
    </r>
    <r>
      <rPr>
        <sz val="18"/>
        <rFont val="Calibri"/>
        <family val="2"/>
      </rPr>
      <t xml:space="preserve"> POINT WIRING FOR CALLING BELL / BUZZER WITH PUSH SWITCH FOR ALL TYPE OF BUILDING (OPEN WIRING)</t>
    </r>
  </si>
  <si>
    <r>
      <t>Open wiring</t>
    </r>
    <r>
      <rPr>
        <sz val="18"/>
        <rFont val="Calibri"/>
        <family val="2"/>
      </rPr>
      <t xml:space="preserve"> FAN POINT FOR ADMINISTRATIVE BLOCKS AND COMMUNITY CENTRE</t>
    </r>
  </si>
  <si>
    <r>
      <t xml:space="preserve">Open wiring </t>
    </r>
    <r>
      <rPr>
        <sz val="18"/>
        <rFont val="Calibri"/>
        <family val="2"/>
      </rPr>
      <t>STAIRCASE LIGHT POINT FOR ADMINISTRATIVE BLOCKS AND COMMUNITY CENTRE (Open wiring)</t>
    </r>
  </si>
  <si>
    <r>
      <t>Open wiring</t>
    </r>
    <r>
      <rPr>
        <sz val="18"/>
        <rFont val="Calibri"/>
        <family val="2"/>
      </rPr>
      <t xml:space="preserve"> 5 AMPS 5 PIN PLUG SOCKET POINT AT CONVENIENT PLACES (OPEN WIRING)</t>
    </r>
  </si>
  <si>
    <r>
      <t>Open wiring</t>
    </r>
    <r>
      <rPr>
        <sz val="18"/>
        <rFont val="Calibri"/>
        <family val="2"/>
      </rPr>
      <t xml:space="preserve"> 2 X1.5 Sqmm in fully concealed PVC conduit</t>
    </r>
  </si>
  <si>
    <r>
      <t xml:space="preserve"> </t>
    </r>
    <r>
      <rPr>
        <b/>
        <sz val="18"/>
        <rFont val="Calibri"/>
        <family val="2"/>
      </rPr>
      <t>Open wiring</t>
    </r>
    <r>
      <rPr>
        <sz val="18"/>
        <rFont val="Calibri"/>
        <family val="2"/>
      </rPr>
      <t xml:space="preserve"> 2 X 2.5 Sq mm in fully concealed PVC conduit (open wiring)</t>
    </r>
  </si>
  <si>
    <t>whitewashing one coat</t>
  </si>
  <si>
    <t>whitewashing one coat for old wall</t>
  </si>
  <si>
    <t>whitewashing two coat for old wall</t>
  </si>
  <si>
    <t>Thorough scrapping the old wall</t>
  </si>
  <si>
    <t>Thorough scrapping the old iron work</t>
  </si>
  <si>
    <t>Thorough scrapping the old wood work</t>
  </si>
  <si>
    <t>Cement paint one coat for old wall</t>
  </si>
  <si>
    <t>Cement paint two coat for old wall</t>
  </si>
  <si>
    <t>painting one coat for old iron work</t>
  </si>
  <si>
    <t>painting two coat for old iron work</t>
  </si>
  <si>
    <t>painting one coat for old wood work</t>
  </si>
  <si>
    <t>painting two coat for old wood work</t>
  </si>
  <si>
    <t>Matt paint one coat for old wall</t>
  </si>
  <si>
    <t>GENERAL ABSTRACT</t>
  </si>
  <si>
    <t>Sl.No.</t>
  </si>
  <si>
    <t>BUILDING WORKS</t>
  </si>
  <si>
    <t>1 unit</t>
  </si>
  <si>
    <t>SUB - TOTAL - I Rs.</t>
  </si>
  <si>
    <t xml:space="preserve">Plinth Projection </t>
  </si>
  <si>
    <t>SUB - TOTAL - II Rs.</t>
  </si>
  <si>
    <t>SUB - TOTAL - III Rs.</t>
  </si>
  <si>
    <t>LS</t>
  </si>
  <si>
    <t>Labour Welfare fund @ 1.0%</t>
  </si>
  <si>
    <t>Supervision Charges @ 7.5%</t>
  </si>
  <si>
    <t>SUB - TOTAL - V Rs.</t>
  </si>
  <si>
    <t xml:space="preserve">Advertisement charges </t>
  </si>
  <si>
    <t>GRAND  TOTAL Rs.</t>
  </si>
  <si>
    <r>
      <t xml:space="preserve">Tamil Nadu Police Housing Corparation Ltd. </t>
    </r>
    <r>
      <rPr>
        <b/>
        <sz val="12"/>
        <rFont val="Helv"/>
      </rPr>
      <t xml:space="preserve"> DATA</t>
    </r>
  </si>
  <si>
    <t>TAMIL NADU POLICE HOUSING CORPORATION</t>
  </si>
  <si>
    <t>Tamil Nadu Police Housing Corparation Ltd.</t>
  </si>
  <si>
    <t>=</t>
  </si>
  <si>
    <t>======================================</t>
  </si>
  <si>
    <t>==========================================================</t>
  </si>
  <si>
    <t>PLACE:-</t>
  </si>
  <si>
    <t>PRS CAMPUS</t>
  </si>
  <si>
    <t>2019 - 20</t>
  </si>
  <si>
    <t>-</t>
  </si>
  <si>
    <t xml:space="preserve">  </t>
  </si>
  <si>
    <t xml:space="preserve">         </t>
  </si>
  <si>
    <t>QTY</t>
  </si>
  <si>
    <t>COST OF MATERIALS</t>
  </si>
  <si>
    <t>RATE</t>
  </si>
  <si>
    <t>PER</t>
  </si>
  <si>
    <t>AMOUNT</t>
  </si>
  <si>
    <t>SL.NO</t>
  </si>
  <si>
    <t>DESCRIPTION OF MATERIALS</t>
  </si>
  <si>
    <t>UNIT</t>
  </si>
  <si>
    <t>SOURCE</t>
  </si>
  <si>
    <t xml:space="preserve">COST OF </t>
  </si>
  <si>
    <t>LEAD</t>
  </si>
  <si>
    <t xml:space="preserve">Add 10% </t>
  </si>
  <si>
    <t>UN LO-</t>
  </si>
  <si>
    <t>MATERIAL</t>
  </si>
  <si>
    <t>LABOUR RATE</t>
  </si>
  <si>
    <t>CEMENT MORTAR(1:1.5)</t>
  </si>
  <si>
    <t>LIME MORTAR(1:2)</t>
  </si>
  <si>
    <t>Lead</t>
  </si>
  <si>
    <t>CHARGE</t>
  </si>
  <si>
    <t>for quarry at</t>
  </si>
  <si>
    <t>ADING</t>
  </si>
  <si>
    <t>COST @ SITE</t>
  </si>
  <si>
    <t>LABOUR CHARGES</t>
  </si>
  <si>
    <t xml:space="preserve">Thuvakudi </t>
  </si>
  <si>
    <t>10%</t>
  </si>
  <si>
    <t>20%</t>
  </si>
  <si>
    <t>50%</t>
  </si>
  <si>
    <t>5%</t>
  </si>
  <si>
    <t>25%</t>
  </si>
  <si>
    <t xml:space="preserve"> -------------</t>
  </si>
  <si>
    <t>M.T</t>
  </si>
  <si>
    <t>CEMENT</t>
  </si>
  <si>
    <t>LIME</t>
  </si>
  <si>
    <t>1.</t>
  </si>
  <si>
    <t>ROUGH STONE sl.38  p18</t>
  </si>
  <si>
    <t>CUM.</t>
  </si>
  <si>
    <t>Madukkarai</t>
  </si>
  <si>
    <t>MASON-I Brick / Stone work</t>
  </si>
  <si>
    <t>MASON  I *</t>
  </si>
  <si>
    <t>NO.</t>
  </si>
  <si>
    <t>CUM</t>
  </si>
  <si>
    <t>SAND</t>
  </si>
  <si>
    <t>2.</t>
  </si>
  <si>
    <t>BOND STONE sl.57 p18</t>
  </si>
  <si>
    <t>MASON-II Brick / Stone work</t>
  </si>
  <si>
    <t>MASON  II  *</t>
  </si>
  <si>
    <t>MIXING OF MORTAR</t>
  </si>
  <si>
    <t>GRINDING OF MORTAR</t>
  </si>
  <si>
    <t>3.</t>
  </si>
  <si>
    <t>HARD BROKEN STONE JELLY 3mm To 10mm p-18</t>
  </si>
  <si>
    <t>MAZDOOR-I</t>
  </si>
  <si>
    <t>MAZDOOR I   *</t>
  </si>
  <si>
    <t>L.S</t>
  </si>
  <si>
    <t>SUNDRIES</t>
  </si>
  <si>
    <t>4.</t>
  </si>
  <si>
    <t>HARD BROKEN STONE JELLY 10mm</t>
  </si>
  <si>
    <t>MAZDOOR-II</t>
  </si>
  <si>
    <t>MAZDOOR II*</t>
  </si>
  <si>
    <t>5.</t>
  </si>
  <si>
    <t>HARD BROKEN STONE JELLY 12mm</t>
  </si>
  <si>
    <t>PAINTER-I</t>
  </si>
  <si>
    <t>PAINTER I/II*</t>
  </si>
  <si>
    <t>TOTAL FOR 1 CUM</t>
  </si>
  <si>
    <t>6.</t>
  </si>
  <si>
    <t>HARD BROKEN STONE JELLY 20mm</t>
  </si>
  <si>
    <t>PAINTER-II</t>
  </si>
  <si>
    <t>PLUMBER  I*</t>
  </si>
  <si>
    <t>7.</t>
  </si>
  <si>
    <t>HARD BROKEN STONE JELLY 40mm</t>
  </si>
  <si>
    <t>PLUMBER-I</t>
  </si>
  <si>
    <t>CARPENTER I/II*</t>
  </si>
  <si>
    <t>CEMENT MORTAR(1:2)</t>
  </si>
  <si>
    <t>SUPPLYING MIXINNG AND LAYING</t>
  </si>
  <si>
    <t>8.</t>
  </si>
  <si>
    <t>Crushed SAND FOR MORTAR sl.100  p20</t>
  </si>
  <si>
    <t>Karamadai [Kannarpalayam]</t>
  </si>
  <si>
    <t>PLUMBER-II</t>
  </si>
  <si>
    <t>FITTER I/II*</t>
  </si>
  <si>
    <t>LIME SAND MIX 1:1 RATIO</t>
  </si>
  <si>
    <t>9.</t>
  </si>
  <si>
    <t>Crushed SAND FOR FILLING</t>
  </si>
  <si>
    <t>FITTER-I</t>
  </si>
  <si>
    <t>MIXING OF MORTAR* it-165</t>
  </si>
  <si>
    <t>CUM*</t>
  </si>
  <si>
    <t>INCLUDING COST OF</t>
  </si>
  <si>
    <t>10.</t>
  </si>
  <si>
    <t>Kiln Burnt Country Bricks  SIZE 22x11x7Cm p-16 it-5a</t>
  </si>
  <si>
    <t>1000nos.</t>
  </si>
  <si>
    <t>Thadagam</t>
  </si>
  <si>
    <t>FITTER-II</t>
  </si>
  <si>
    <t>LIFT CHARGES FOR B.W IN G.F  * it-94 p-29</t>
  </si>
  <si>
    <t>SAND,LIME,LABOUR FOR MIXING</t>
  </si>
  <si>
    <t>11.</t>
  </si>
  <si>
    <t>BRICK JELLY 40mmGAUGE p-17 it-17 a</t>
  </si>
  <si>
    <t>CARPENTER-I</t>
  </si>
  <si>
    <t>LIFT CHARGES FOR B.W IN F.F  *</t>
  </si>
  <si>
    <t>&amp;LAYING ETC COMPLETE.</t>
  </si>
  <si>
    <t>12.</t>
  </si>
  <si>
    <t>BRICK JELLY 20mmGAUGE</t>
  </si>
  <si>
    <t>CARPENTER-II</t>
  </si>
  <si>
    <t>LIFT CHARGES FOR B.W IN S.F  *</t>
  </si>
  <si>
    <t>13.</t>
  </si>
  <si>
    <t>MACHINE PRESSED TILES 23x 23x 2 Cm p-17 It-20</t>
  </si>
  <si>
    <t>Local</t>
  </si>
  <si>
    <t>STONE CUTTER-I</t>
  </si>
  <si>
    <t>LIFT CHARGES FOR CONCRETE IN G.F  *it-92 p-29</t>
  </si>
  <si>
    <t>COST OF SAND</t>
  </si>
  <si>
    <t>14.</t>
  </si>
  <si>
    <t>SLACKED SHELL LIME sl.106 p20</t>
  </si>
  <si>
    <t>STONE CUTTER-II</t>
  </si>
  <si>
    <t>LIFT CHARGES FOR CONCRETE IN F.F  *</t>
  </si>
  <si>
    <t>COST OF LIME</t>
  </si>
  <si>
    <t>15.</t>
  </si>
  <si>
    <t>SLACKED &amp;SREENED LIME STONE sl107/67</t>
  </si>
  <si>
    <t>Senneerkuppam</t>
  </si>
  <si>
    <t>FLOOR POLISHER</t>
  </si>
  <si>
    <t>LIFT CHARGES FOR CONCRETE IN S.F  *</t>
  </si>
  <si>
    <t>LABOUR CHARGES FOR MIXING</t>
  </si>
  <si>
    <t>16.</t>
  </si>
  <si>
    <t>C.W SCANTLING UPTO 4M LONG p-21 it-127</t>
  </si>
  <si>
    <t>local</t>
  </si>
  <si>
    <t>Mortar mix charges manual  sl.165(Ann3 p-34)</t>
  </si>
  <si>
    <t>VIBRATER CHARGES  * it-103 p-28</t>
  </si>
  <si>
    <t>CEMENT MORTAR(1:3)</t>
  </si>
  <si>
    <t>LABOUR CHARGES FOR FILLING</t>
  </si>
  <si>
    <t>17.</t>
  </si>
  <si>
    <t>C.W. PLANK UPTO 40mmTHICK UPTO 30 Cm WIDTH</t>
  </si>
  <si>
    <t>Vibrat-charges(R.C.C) sl.103/2 p30</t>
  </si>
  <si>
    <t>EARTH FILLING  * it-76/85</t>
  </si>
  <si>
    <t xml:space="preserve"> 1CUM</t>
  </si>
  <si>
    <t>18.</t>
  </si>
  <si>
    <t>T.W SCANTLING 2M TO 3M LONG 112/73 p-21</t>
  </si>
  <si>
    <t>Vibrat-charges(P.C.C) sl.102</t>
  </si>
  <si>
    <t>SAND FILLING  * it-75/85</t>
  </si>
  <si>
    <t>19.</t>
  </si>
  <si>
    <t>T.W.SCANTLING BELOW 2M LONG 113/74 p-21</t>
  </si>
  <si>
    <t>Sand filling charges sl.75 p-28</t>
  </si>
  <si>
    <t>POLISHING STONE (average of rough, medium, fine) it-52 p-43</t>
  </si>
  <si>
    <t>TOTAL FOR 1.5 CUM</t>
  </si>
  <si>
    <t>20.</t>
  </si>
  <si>
    <t>T.W.PLANKS 15TO30cm WIDTH &amp; 12to25mm Thick it-119 p-21</t>
  </si>
  <si>
    <t>Earth filling charges sl.76 p-28</t>
  </si>
  <si>
    <t>FLOOR POLISHER (MOSAIC)  * p-11 it-17</t>
  </si>
  <si>
    <t>NO</t>
  </si>
  <si>
    <t>21.</t>
  </si>
  <si>
    <t>Country BricksKiln Burnt of SIZE 22x11x5Cm (7c)p-16</t>
  </si>
  <si>
    <t>E.W.  61/62 p-27</t>
  </si>
  <si>
    <t>LABOUR CHARGE FOR WROUGHT &amp; PUTUP /V-SHUTTER *p-30 it-143</t>
  </si>
  <si>
    <t>RATE PER CUM</t>
  </si>
  <si>
    <t>22.</t>
  </si>
  <si>
    <t>MOSAIC TILES GRAY 25X25X2cm.it-30 p-17</t>
  </si>
  <si>
    <t>L.C.T.W.Door- 144/2 p-32</t>
  </si>
  <si>
    <t>LABOUR CHARGE FOR DOOR/WINDOW SHUTTER  *p-30 it-144</t>
  </si>
  <si>
    <t>23.</t>
  </si>
  <si>
    <t>CEMENT (supply at site)</t>
  </si>
  <si>
    <t>L.C.marine doors-145/3 p-32</t>
  </si>
  <si>
    <t>COST OF RUBBER ,LUBRICATION,PLUG,CLAMP</t>
  </si>
  <si>
    <t>24.</t>
  </si>
  <si>
    <t>R.T.S. / M.S upto 16mm</t>
  </si>
  <si>
    <t>TW glazed window 149/8 p-33</t>
  </si>
  <si>
    <t>M.S. HOLD FAST WITH SCREWS *</t>
  </si>
  <si>
    <t>25.</t>
  </si>
  <si>
    <t>M.S./ R.T.S above 16mm</t>
  </si>
  <si>
    <t>Wrought&amp;putup 143/1 p-32</t>
  </si>
  <si>
    <t>M.S. SHEET/ANGLE PER M.T p23 I-159/112</t>
  </si>
  <si>
    <t>CEMENT MORTAR(1:4)</t>
  </si>
  <si>
    <t>26.</t>
  </si>
  <si>
    <t>Country BricksKiln Burnt  SIZE 22x11x5Cm</t>
  </si>
  <si>
    <t>Ventilator 153/14 p-33</t>
  </si>
  <si>
    <t>Gravel</t>
  </si>
  <si>
    <t>27.</t>
  </si>
  <si>
    <t>HBSJ 11.2mm IRC metal (High W ay SR16-17)</t>
  </si>
  <si>
    <t>Meter- Cupboard Weldmesh 158/23 p-34</t>
  </si>
  <si>
    <t>Earth work lift for addl 1M p-27 it-66/77</t>
  </si>
  <si>
    <t>28.</t>
  </si>
  <si>
    <t>HBSJ 37.5mm to 26.5mm IRC metal</t>
  </si>
  <si>
    <t>E.W (SDR) 62/67 p-27</t>
  </si>
  <si>
    <t>Labour for petty iron worksp-34 it-167/1</t>
  </si>
  <si>
    <t>29.</t>
  </si>
  <si>
    <t>HBSJ 63mm to 45mm IRC metal</t>
  </si>
  <si>
    <t>FITTER-II (Pipe &amp; Bar Bend) 69/20a p-14</t>
  </si>
  <si>
    <t>TRANSPORTING &amp; ERRECTION</t>
  </si>
  <si>
    <t>30.</t>
  </si>
  <si>
    <t xml:space="preserve"> Gravel p20  92/57</t>
  </si>
  <si>
    <t>FITTER-I (Pipe &amp; Bar Bend) 19/20 p-12</t>
  </si>
  <si>
    <t>LABOUR COST OF CHANNELMOULD/PAINTING ANTCORROSIVE</t>
  </si>
  <si>
    <t xml:space="preserve"> Well Gravel p20  It93/57a</t>
  </si>
  <si>
    <t>E.W  loose soil p-26 SS20B/55/50</t>
  </si>
  <si>
    <t>COST OF PLASTERXERS/COST OF ANTI-CORROSIVE</t>
  </si>
  <si>
    <t>STONE CUTTER II  *</t>
  </si>
  <si>
    <t>Chamber Burnt Bricks of size 23x11.2x7Cm p16/4b</t>
  </si>
  <si>
    <t>CONVEYING,LOWERING&amp; JOINTING LABOUR</t>
  </si>
  <si>
    <t>CEMENT MORTAR(1:5)</t>
  </si>
  <si>
    <t>Chamber Burnt Bricks  of size 23x11.4x7.5Cmp16 /3a</t>
  </si>
  <si>
    <t>LABOUR FOR CUTTING 15mm DIA   * p-32 it-125 pwd</t>
  </si>
  <si>
    <t>Stone dust p20 96-58a</t>
  </si>
  <si>
    <t>LABOUR FOR CUTTING 20mm DIA  *</t>
  </si>
  <si>
    <t>6mmto 10mm HBG metal p-19 it-83+84/2</t>
  </si>
  <si>
    <t>LABOUR FOR CUTTING 25mm DIA  *</t>
  </si>
  <si>
    <t>Fly Ash Bricks  it-3A/8a p-16</t>
  </si>
  <si>
    <t>LABOUR FOR CUTTING 32mm DIA  *</t>
  </si>
  <si>
    <t>Crushed Stone SAND FOR MORTAR sl.98/58C p20</t>
  </si>
  <si>
    <t>Vadamadurai</t>
  </si>
  <si>
    <t>LABOUR FOR CUTTING 40mm DIA  *</t>
  </si>
  <si>
    <t>CEMENT CONCRETE(1:8:16) USING</t>
  </si>
  <si>
    <t>Crushed Stone SAND FOR FILLING</t>
  </si>
  <si>
    <t>LABOUR FOR CUTTING 50mm DIA/100mm Dia  *</t>
  </si>
  <si>
    <t>40mm BRICK JELLY</t>
  </si>
  <si>
    <t>CERTIFIED THAT THE LEAD PARTICULARS FURNISHED HERE ARE FOUND CORRECT UPTO BEST OF MY KNOWLEDGE</t>
  </si>
  <si>
    <t>LABOUR FOR CUTTING 65mm DIA/80mm Dia  *</t>
  </si>
  <si>
    <t>LABOUR FOR THREADING 15mm DIA  * it-126</t>
  </si>
  <si>
    <t>LABOUR FOR THREADING 20mm DIA  *</t>
  </si>
  <si>
    <t>CEMENT MORTAR(1:6)</t>
  </si>
  <si>
    <t>CEMENT MORTAR(1:8)</t>
  </si>
  <si>
    <t>LABOUR FOR THREADING 25mm DIA  *</t>
  </si>
  <si>
    <t>MASON II</t>
  </si>
  <si>
    <t>LABOUR FOR THREADING 32mm DIA /100mm Dia *</t>
  </si>
  <si>
    <t>MAZDOOR I</t>
  </si>
  <si>
    <t>LABOUR FOR THREADING 40mm DIA /80mm Dia *</t>
  </si>
  <si>
    <t>MAZDOOR II</t>
  </si>
  <si>
    <t>LABOUR FOR THREADING 50mm DIA /65mm Dia *</t>
  </si>
  <si>
    <t>COST OF JOINTING MATERIALS</t>
  </si>
  <si>
    <t>HIRE CHARGES FOR   POWER POLISHER</t>
  </si>
  <si>
    <t>TOTAL FOR 10 CUM</t>
  </si>
  <si>
    <t>ELC. CONSUMPTION CHARGES</t>
  </si>
  <si>
    <t xml:space="preserve">FLY  ASH BRICKS DATA </t>
  </si>
  <si>
    <t>LABOUR FOR FIXING WINDOW BARS p-34 it-169</t>
  </si>
  <si>
    <t>Kg*</t>
  </si>
  <si>
    <t xml:space="preserve">B.W IN C.M(1:5) using fly ash  bricks </t>
  </si>
  <si>
    <t>E.W.EXCAVATION SS 20B AS PER SR ITEM 61,62 * P-25</t>
  </si>
  <si>
    <t>CEMENT MORTAR(1:7)</t>
  </si>
  <si>
    <t>Bricks of size 23x11x7 cm</t>
  </si>
  <si>
    <t>MIXER OPERATER * p-15 S.No.83/79</t>
  </si>
  <si>
    <t>CEMENT CONCRETE(1:2:4) USING</t>
  </si>
  <si>
    <t>TESTING CHARGES FOR S.W. LINE</t>
  </si>
  <si>
    <t>20mm HBSTONE METEL</t>
  </si>
  <si>
    <t>NOS.</t>
  </si>
  <si>
    <t xml:space="preserve"> 1000NO.</t>
  </si>
  <si>
    <t>GRINDING MORTAR * 164/2 p-34</t>
  </si>
  <si>
    <t>G.I. SHEET SR156 / 114 1.6mmT.K,30cmWIDE P-23 it-162/114</t>
  </si>
  <si>
    <t>SQM*</t>
  </si>
  <si>
    <t>MASON I</t>
  </si>
  <si>
    <t>FITTER II *</t>
  </si>
  <si>
    <t xml:space="preserve">ROUGH STONE </t>
  </si>
  <si>
    <t>BOND STONE</t>
  </si>
  <si>
    <t>HARD BROKEN STONE JELLY 3mmTo10mm SIZE</t>
  </si>
  <si>
    <t>HARD BROKEN STONE JELLY  10mm SIZE</t>
  </si>
  <si>
    <t>TOTAL FOR 2.83168 CUM</t>
  </si>
  <si>
    <t>HARD BROKEN STONE JELLY 12mm SIZE</t>
  </si>
  <si>
    <t>HARD BROKEN STONE JELLY 20mm SIZE</t>
  </si>
  <si>
    <t>HARD BROKEN STONE JELLY 40mm SIZE</t>
  </si>
  <si>
    <t>TERRACOTTA JALLY 110mm/50mmT.K FIXING CHARGE</t>
  </si>
  <si>
    <t>G.F</t>
  </si>
  <si>
    <t>TERRACOTTA JALLY 110mmT.K/50mmT.K</t>
  </si>
  <si>
    <t xml:space="preserve">Qtn </t>
  </si>
  <si>
    <t>B.W IN C.M(1:5) USING CHAMBER BURNT</t>
  </si>
  <si>
    <t>F.F</t>
  </si>
  <si>
    <t>KILN BURNT COUNTRY G.M(2D) BRICK 8-3/4"X4-1/4"X2"</t>
  </si>
  <si>
    <t>Bricks of size 23X11.2X7Cm</t>
  </si>
  <si>
    <t>S.F</t>
  </si>
  <si>
    <t>SAND FOR MARTER</t>
  </si>
  <si>
    <t>T.F</t>
  </si>
  <si>
    <t>SAND FOR FILLING</t>
  </si>
  <si>
    <t>EARTH WORK EXCAVATION</t>
  </si>
  <si>
    <t>Bricks of size 22X11X5Cm</t>
  </si>
  <si>
    <t>EARTH WORK EXCAVATION for loose soil</t>
  </si>
  <si>
    <t>Forth floor</t>
  </si>
  <si>
    <t>STOCK BRICK-IISORT(2A)T.M OF SIZE 9"x4-1/2"X3"</t>
  </si>
  <si>
    <t>1000 Nos</t>
  </si>
  <si>
    <t>---------------------</t>
  </si>
  <si>
    <t>BRICK JELLY 40mm GAUGE</t>
  </si>
  <si>
    <t>EARTH WORK EXCAVATION IN SS20B</t>
  </si>
  <si>
    <t>BRICK JELLY 20mm GAUGE</t>
  </si>
  <si>
    <t>ADD 100% FOR NARROW CUTTING</t>
  </si>
  <si>
    <t>PRESSED TILES 23X23X2cm</t>
  </si>
  <si>
    <t xml:space="preserve"> 1/3REFILLING CHARGES</t>
  </si>
  <si>
    <t>SLACKED LIME</t>
  </si>
  <si>
    <t xml:space="preserve">B.W IN C.M(1:6) using fly ash bricks </t>
  </si>
  <si>
    <t>SLACKED SHELL LIME</t>
  </si>
  <si>
    <t>C.W.SCANTLING UP TO 4M LONG P-20 -it-120/77i</t>
  </si>
  <si>
    <t>C.W. PLANK 40mmT.K.UPTO30cm WIDTH</t>
  </si>
  <si>
    <t>T.W SANDLING OVER2M,BLOW3M</t>
  </si>
  <si>
    <t>RATE PER CUM INCLUDING REFILLING</t>
  </si>
  <si>
    <t>0 TO 2M</t>
  </si>
  <si>
    <t>T.W.SCANDLING UPTO 2M</t>
  </si>
  <si>
    <t>2 TO 3M</t>
  </si>
  <si>
    <t>T.W. PLANK 12mm to 25mm T.K UPTO 30cmWIDTH</t>
  </si>
  <si>
    <t>1.2</t>
  </si>
  <si>
    <t xml:space="preserve">RATE PER CUM EXCLUDING REFILLING 
</t>
  </si>
  <si>
    <t xml:space="preserve">
RATE PER CUM EXCLUDING REFILLING 
</t>
  </si>
  <si>
    <t>COUNTRY BRICK-ISORT(2B)T.M SIZE 9"x4-3/8"X2-3/4"</t>
  </si>
  <si>
    <t>1.3</t>
  </si>
  <si>
    <r>
      <t xml:space="preserve">EARTH WORK EXCAVATION  for </t>
    </r>
    <r>
      <rPr>
        <b/>
        <sz val="12"/>
        <rFont val="Helv"/>
      </rPr>
      <t>SDR</t>
    </r>
  </si>
  <si>
    <t>Loose soil</t>
  </si>
  <si>
    <t>EARTH WORK EXCAVATION IN SDR</t>
  </si>
  <si>
    <t>RATE PER CUM EXCLUDING REFILLING IN SDR</t>
  </si>
  <si>
    <t>B.W IN C.M(1:4) using  fly ash bricks</t>
  </si>
  <si>
    <r>
      <t xml:space="preserve">EARTH WORK EXCAVATION  for </t>
    </r>
    <r>
      <rPr>
        <b/>
        <sz val="12"/>
        <rFont val="Helv"/>
      </rPr>
      <t>open foundation</t>
    </r>
    <r>
      <rPr>
        <sz val="11"/>
        <color theme="1"/>
        <rFont val="Calibri"/>
        <family val="2"/>
        <scheme val="minor"/>
      </rPr>
      <t>EXCLUDING REFILLING</t>
    </r>
  </si>
  <si>
    <t>RATE PER CUM EXCLUDING REFILLING</t>
  </si>
  <si>
    <t>3 to 4</t>
  </si>
  <si>
    <t>4 to 5</t>
  </si>
  <si>
    <r>
      <t xml:space="preserve">EARTH WORK EXCAVATION  for open foundation
</t>
    </r>
    <r>
      <rPr>
        <sz val="12"/>
        <rFont val="Helv"/>
      </rPr>
      <t>IN SDR (EXCLUDING REFILLING)</t>
    </r>
  </si>
  <si>
    <t>2.1</t>
  </si>
  <si>
    <t>FILLING IN FOUNDATION AND</t>
  </si>
  <si>
    <r>
      <t xml:space="preserve">BASEMENT  WITH  </t>
    </r>
    <r>
      <rPr>
        <b/>
        <sz val="12"/>
        <rFont val="Helv"/>
      </rPr>
      <t>FILLING WELL GRAVEL</t>
    </r>
  </si>
  <si>
    <t>Average rate for staircase steps</t>
  </si>
  <si>
    <t>COST OF FILLING GRAVEL</t>
  </si>
  <si>
    <t>PARTITION WALL</t>
  </si>
  <si>
    <r>
      <t xml:space="preserve">RATE PER CUM EXCLUDING REFILLING
</t>
    </r>
    <r>
      <rPr>
        <b/>
        <sz val="12"/>
        <rFont val="Helv"/>
      </rPr>
      <t>IN SDR (OPEN FOUNDATION)</t>
    </r>
  </si>
  <si>
    <t>B.W IN C.M(1:4) using fly ash bricks of size 23x11.4x7.5Cm</t>
  </si>
  <si>
    <t>EARTH WORK EXCAVATION FOR DRAINS</t>
  </si>
  <si>
    <t xml:space="preserve">up to 1.25m width </t>
  </si>
  <si>
    <t xml:space="preserve"> 1.5 times E.W</t>
  </si>
  <si>
    <t>From 1.25m to 2m width (1.25 times E.W)</t>
  </si>
  <si>
    <t>From 1.25m to 2m width</t>
  </si>
  <si>
    <t>MOSIC TILES GREY 25X25X2cm</t>
  </si>
  <si>
    <t>RTS/MS above 16mm dia</t>
  </si>
  <si>
    <r>
      <t xml:space="preserve">BASEMENT  WITH  </t>
    </r>
    <r>
      <rPr>
        <b/>
        <sz val="12"/>
        <rFont val="Helv"/>
      </rPr>
      <t>FILLING SAND</t>
    </r>
  </si>
  <si>
    <r>
      <t xml:space="preserve">BASEMENT  WITH  </t>
    </r>
    <r>
      <rPr>
        <b/>
        <sz val="12"/>
        <rFont val="Helv"/>
      </rPr>
      <t>FILLING GRAVEL</t>
    </r>
  </si>
  <si>
    <t>RTS/MS upto 16mm dia</t>
  </si>
  <si>
    <t>M.S. WIRE 3mm</t>
  </si>
  <si>
    <t>COST OF FILLINGSAND</t>
  </si>
  <si>
    <t>GRAVEL</t>
  </si>
  <si>
    <t>BITUMEN</t>
  </si>
  <si>
    <t>BINDING WIRE p-23 it-160/161</t>
  </si>
  <si>
    <t>TOTAL FOR 1.0 CUM</t>
  </si>
  <si>
    <t>POLISHING  STONE</t>
  </si>
  <si>
    <t xml:space="preserve">   </t>
  </si>
  <si>
    <t>**</t>
  </si>
  <si>
    <t>PARTITION WALL OF 110 mm thick</t>
  </si>
  <si>
    <t>LABOUR CHARGES FOR SPREADING  bull dozer p27 / Item68/78a</t>
  </si>
  <si>
    <t>2.2</t>
  </si>
  <si>
    <r>
      <t xml:space="preserve">PROVIDING </t>
    </r>
    <r>
      <rPr>
        <b/>
        <sz val="12"/>
        <rFont val="Helv"/>
      </rPr>
      <t>SAND  GRAVEL MIX</t>
    </r>
  </si>
  <si>
    <t>CRUDE OIL</t>
  </si>
  <si>
    <t>IN 1:1 RATIO INCLUDING</t>
  </si>
  <si>
    <t>PARATITION B.W IN C.M(1:4)</t>
  </si>
  <si>
    <t>RED OXIDE P-43/ it-41</t>
  </si>
  <si>
    <t>COST OF SAND,GRAVEL,STACKING,LABOUR FOR</t>
  </si>
  <si>
    <r>
      <t xml:space="preserve">BASEMENT  WITH  </t>
    </r>
    <r>
      <rPr>
        <b/>
        <sz val="12"/>
        <rFont val="Helv"/>
      </rPr>
      <t>STONE DUST</t>
    </r>
  </si>
  <si>
    <t>MIXING &amp;CONSOLIDATION ETC</t>
  </si>
  <si>
    <t>COMPLETE.</t>
  </si>
  <si>
    <t>COST OFSTONE DUST</t>
  </si>
  <si>
    <t>TOTAL FOR 10 SQM</t>
  </si>
  <si>
    <t>STACKING CHARGES</t>
  </si>
  <si>
    <t>RATE PER SQM</t>
  </si>
  <si>
    <t>COST OF gravel</t>
  </si>
  <si>
    <t>LABOUR CHARGES FOR SPREADING</t>
  </si>
  <si>
    <t>WATERING&amp;POWER ROLLING</t>
  </si>
  <si>
    <t>Fourth Floor</t>
  </si>
  <si>
    <t>3.1</t>
  </si>
  <si>
    <t>CEMENT CONCRETE(1:4:8) USING</t>
  </si>
  <si>
    <t>B.W IN C.M(1:4) USING 2-B Categery using fly ash bricks</t>
  </si>
  <si>
    <t>40mm HBSTONE METEL</t>
  </si>
  <si>
    <t xml:space="preserve">  H.B.STONEJELLY 40mm</t>
  </si>
  <si>
    <t>1000NO.</t>
  </si>
  <si>
    <t>SUPLLYING AND FILLING WITH 40MM Brick jelly</t>
  </si>
  <si>
    <t>SUPLLYING AND FILLING WITH 40MM HBSJ</t>
  </si>
  <si>
    <t>SUPLLYING AND FILLING WITH 20MM Brick jelly</t>
  </si>
  <si>
    <t>COST OF 40mm HBSJ</t>
  </si>
  <si>
    <t>SUPLLYING AND FILLING WITH 20MM HBSJ</t>
  </si>
  <si>
    <t>COST OF 20mm HBSJ</t>
  </si>
  <si>
    <t>***</t>
  </si>
  <si>
    <t>PARTITION WALL OF 70mm thick</t>
  </si>
  <si>
    <t>PRATITION B.W IN C.M(1:4)</t>
  </si>
  <si>
    <t>2.5</t>
  </si>
  <si>
    <r>
      <t xml:space="preserve">Providing </t>
    </r>
    <r>
      <rPr>
        <b/>
        <sz val="12"/>
        <rFont val="Helv"/>
      </rPr>
      <t>GRAVEL SOLING</t>
    </r>
    <r>
      <rPr>
        <sz val="11"/>
        <color theme="1"/>
        <rFont val="Calibri"/>
        <family val="2"/>
        <scheme val="minor"/>
      </rPr>
      <t xml:space="preserve"> of 150mm thick</t>
    </r>
  </si>
  <si>
    <t>COST OF Gravel</t>
  </si>
  <si>
    <t>Forth Floor</t>
  </si>
  <si>
    <t>WINE VERNISH</t>
  </si>
  <si>
    <t>LITTER</t>
  </si>
  <si>
    <t>CEMENT CONCRETE(1:5:10) USING</t>
  </si>
  <si>
    <t>CEMENT CONCRETE(1:3:6) USING</t>
  </si>
  <si>
    <t>LINSEED OIL (BOILED)</t>
  </si>
  <si>
    <t>BEST GOPALVARNISH REDY MIX (PWD LR) p43 It.48</t>
  </si>
  <si>
    <t>READY MIX PAINT II ND/ IST for wood p-50 sl.115</t>
  </si>
  <si>
    <t xml:space="preserve">  H.B.STONEJELLY 20mm</t>
  </si>
  <si>
    <t>READY MIX PRIMER PAINT sl.133/ p50 wood primer)</t>
  </si>
  <si>
    <t>M.S WASHER</t>
  </si>
  <si>
    <t>CHICKEN MESH 10X10X10G it-166/129 P-23</t>
  </si>
  <si>
    <t>SQM</t>
  </si>
  <si>
    <t>WELD MESH  75X25X10G / Fly proof mesh Sl.no.163 p-23</t>
  </si>
  <si>
    <t>WELD MESH 100X100X10G S.no.165 p-23</t>
  </si>
  <si>
    <t>IWC ORIYA PAN p54/161 ( white)</t>
  </si>
  <si>
    <t>S.W. SIGLE Y</t>
  </si>
  <si>
    <t>S.W.TEE 100/150mm DIA WITH ISI MARK it-192/a p-58</t>
  </si>
  <si>
    <t>S.W.PIPE 100mm DIAWITH ISI MARKit-191/a p-58</t>
  </si>
  <si>
    <t>S.W.PIPE 150mm DIAWITH ISI MARK</t>
  </si>
  <si>
    <t>S.W.BEND 100/150mm DIAWITH ISI MARK it-192/b p-58</t>
  </si>
  <si>
    <t>READY MIX PAINT II ND/ IST for iron it-136 p-50</t>
  </si>
  <si>
    <t>LTR</t>
  </si>
  <si>
    <t>3.2</t>
  </si>
  <si>
    <r>
      <t>CEMENT CONCRETE</t>
    </r>
    <r>
      <rPr>
        <b/>
        <sz val="12"/>
        <rFont val="Helv"/>
      </rPr>
      <t xml:space="preserve"> PCC (1:2:4)</t>
    </r>
    <r>
      <rPr>
        <sz val="11"/>
        <color theme="1"/>
        <rFont val="Calibri"/>
        <family val="2"/>
        <scheme val="minor"/>
      </rPr>
      <t xml:space="preserve"> USING</t>
    </r>
  </si>
  <si>
    <t>S.W.TEE 150mm DIA WITH ISI MARK it-192/i p-58</t>
  </si>
  <si>
    <t>A.</t>
  </si>
  <si>
    <t>DOOR OF SIZE 70X210Cm</t>
  </si>
  <si>
    <t>T.W.SCANTLING above 2M length</t>
  </si>
  <si>
    <t>T.W.SCANTLING below 2M length</t>
  </si>
  <si>
    <t>Phenol bonded BWR Plywood 9mm</t>
  </si>
  <si>
    <t>LABOUR CHARGE</t>
  </si>
  <si>
    <t xml:space="preserve"> 6"X1/2"ALU.TOWER BOLT</t>
  </si>
  <si>
    <t xml:space="preserve"> 5" ALU.BUTT HINGS</t>
  </si>
  <si>
    <t xml:space="preserve"> 10"X5/8" ALU. ALDROP</t>
  </si>
  <si>
    <t>NYLON BUSH</t>
  </si>
  <si>
    <t>ALU.HANDLE WITH C.P.SCREWS150mm long</t>
  </si>
  <si>
    <t>DOOR STOPPER</t>
  </si>
  <si>
    <t>TOTAL FOR 1.23 SQM</t>
  </si>
  <si>
    <t>3.3</t>
  </si>
  <si>
    <r>
      <t>CEMENT CONCRETE</t>
    </r>
    <r>
      <rPr>
        <b/>
        <sz val="12"/>
        <rFont val="Helv"/>
      </rPr>
      <t>(1:8:16)</t>
    </r>
    <r>
      <rPr>
        <sz val="11"/>
        <color theme="1"/>
        <rFont val="Calibri"/>
        <family val="2"/>
        <scheme val="minor"/>
      </rPr>
      <t xml:space="preserve"> USING</t>
    </r>
  </si>
  <si>
    <t>20mm brick jelly</t>
  </si>
  <si>
    <t xml:space="preserve"> 20mmbrick jelly</t>
  </si>
  <si>
    <t>|::</t>
  </si>
  <si>
    <r>
      <t>CEMENT CONCRETE</t>
    </r>
    <r>
      <rPr>
        <b/>
        <sz val="12"/>
        <rFont val="Helv"/>
      </rPr>
      <t>(1:4:8)</t>
    </r>
    <r>
      <rPr>
        <sz val="11"/>
        <color theme="1"/>
        <rFont val="Calibri"/>
        <family val="2"/>
        <scheme val="minor"/>
      </rPr>
      <t xml:space="preserve"> USING</t>
    </r>
  </si>
  <si>
    <t>40mm brick jelly</t>
  </si>
  <si>
    <t xml:space="preserve"> 40mm HGJ jelly</t>
  </si>
  <si>
    <r>
      <t xml:space="preserve">PROVIDING  </t>
    </r>
    <r>
      <rPr>
        <b/>
        <sz val="12"/>
        <rFont val="Helv"/>
      </rPr>
      <t>WBM 125mm</t>
    </r>
    <r>
      <rPr>
        <sz val="11"/>
        <color theme="1"/>
        <rFont val="Calibri"/>
        <family val="2"/>
        <scheme val="minor"/>
      </rPr>
      <t xml:space="preserve"> CONSOLIDATED</t>
    </r>
  </si>
  <si>
    <t>THICK WITH GRAVEL BLINDAGE</t>
  </si>
  <si>
    <t>Stacking charges</t>
  </si>
  <si>
    <t>63mm to 45mm IRC metal</t>
  </si>
  <si>
    <t>37.5mm to 26.5mm IRC metal</t>
  </si>
  <si>
    <t>Gravel blindage 2 layers</t>
  </si>
  <si>
    <t>Spreading charges for 2 layers</t>
  </si>
  <si>
    <t>(10.1+7.72)</t>
  </si>
  <si>
    <t>Total for 10 m2</t>
  </si>
  <si>
    <t>for 1 m2</t>
  </si>
  <si>
    <r>
      <t xml:space="preserve">SURFACE DRESSING OVER </t>
    </r>
    <r>
      <rPr>
        <b/>
        <sz val="12"/>
        <rFont val="Helv"/>
      </rPr>
      <t>WBM 25mm TK.</t>
    </r>
  </si>
  <si>
    <t>11.2mm IRC metal</t>
  </si>
  <si>
    <t>Bitumen</t>
  </si>
  <si>
    <t>Labour charges</t>
  </si>
  <si>
    <t>Total for 100M2</t>
  </si>
  <si>
    <t>S.W.BEND 150mm DIA p-58 it-192 b</t>
  </si>
  <si>
    <t>4.1</t>
  </si>
  <si>
    <t xml:space="preserve">REINFORCED CEMENT CONCRETE </t>
  </si>
  <si>
    <t>PARTITION WALL OF 114mmTHICK</t>
  </si>
  <si>
    <t>S.W.GULLY TRAP 150X100mm it-186 p-56</t>
  </si>
  <si>
    <t>NAHANI TRAP 63mm/75mmPVC TYP,4 way/3way p-56 it-188</t>
  </si>
  <si>
    <t>C.C(1:2:4)USING 20mm HBSTONE</t>
  </si>
  <si>
    <t>CENTERING C.W BOARDING 40mmT.K ( Silver oakplank 40mm thick) 137/78 b p-22</t>
  </si>
  <si>
    <t>JELLY FOR ALL RCCWORK</t>
  </si>
  <si>
    <t>CENTERING C.W. JOIST ( Silver oak scantling)  it-131/77d p-21</t>
  </si>
  <si>
    <t>CASURINA POST 10cm TO 13cm DIA *p-22 /146b</t>
  </si>
  <si>
    <t xml:space="preserve"> 20mm HB STONE JELLY</t>
  </si>
  <si>
    <t>CEMENT PAINT / matt paint  p50 s.128 / p43 sl.45</t>
  </si>
  <si>
    <t>GLASS 4mmTHICK p49/125</t>
  </si>
  <si>
    <t>A.C. PIPE 100mm DIA p-44 / it 66</t>
  </si>
  <si>
    <t>A.C.BEND100mm DIAp-44 /68</t>
  </si>
  <si>
    <t>A.C. SHOE 100mm DIAp-44 /67</t>
  </si>
  <si>
    <t xml:space="preserve"> 20a</t>
  </si>
  <si>
    <t>C.I EVERITE CLAMOE 100mm DIA</t>
  </si>
  <si>
    <t xml:space="preserve"> 20b</t>
  </si>
  <si>
    <t>CI GREATINGS 100mm DIA p44 sl.71</t>
  </si>
  <si>
    <t xml:space="preserve"> 20c</t>
  </si>
  <si>
    <t>G.I.SHEET 22G p43 / 61</t>
  </si>
  <si>
    <t>TOTAL FOR 10CUM</t>
  </si>
  <si>
    <t xml:space="preserve"> 20d</t>
  </si>
  <si>
    <t>ALU  HINGS 5" (PWD LR) p-45 /77a</t>
  </si>
  <si>
    <t>ALU  HINGS 4" (PWD LR)p-45 /77b</t>
  </si>
  <si>
    <t>DADOING WALL WITH MASAIC</t>
  </si>
  <si>
    <t>ALU  HINGS 3" (PWD LR)p-45 /77c</t>
  </si>
  <si>
    <t>GRADED CHIPS</t>
  </si>
  <si>
    <t>ALU  HINGS 2" (PWD LR)p-45 /77d</t>
  </si>
  <si>
    <t>VIBRATING CHARGES</t>
  </si>
  <si>
    <t>ALU TOWER BOLT 6"X1/2" (PWD LR) p46 95e</t>
  </si>
  <si>
    <t>MASIC TILES LAID IN CM 1:3</t>
  </si>
  <si>
    <t>ALU TOWER BOLT 3"X5/10"/4"x5/10"  p46 95g</t>
  </si>
  <si>
    <t>for foundation  and basement</t>
  </si>
  <si>
    <t xml:space="preserve">ALU ALDROP 10"X5.8"  p46 96 </t>
  </si>
  <si>
    <t>ALU ALDROP 6"X1/2"  p46 96d</t>
  </si>
  <si>
    <t>NYLON BUSH FOR Door ( qtn)</t>
  </si>
  <si>
    <t>NYLON BUSH FOR W&amp;V</t>
  </si>
  <si>
    <t>VENTILATER PIVET</t>
  </si>
  <si>
    <t>PAIR</t>
  </si>
  <si>
    <t>ALU HOOKS &amp; EYES8"</t>
  </si>
  <si>
    <t>ALU HOOKS &amp; EYES6"</t>
  </si>
  <si>
    <t>ALU HOOKS &amp; EYES3"</t>
  </si>
  <si>
    <t>RANDUM RABBLE MASONRY IN CM 1:5</t>
  </si>
  <si>
    <t>I.O. HINGES 4"</t>
  </si>
  <si>
    <t>PLASTERING C.M(1:3) 12mmTHICK</t>
  </si>
  <si>
    <t>I.O. HINGES 5"</t>
  </si>
  <si>
    <t>ROUGH STONE</t>
  </si>
  <si>
    <t>I.O SPL HING 8"LONG</t>
  </si>
  <si>
    <t>I.O. HINGES 3"</t>
  </si>
  <si>
    <t>I.O. HINGES 2"</t>
  </si>
  <si>
    <t>I.O. TOWER BOLT 6"X1/2"</t>
  </si>
  <si>
    <t>I.O. TOWER BOLT 2"X5/8"</t>
  </si>
  <si>
    <t>I.O. ALDROP 10"X5.8"</t>
  </si>
  <si>
    <t>I.O. ALDROP 6"X1/2"</t>
  </si>
  <si>
    <t>NYLON BUSH FOR D</t>
  </si>
  <si>
    <t>PLASTERING C.M(1:2) 12mmTHICK</t>
  </si>
  <si>
    <t>I.O HOOKS &amp; EYES8"</t>
  </si>
  <si>
    <t>I.O HOOKS &amp; EYES6"</t>
  </si>
  <si>
    <t xml:space="preserve">I.O HOOKS &amp; EYES3" Qtn </t>
  </si>
  <si>
    <t xml:space="preserve">B.W IN C.M(1:5) using kiln burnt country bricks </t>
  </si>
  <si>
    <t xml:space="preserve">B.W IN C.M(1:5) USING Chamber </t>
  </si>
  <si>
    <t xml:space="preserve">B.W IN C.M(1:5) using chamber burnt  bricks </t>
  </si>
  <si>
    <t>C.I. SOIL PIPE</t>
  </si>
  <si>
    <t>Bricks of size 22x11x7 cm</t>
  </si>
  <si>
    <t>Bricks of size 23x11.2x7 cm</t>
  </si>
  <si>
    <t>Bricks of size 23x11.4x7.5 cm</t>
  </si>
  <si>
    <t xml:space="preserve"> 50mm DIA</t>
  </si>
  <si>
    <t xml:space="preserve"> 75mm DIA</t>
  </si>
  <si>
    <t>1000Nos.</t>
  </si>
  <si>
    <t xml:space="preserve"> 100mm DIA</t>
  </si>
  <si>
    <t xml:space="preserve"> 150mm DIA</t>
  </si>
  <si>
    <t>C.I. SOIL BEND</t>
  </si>
  <si>
    <t>PLASTERING C.M(1:2) 10mmTHICK</t>
  </si>
  <si>
    <t>C.I. SOIL BEND WITHDOOR</t>
  </si>
  <si>
    <t>A.C. SOIL PIPE</t>
  </si>
  <si>
    <t>7.2</t>
  </si>
  <si>
    <r>
      <t xml:space="preserve">PROVIDING </t>
    </r>
    <r>
      <rPr>
        <b/>
        <sz val="12"/>
        <rFont val="Helv"/>
      </rPr>
      <t>BITUMEN PAD</t>
    </r>
    <r>
      <rPr>
        <sz val="11"/>
        <color theme="1"/>
        <rFont val="Calibri"/>
        <family val="2"/>
        <scheme val="minor"/>
      </rPr>
      <t xml:space="preserve"> FOR EXPANISION </t>
    </r>
  </si>
  <si>
    <t>/SQM</t>
  </si>
  <si>
    <t>JOINT it-233 b p-62</t>
  </si>
  <si>
    <t xml:space="preserve">B.W IN C.M(1:6) using kiln burnt country bricks </t>
  </si>
  <si>
    <t xml:space="preserve">B.W IN C.M(1:6) USING Chamber  </t>
  </si>
  <si>
    <t xml:space="preserve">B.W IN C.M(1:6) using chamber burnt </t>
  </si>
  <si>
    <t>A.C. SOIL BEND</t>
  </si>
  <si>
    <t>PLASTERING C.M(1:5) 20mmTHICK</t>
  </si>
  <si>
    <t>A.C. SOIL BEND WITHDOOR</t>
  </si>
  <si>
    <t>A.C. SOIL TEE</t>
  </si>
  <si>
    <t>PLASTERING C.M(1:3) 20mmTHICK</t>
  </si>
  <si>
    <t>==========</t>
  </si>
  <si>
    <t>A.C. SOIL TEE WITH DOOR</t>
  </si>
  <si>
    <t>A.C. SOIL  SINGLE YEE</t>
  </si>
  <si>
    <t xml:space="preserve">B.W IN C.M(1:4) using kiln burnt country bricks </t>
  </si>
  <si>
    <t xml:space="preserve">B.W IN C.M(1:4) USING Chamber  </t>
  </si>
  <si>
    <t>A.C. SOIL  SINGLE YEE WITHDOOR</t>
  </si>
  <si>
    <t>PLASTERING C.M(1:4) 20mmTHICK</t>
  </si>
  <si>
    <t>MIXEDWITH RED OXIDE @9.8</t>
  </si>
  <si>
    <t>Kg/10 SQM</t>
  </si>
  <si>
    <t xml:space="preserve">B.W IN C.M(1:4) using  using chamber burnt </t>
  </si>
  <si>
    <t>A.C. SOIL  DOUBLE YEE WITHDOOR</t>
  </si>
  <si>
    <t>no.</t>
  </si>
  <si>
    <t>mason for polishing</t>
  </si>
  <si>
    <t>A.C. SOIL DOUBLE YEE</t>
  </si>
  <si>
    <t>RED OXIDE</t>
  </si>
  <si>
    <t>A.C. SOIL COWL</t>
  </si>
  <si>
    <t>A.C. SOIL SHOE</t>
  </si>
  <si>
    <t>WHITE WASHING ONE COAT</t>
  </si>
  <si>
    <t>B.W IN C.M(1:4) using Country BricksKiln Burnt  SIZE 22x11x7Cm</t>
  </si>
  <si>
    <t>B.W IN C.M(1:4) USING Country BricksKiln Burnt  SIZE 22x11x7Cm</t>
  </si>
  <si>
    <t>A.C. SOIL SOCKETS</t>
  </si>
  <si>
    <t>SUNDRIES FOR BRUSH ETC</t>
  </si>
  <si>
    <t>A.C.DRAIN SPOUT 18" LONG</t>
  </si>
  <si>
    <t>TOTAL FOR 100 SQM</t>
  </si>
  <si>
    <t>B.W IN C.M(1:4) using Chamber burnt Bricks of size 23x11.4x7.5Cm</t>
  </si>
  <si>
    <t>A.C.DRAIN SPOUT 24" LONG</t>
  </si>
  <si>
    <t>-------------------</t>
  </si>
  <si>
    <t>WHITE WASHING TWO COAT</t>
  </si>
  <si>
    <t>G.I. PIPE B  CLASS</t>
  </si>
  <si>
    <t>===========</t>
  </si>
  <si>
    <t xml:space="preserve"> 15mmDIA p-50 it- </t>
  </si>
  <si>
    <t xml:space="preserve"> 20mm DIA</t>
  </si>
  <si>
    <t>PARTITION WALL OF 112 mm thick</t>
  </si>
  <si>
    <t xml:space="preserve"> 25mm DIA</t>
  </si>
  <si>
    <t xml:space="preserve"> 32mm DIA</t>
  </si>
  <si>
    <t xml:space="preserve"> 40mm DIA</t>
  </si>
  <si>
    <t xml:space="preserve"> 65mm DIA pWD</t>
  </si>
  <si>
    <t>G.I. BEND p-51  S.No-143 it-c</t>
  </si>
  <si>
    <t xml:space="preserve"> 15mmDIA</t>
  </si>
  <si>
    <t>COLOUR WASHING  TWO COATS</t>
  </si>
  <si>
    <t>PARTITION WALL OF 114 mm thick</t>
  </si>
  <si>
    <t>ADD 50% EXYRA FOR COLOURING</t>
  </si>
  <si>
    <t>MAATERIAL</t>
  </si>
  <si>
    <t xml:space="preserve"> 65mm DIA TWAD 16-17 p 25</t>
  </si>
  <si>
    <t>G.I.COUPLERp-51 it-e</t>
  </si>
  <si>
    <t>B.W IN C.M(1:4) USING 2-B Categery</t>
  </si>
  <si>
    <t xml:space="preserve">COLOUR  WASHING TWO COATS OVER </t>
  </si>
  <si>
    <t>ONE COAT OF WHITE WASHING.</t>
  </si>
  <si>
    <t xml:space="preserve"> 65mm DIA TWAD p 25</t>
  </si>
  <si>
    <t>G.I. ELBOWp-51 S.No.119/ it-b</t>
  </si>
  <si>
    <t>5th</t>
  </si>
  <si>
    <t>6th</t>
  </si>
  <si>
    <t>7th</t>
  </si>
  <si>
    <t xml:space="preserve">8th </t>
  </si>
  <si>
    <t>9th</t>
  </si>
  <si>
    <t xml:space="preserve">12th </t>
  </si>
  <si>
    <t>G.I. UNIONp-51 it-A</t>
  </si>
  <si>
    <t>WATER SUPPLY</t>
  </si>
  <si>
    <t>13th</t>
  </si>
  <si>
    <t>LABOUR CHARGE FOR  LAYING</t>
  </si>
  <si>
    <t>JOINTING GI PIPE AND SPECIALS</t>
  </si>
  <si>
    <t>BELOW G.L</t>
  </si>
  <si>
    <t>A</t>
  </si>
  <si>
    <t>15mm DIA  GI PIPE BELOW G.L</t>
  </si>
  <si>
    <t xml:space="preserve"> 65mm DIA</t>
  </si>
  <si>
    <t>G.I. PLUG</t>
  </si>
  <si>
    <t>E.W EXCLUDING REFILLING</t>
  </si>
  <si>
    <t>REFILLING CHARGE</t>
  </si>
  <si>
    <t>CONVEYING,LOWERING  ANDLAYING</t>
  </si>
  <si>
    <t>TO PROPER GRADEAND</t>
  </si>
  <si>
    <t>ALIGNMENT,JOINTING</t>
  </si>
  <si>
    <t>ETC BUT EXCLUDING  COST OF</t>
  </si>
  <si>
    <t>JOINTING MATERIALS.</t>
  </si>
  <si>
    <t>PARTITION WALL OF 75mm thick</t>
  </si>
  <si>
    <t xml:space="preserve">PARTITION WALL </t>
  </si>
  <si>
    <t>CUTTING CHARGES</t>
  </si>
  <si>
    <t>G.I. TEE p-51 it-D</t>
  </si>
  <si>
    <t>==============</t>
  </si>
  <si>
    <t>THREADING CHARGES</t>
  </si>
  <si>
    <t>B.W IN C.M(1:4) USING 4-A Categery</t>
  </si>
  <si>
    <t>COST OF JOINTING  MATERIALS</t>
  </si>
  <si>
    <t>Bricks of size 22X11X5 cm</t>
  </si>
  <si>
    <t>TOTAL FOR 30M</t>
  </si>
  <si>
    <t>RATE PER RMT</t>
  </si>
  <si>
    <t xml:space="preserve"> 65mm DIA twad p25</t>
  </si>
  <si>
    <t>G.I.HEX NIPPLEp-53 it-I</t>
  </si>
  <si>
    <t>20mm DIA  GI PIPE BELOW G.L</t>
  </si>
  <si>
    <t>G.M. FERRULE</t>
  </si>
  <si>
    <t>PARTITION WALL OF 50mmTHICK</t>
  </si>
  <si>
    <t xml:space="preserve">Standardised concrete mix M20 </t>
  </si>
  <si>
    <t xml:space="preserve">Standardised concrete mix M30 </t>
  </si>
  <si>
    <t>SCRAPING THE OLD PLASTER SURFACE * p30/108/338</t>
  </si>
  <si>
    <t>16.1</t>
  </si>
  <si>
    <t>CEMENT CONCRETE(1:2:4) FOR</t>
  </si>
  <si>
    <t>WASHING PLASTERED AREA WITH SOAP&amp;SODA WATER *p30/109/339</t>
  </si>
  <si>
    <t xml:space="preserve">PETTY WORKS EXCLUDING COST </t>
  </si>
  <si>
    <t>PILE DRIVING CHARGES FOR 330mmDIA/375mm DIA</t>
  </si>
  <si>
    <t>OF STEEL M 2</t>
  </si>
  <si>
    <t>PILE DRIVING CHARGES FOR 400mmDIA/450mm DIA</t>
  </si>
  <si>
    <t>PILE DRIVING CHARGES FOR 500mmDIA/600mm DIA</t>
  </si>
  <si>
    <t>Standardised concrete mix M20  using 20mmHB JELLY ( witt out vibrating charges)</t>
  </si>
  <si>
    <t>Standardised concrete mix M30  using 20mmHB JELLY ( witt out vibrating charges)</t>
  </si>
  <si>
    <t>|</t>
  </si>
  <si>
    <t xml:space="preserve"> 15mmDIA G.M.CHEKVALUE</t>
  </si>
  <si>
    <t xml:space="preserve">SUNDRIES FOR MOULDING </t>
  </si>
  <si>
    <t xml:space="preserve"> 20mm DIA G.M.CHEKVALUE</t>
  </si>
  <si>
    <t>C</t>
  </si>
  <si>
    <t>25mm DIA  GI PIPE BELOW G.L</t>
  </si>
  <si>
    <t>FINISHING,OIL ETC</t>
  </si>
  <si>
    <t>TOTAL FOR .01 CUM</t>
  </si>
  <si>
    <t>CC(1:2:4) USING 20mmHB</t>
  </si>
  <si>
    <t>JALLY-50mm THICK</t>
  </si>
  <si>
    <t>C.C(1:2:4)USING 20mmJELLY</t>
  </si>
  <si>
    <t>FOR PETTY WORKS</t>
  </si>
  <si>
    <t>G.M.GATE VALUE (Heavy Duty)p-53it-144</t>
  </si>
  <si>
    <t>13.1</t>
  </si>
  <si>
    <t xml:space="preserve">FILLING IN BASEMENT  WITH </t>
  </si>
  <si>
    <t>EXCAVATED EARTH</t>
  </si>
  <si>
    <t>AS  PER SR 85</t>
  </si>
  <si>
    <t>TOTAL FOR0.372 SQM</t>
  </si>
  <si>
    <t>DAMP PROOF COURSE IN C.M(1:4),12mm thick</t>
  </si>
  <si>
    <t>mixed with Water Proof Compound at 1KG per Bag of Cement</t>
  </si>
  <si>
    <t xml:space="preserve">                                                                                                                                                                                                                                                                                                                                                                                                                                                                                                                                                                                                                                                                                                                                                                                                                                                                                                                                                                                                                                                                                                                                                                                                                                                                                                                                                                                                                                                                                                                                                                                                                                                                                                                                                                                                                                                                                                                                                                                                                                                                                                                                                                                                                                                                                                                                                                                                                                                                                                                                                                                                                                                                                                                                                                                                                                                                                                                                                                                                                                                                                                                                                                                                                                                                                                                                                                                                                                                                                                                                                                                                                                                                                                                                                                                                                                                                                                                                                                                                                                                                                                                                                                                                                                                                                                                                                                                                                                                                                                                                                                                                                                                                                                                                                                                                                                                                                                                                                                                                                                                                                                                                                                                                                                                                                                                                                                                                                                                                                                                                                                                          </t>
  </si>
  <si>
    <t>G.M.WHEELVALUE  (Heavy Duty)p-53it-145</t>
  </si>
  <si>
    <t>FOURTH FLOOR</t>
  </si>
  <si>
    <t xml:space="preserve">Water Proof Compound </t>
  </si>
  <si>
    <t>ABOVE G.L</t>
  </si>
  <si>
    <t>G.I.REDUCER p-52 it-143F</t>
  </si>
  <si>
    <t xml:space="preserve"> 15mmDIAX20mmDIA  (v)</t>
  </si>
  <si>
    <t>15mm  DIA G.I PIPE ABOVE G.L</t>
  </si>
  <si>
    <t xml:space="preserve"> 15mmDIAX25mmDIA</t>
  </si>
  <si>
    <t xml:space="preserve"> 25mmDIAX20mmDIA (iv)</t>
  </si>
  <si>
    <t>LAYING JOINTING INCLUDING</t>
  </si>
  <si>
    <t xml:space="preserve"> 50mmDIAX25mmDIA</t>
  </si>
  <si>
    <t>C.C(1:2:4)USING 3mm-10mm HBSTONE</t>
  </si>
  <si>
    <t>ALIGNING</t>
  </si>
  <si>
    <t xml:space="preserve"> 50mmDIAX32mmDIA</t>
  </si>
  <si>
    <t>G.I.REDUCER  TEEp-52 it-143H</t>
  </si>
  <si>
    <t xml:space="preserve"> 15mmDIAX20mmDIA</t>
  </si>
  <si>
    <t xml:space="preserve">  3mm-10mm HB STONE JELLY</t>
  </si>
  <si>
    <t>STONE CUTTER II</t>
  </si>
  <si>
    <t>MADON I</t>
  </si>
  <si>
    <t xml:space="preserve"> 25mmDIAX20mmDIA</t>
  </si>
  <si>
    <t>COST OF CLAMPS PLUGS PAINTING</t>
  </si>
  <si>
    <t>G.I.REDUCER  ELBOW p52 it-G</t>
  </si>
  <si>
    <t>REDOING WORKS ETC</t>
  </si>
  <si>
    <t>TOTAL FOR 30 M</t>
  </si>
  <si>
    <t xml:space="preserve"> 32mmX15mmDIA</t>
  </si>
  <si>
    <t>P.V.C.PIPE</t>
  </si>
  <si>
    <t xml:space="preserve"> 4KG/SQ.CM</t>
  </si>
  <si>
    <t>20mm  DIA G.I PIPE ABOVE G.L</t>
  </si>
  <si>
    <t xml:space="preserve"> 15mmDIA OF WALL THICK 2.8mm A.S.T.M (Qtn)</t>
  </si>
  <si>
    <t xml:space="preserve"> 20mm DIA----DO----2.9mm / 20 mm G.I. pipe</t>
  </si>
  <si>
    <t>RATE PER CUM with vibrating</t>
  </si>
  <si>
    <t xml:space="preserve"> 25mm DIA----DO-----3.4mm</t>
  </si>
  <si>
    <t xml:space="preserve"> 32mm DIA-----DO----3.6mm</t>
  </si>
  <si>
    <t xml:space="preserve"> 25a</t>
  </si>
  <si>
    <t xml:space="preserve"> 40mm DIA----DO----3.7mm</t>
  </si>
  <si>
    <t xml:space="preserve"> 25b</t>
  </si>
  <si>
    <t xml:space="preserve"> 50mm DIA----DO----3.9mm</t>
  </si>
  <si>
    <t xml:space="preserve"> 25c</t>
  </si>
  <si>
    <t>P.V.C.SOCKET</t>
  </si>
  <si>
    <t xml:space="preserve"> 25d</t>
  </si>
  <si>
    <t xml:space="preserve"> P.C.C,R.C.C SLAB OF20mm THICK</t>
  </si>
  <si>
    <t>Standardised concrete mix M20</t>
  </si>
  <si>
    <t>Standardised concrete mix M30</t>
  </si>
  <si>
    <t>C.C(1:2:4)USING3mm-10mm HBG</t>
  </si>
  <si>
    <r>
      <t xml:space="preserve"> P.C.C,R.C.C SLAB OF20mm THICK </t>
    </r>
    <r>
      <rPr>
        <b/>
        <sz val="12"/>
        <rFont val="Helv"/>
      </rPr>
      <t>using standardised concrete mix M20</t>
    </r>
  </si>
  <si>
    <r>
      <t xml:space="preserve"> P.C.C,R.C.C SLAB OF20mm THICK </t>
    </r>
    <r>
      <rPr>
        <b/>
        <sz val="12"/>
        <rFont val="Helv"/>
      </rPr>
      <t>using standardised concrete mix M30</t>
    </r>
  </si>
  <si>
    <t>P.V.C.ELBOW</t>
  </si>
  <si>
    <t>TOTAL FOR 0.743 SQM</t>
  </si>
  <si>
    <t>25mm  DIA G.I PIPE ABOVE G.L</t>
  </si>
  <si>
    <t>P.V.C.TEE</t>
  </si>
  <si>
    <t xml:space="preserve"> P.C.C,R.C.C SLAB OF40mm THICK</t>
  </si>
  <si>
    <r>
      <t xml:space="preserve"> P.C.C,R.C.C SLAB OF40mm THICK </t>
    </r>
    <r>
      <rPr>
        <b/>
        <sz val="12"/>
        <rFont val="Helv"/>
      </rPr>
      <t>using standardised concrete mix of M20 grade</t>
    </r>
  </si>
  <si>
    <t>P.V.C.REDUCER SOCKET</t>
  </si>
  <si>
    <t xml:space="preserve">standardised concrete mix M20 </t>
  </si>
  <si>
    <t xml:space="preserve"> 12mmDIAX25mmDIA</t>
  </si>
  <si>
    <t xml:space="preserve"> 40mmDIAX25mmDIA</t>
  </si>
  <si>
    <t xml:space="preserve"> 32mmDIAX40mmDIA</t>
  </si>
  <si>
    <t>P.V.C.REDUCER TEE</t>
  </si>
  <si>
    <t>RATE PER SQM (Foundation and basement)</t>
  </si>
  <si>
    <t xml:space="preserve"> 32mmDIAX25mmDIA</t>
  </si>
  <si>
    <t>JOINTING P.V.C  PIPE AND SPECIALS</t>
  </si>
  <si>
    <t>Fourth .floor</t>
  </si>
  <si>
    <t>Providing CUDDAPPAH SLAB for cupboard</t>
  </si>
  <si>
    <t>P.V.C.REDUCER ELBOW</t>
  </si>
  <si>
    <t>wardrobe, shelves, kitchen sinks,</t>
  </si>
  <si>
    <t>hearth slab and sunshade etc., for the</t>
  </si>
  <si>
    <t>UP 40MM PVC PIPE</t>
  </si>
  <si>
    <t>following thickness including cost of</t>
  </si>
  <si>
    <t>Cuddappah slab and labour charges for</t>
  </si>
  <si>
    <t>fixing in position etc., all complete</t>
  </si>
  <si>
    <t xml:space="preserve"> 40mmDIAX32mmDIA</t>
  </si>
  <si>
    <t>(Both sides polished)</t>
  </si>
  <si>
    <t xml:space="preserve"> 50mmDIAX40mmDIA</t>
  </si>
  <si>
    <t>TO PROPER GRADE AND</t>
  </si>
  <si>
    <t>C.I.COVER SLAB 18"X18"X56LBS(25Kg)</t>
  </si>
  <si>
    <t xml:space="preserve"> 20mm Thick slab:-</t>
  </si>
  <si>
    <t xml:space="preserve"> 40mm Thick slab:-</t>
  </si>
  <si>
    <t>C.I.COVER SLAB 18"X18"X36LBS(16Kg)</t>
  </si>
  <si>
    <t>==================</t>
  </si>
  <si>
    <t>C.I.COVER SLAB 24"X24"X112LBS(50Kg)</t>
  </si>
  <si>
    <t>Cuddappah slab</t>
  </si>
  <si>
    <t>C.I.STEEPS(5Kg)</t>
  </si>
  <si>
    <t>No.</t>
  </si>
  <si>
    <t>Mason Ist</t>
  </si>
  <si>
    <t>C.I..BRACKET FOR W.B.</t>
  </si>
  <si>
    <t>Mazdoor Ist</t>
  </si>
  <si>
    <t>BRASS TAP 15mm / 12 mm dia (HEAVY) p - 53 it-146</t>
  </si>
  <si>
    <t>Packing with C.M., Scaffolding</t>
  </si>
  <si>
    <t>C.P.TAP15mm DIA</t>
  </si>
  <si>
    <t>and Polishing etc.,</t>
  </si>
  <si>
    <t>C.P.WASTE PLUGE WITH ALU CHAIN 32mm DIA</t>
  </si>
  <si>
    <t>Total for Ten sqm</t>
  </si>
  <si>
    <t>P.V.C. WASTE PIPE32mmDIA 2.5'LONG</t>
  </si>
  <si>
    <t>P.V.C.FLUSHING PIPE 32mm DIA 6'LONG</t>
  </si>
  <si>
    <t>Rate for one SQM</t>
  </si>
  <si>
    <t>P.V.C. CONECTION 1/2"X15"</t>
  </si>
  <si>
    <t>ALU TOWEL RAIL 12mm ,2'LONG</t>
  </si>
  <si>
    <t>CONSTRN. OF INSPECTION</t>
  </si>
  <si>
    <t>ALU TOWEL RAIL 20mm ,2'LONG</t>
  </si>
  <si>
    <t>CHAMBER OF SIZE 60X60X60cm</t>
  </si>
  <si>
    <t>P.V.C. LOW LEVEL CISTERN 10 LITCAPACITY p-68 220a</t>
  </si>
  <si>
    <t>P.V.C. S.D TAP 15mm DIA</t>
  </si>
  <si>
    <t>E.W AND REFILLING</t>
  </si>
  <si>
    <t xml:space="preserve"> 40mm Thick slab:- for sun shade only</t>
  </si>
  <si>
    <t>E.W.C./SEAT COVER BLACK(H)</t>
  </si>
  <si>
    <t>C.C(1:8:16)USING 40mmB.J METEL</t>
  </si>
  <si>
    <t>EVERITE CLAMP IRON CLAMP P-59 (Sl.No.212) (Special clamp)</t>
  </si>
  <si>
    <t>B.W IN C.M(1:5)</t>
  </si>
  <si>
    <t>150mm AL.HANDLE WITH CP SCREWS/DOOR STOPPER (PWD LR) p-46 it-97b/82</t>
  </si>
  <si>
    <t xml:space="preserve"> it-99 p-46</t>
  </si>
  <si>
    <t>8th</t>
  </si>
  <si>
    <t>PLASTERING IN C.M(1:3) 12 mmT.K</t>
  </si>
  <si>
    <t>C.P.STOPCOCK 20mM DIA 500 gm</t>
  </si>
  <si>
    <t>R.C.C(1:2:4) PETTY WORKS</t>
  </si>
  <si>
    <t>C.P.STOPCOCK 15mM DIA 300gm</t>
  </si>
  <si>
    <t>(50mmT.K PCC SLAB)</t>
  </si>
  <si>
    <t>CERAMIC-FLOOR TILES WHITE/PLAINCOLOUR-6MM tk (PWD LR) p40 it 5i (32.2/0.093025)</t>
  </si>
  <si>
    <t>SUNDRIES FOR MOULDIN ETC</t>
  </si>
  <si>
    <r>
      <t xml:space="preserve">Glazed-WALL TILES PLAINCOLOUR-6MM T.K (PWD LR) 100x200x6mm 
</t>
    </r>
    <r>
      <rPr>
        <b/>
        <sz val="12"/>
        <color indexed="8"/>
        <rFont val="Helv"/>
      </rPr>
      <t>item no. 11(ii)</t>
    </r>
  </si>
  <si>
    <t>G.M.VALUE WITH POLYTHENE BALL OF 15mmDIA</t>
  </si>
  <si>
    <t>TOTAL FOR ONE NUMBER</t>
  </si>
  <si>
    <t>G.M.VALUE WITH POLYTHENE BALL OF 20mmDIA</t>
  </si>
  <si>
    <t>G.M.VALUE WITH POLYTHENE BALL OF 25mmDIA</t>
  </si>
  <si>
    <t>C.P. SHOWER ROSE 1/2"X4"</t>
  </si>
  <si>
    <t>CHAMBER OF SIZE 60X60X75cm</t>
  </si>
  <si>
    <t>TARRED HEMP YARN p- 58 /194</t>
  </si>
  <si>
    <t>StonecutterII</t>
  </si>
  <si>
    <t>WHITE / Colour CEMENT (PWD LR) average p-41 it22+23/2</t>
  </si>
  <si>
    <t>WHITE CEMENT (PWD LR) p-41 /9</t>
  </si>
  <si>
    <t>COLOUR CEMENT (PWD LR)p-41/10</t>
  </si>
  <si>
    <t>Total for one sqm</t>
  </si>
  <si>
    <t>BRASS HEX NIPPLE15mm DIA</t>
  </si>
  <si>
    <t>BRASS HEX NIPPLE 20mm DIA</t>
  </si>
  <si>
    <t>COLOUR</t>
  </si>
  <si>
    <t>E.W.C. WITH S  TRAP it-162( 1)p-54</t>
  </si>
  <si>
    <t>SET</t>
  </si>
  <si>
    <t>ANGLO INDIAN WATER CLOSET WITH P OR S TRAP</t>
  </si>
  <si>
    <t>I.W.C. 18" WITH P OR S TRAP WITH FOOT REST</t>
  </si>
  <si>
    <t>PORCELIN FOOT REST</t>
  </si>
  <si>
    <t>WASH BASIN 480x400mm without pedastal it-169 p-55</t>
  </si>
  <si>
    <t>C.</t>
  </si>
  <si>
    <r>
      <t xml:space="preserve"> 20mm Thick slab:- For </t>
    </r>
    <r>
      <rPr>
        <b/>
        <sz val="12"/>
        <rFont val="Helv"/>
      </rPr>
      <t>kitchen arrangements only</t>
    </r>
  </si>
  <si>
    <t>FLATE BACK URINAL FOR MEN</t>
  </si>
  <si>
    <t>FLATE BACK URINAL FOR WOMEN it-173 I -p-55</t>
  </si>
  <si>
    <t>Cuddappah slab (One side polised).it-100 p-19</t>
  </si>
  <si>
    <t>CONSTRUCTION OF LEACH PIT AS</t>
  </si>
  <si>
    <t>P.V.C. SOIL PIPE 110mm DIA</t>
  </si>
  <si>
    <t>C.M 1:3</t>
  </si>
  <si>
    <t>PER SD NO 49/77</t>
  </si>
  <si>
    <t>P.V.C. SOIL PIPE 75mm DIA</t>
  </si>
  <si>
    <t>P.V.C. SOIL PIPE 50mm DIA</t>
  </si>
  <si>
    <t>E.W ONLY</t>
  </si>
  <si>
    <r>
      <t xml:space="preserve">P.V.C. SOIL BENDWITH DOOR 110mm DIA </t>
    </r>
    <r>
      <rPr>
        <b/>
        <sz val="12"/>
        <color indexed="13"/>
        <rFont val="Helv"/>
      </rPr>
      <t xml:space="preserve">Qtn </t>
    </r>
  </si>
  <si>
    <t>C.C(1:8:16)USING 40mm HBS</t>
  </si>
  <si>
    <t>P.V.C. SOIL BENDWITH DOOR 75mm DIA</t>
  </si>
  <si>
    <t>B.W. IN C.M(1:6) USING COUNTRY BRICK</t>
  </si>
  <si>
    <t>P.V.C. SOIL BENDWITH DOOR 50mm DIA</t>
  </si>
  <si>
    <t>Total for TEN sqm</t>
  </si>
  <si>
    <t>DRY BRICK WORK</t>
  </si>
  <si>
    <t>P.V.C. SOIL SHOE 110mm DIA p-104 it -N</t>
  </si>
  <si>
    <t xml:space="preserve"> 40mm HBS JELLY</t>
  </si>
  <si>
    <t>P.V.C. SOIL SHOE 75mm DIA</t>
  </si>
  <si>
    <t>RATE for one sqm</t>
  </si>
  <si>
    <t>P.V.C. SOIL SHOE 50mm DIA</t>
  </si>
  <si>
    <t>PLASTERING IN C.M(1:5)12mm T.K</t>
  </si>
  <si>
    <t xml:space="preserve">P.V.C. SOIL BEND W.O.D 110mm DIA p-102 it F by pasting </t>
  </si>
  <si>
    <t>SUPPLY OF 100mmS.W TEE</t>
  </si>
  <si>
    <t>P.V.C. SOIL BEND 75mm DIA</t>
  </si>
  <si>
    <t>R.C.C.(1:2:4) FOR PETTY WORK</t>
  </si>
  <si>
    <t>P.V.C. SOIL BEND 50mm DIA</t>
  </si>
  <si>
    <t>PCC-75MM T.K SLAB</t>
  </si>
  <si>
    <t xml:space="preserve">P.V.C. SOIL YEE 110mm DIA it-G p-103 by pasting </t>
  </si>
  <si>
    <t>P.V.C. SOIL YEE 75mm DIA</t>
  </si>
  <si>
    <t>P.V.C. SOIL YEE 50mm DIA</t>
  </si>
  <si>
    <t>P.V.C. SOIL YEEWITH DOOR 110mm DIA it-H p-103 single</t>
  </si>
  <si>
    <t>OF STEEL</t>
  </si>
  <si>
    <t>P.V.C. SOIL YEEWITH DOOR 75mm DIA</t>
  </si>
  <si>
    <t>CONSTRUCTION OF DISPERSION</t>
  </si>
  <si>
    <t>C.C(1:2:4)USING 20mmHB JELLY</t>
  </si>
  <si>
    <t>P.V.C. SOIL YEEWITH DOOR 50mm DIA</t>
  </si>
  <si>
    <t>TRENCH OF SIZE 3MX1MX1M</t>
  </si>
  <si>
    <t>4.2</t>
  </si>
  <si>
    <t>P.V.C. SOIL DOUBLE  YEE WITH DOOR 110mm ( double) it-K</t>
  </si>
  <si>
    <t>JELLY FOR ALL WATER RETAINING</t>
  </si>
  <si>
    <t xml:space="preserve">P.V.C. SOIL DOUBLE YEE WITH DOOR 75mm </t>
  </si>
  <si>
    <t>E.W EXCAVATION</t>
  </si>
  <si>
    <t>STRUCTURES AND R.C.C DOOR FRAMES</t>
  </si>
  <si>
    <t xml:space="preserve">P.V.C. SOIL DOUBLE YEE WITH DOOR 50mm </t>
  </si>
  <si>
    <t>SUPPLY OF 40mmB.J. METEL</t>
  </si>
  <si>
    <t>P.V.C. SOIL TEE 110mm DIA it C P-102</t>
  </si>
  <si>
    <t xml:space="preserve"> 100mm DIA S.W.PIPE</t>
  </si>
  <si>
    <t xml:space="preserve"> 3-10mmH.B.JELLY</t>
  </si>
  <si>
    <t>P.V.C. SOIL TEE 75mm DIA</t>
  </si>
  <si>
    <t>P.V.C. SOIL TEE 50mm DIA</t>
  </si>
  <si>
    <t>P.V.C. SOIL TEE WITH DOOR  110mm DIA (single) it-D P-102</t>
  </si>
  <si>
    <t>P.V.C. SOIL TEE WITH DOOR  75mm DIA</t>
  </si>
  <si>
    <t>P.V.C. SOIL TEE WITH DOOR  50mm DIA</t>
  </si>
  <si>
    <t>P.V.C. SOIL SLOTTED COWL 110mm DIA it-N P-104</t>
  </si>
  <si>
    <t>CONSTRUCTION OF SEPTIC TANK</t>
  </si>
  <si>
    <t>Plasticiser</t>
  </si>
  <si>
    <t>P.V.C. SOIL  SLOTTED COWL PIPE 75mm DIA</t>
  </si>
  <si>
    <t>OF SIZE 150X75X100cm( BER NO</t>
  </si>
  <si>
    <t>P.V.C. SOIL SLOTTEDCOWL 50mm DIA</t>
  </si>
  <si>
    <t>6/91-92)</t>
  </si>
  <si>
    <t>P.V.C. SOIL DOUBLE YEEE 110mm DIA</t>
  </si>
  <si>
    <t>P.V.C. SOIL DOUBLE YEE 75mm DIA</t>
  </si>
  <si>
    <t>WATER PROOF COMPOUND ( PWD LR)p40 it-1 An-vi</t>
  </si>
  <si>
    <t xml:space="preserve"> CC(1:2:4)IN20mmmHBS(PLAIN)</t>
  </si>
  <si>
    <t>ROUND RING</t>
  </si>
  <si>
    <t>A.C. SHEETFULLY CORRUGATED 6mmT.K (PWD LR -it-72 p-44)</t>
  </si>
  <si>
    <t>PLASTERING IN C.M(1:3)12mmT.K</t>
  </si>
  <si>
    <t>Add watering charges &amp; other (0.5%of sub-total)</t>
  </si>
  <si>
    <t>A.C. SHEET SEMI CORRUGATED 6mmT.K</t>
  </si>
  <si>
    <t>R.C.C(1:2:4)USING 20mmHBS</t>
  </si>
  <si>
    <t>A.C. RIDGE FOR FULLYCORRUGATED AC SHEET (PWD Lrit-57 p-39)</t>
  </si>
  <si>
    <t xml:space="preserve">PCC SLAB 50mm T.K </t>
  </si>
  <si>
    <t>Foundation &amp; Basement</t>
  </si>
  <si>
    <t>A.C. RIDGE FOR SEMI CORRUGATED AC SHEET (PWD Lrit-57 p-39)</t>
  </si>
  <si>
    <t>S/F OF S.W. TEE 1000mmmDIA</t>
  </si>
  <si>
    <t>U ORJ BOLT ANDBITUMENWASHERS</t>
  </si>
  <si>
    <t>GI HOT</t>
  </si>
  <si>
    <t>MTS</t>
  </si>
  <si>
    <t>S/F OF 50mmDIA A.C PIPE</t>
  </si>
  <si>
    <t>M.S.WINDOW GRILLS / Special extruded sections for Steel Windows *p23/131</t>
  </si>
  <si>
    <t>Kg p 44/76</t>
  </si>
  <si>
    <t>S/F OF 50mmDIA A.C COWL</t>
  </si>
  <si>
    <t>CONVEY,ALAIGN,JIONT ETC UP TO40mmPVC PIPE (TWAD SR-18-19 it-11b )</t>
  </si>
  <si>
    <t>CONVEY,ALAIGN,JIONT ETC OVER TO40mmPVC PIPE (TWAD SR-18-19 it-11b )</t>
  </si>
  <si>
    <t>CUTTING CHARGE OF PVC pipe20mm,25mm / 32 mm dia ( p-32 )</t>
  </si>
  <si>
    <t>THREADING CHARGES FOR PVC 20mm/25mm</t>
  </si>
  <si>
    <t>16.2</t>
  </si>
  <si>
    <t>SUPPLYING &amp; FIXING OF TERRACOTTA</t>
  </si>
  <si>
    <t>COST OFPVC PIPE JOINTING MATERIALS UPTO 40mm</t>
  </si>
  <si>
    <t>JALLY(NOT BELOW 50MM THICK) OF BEST</t>
  </si>
  <si>
    <t>COST OFPVC PIPE JOINTING MATERIALS OVER 40mm</t>
  </si>
  <si>
    <t>QUALITY AND FIXING IN POSITION WITH</t>
  </si>
  <si>
    <t>MISCELLANCEOUS ITEMS</t>
  </si>
  <si>
    <t>C.I.DOUBLE YEE JUNCTION WITH DOOR  100mmDIA</t>
  </si>
  <si>
    <t>CEMENT PASTE AND REDOXIDE PUTTY INCLUDING</t>
  </si>
  <si>
    <t>S.F OF A.C.SPOUT PIPE OF50 mm DIA</t>
  </si>
  <si>
    <r>
      <t xml:space="preserve">20mm HBG Machine crushed stone jelly   </t>
    </r>
    <r>
      <rPr>
        <b/>
        <sz val="12"/>
        <rFont val="Helv"/>
      </rPr>
      <t xml:space="preserve"> (7730 Kg)</t>
    </r>
  </si>
  <si>
    <t>C.I.DOUBLE YEE JUNCTION WITH DOOR  75mmDIA</t>
  </si>
  <si>
    <t>COST OF ALL FLOOR(THE TERRA COTTA JALLY</t>
  </si>
  <si>
    <t xml:space="preserve"> 18" LONG</t>
  </si>
  <si>
    <r>
      <t xml:space="preserve">10-12mm HBG Machine crushed stone jelly   </t>
    </r>
    <r>
      <rPr>
        <b/>
        <sz val="12"/>
        <rFont val="Helv"/>
      </rPr>
      <t xml:space="preserve"> (5156 Kg)</t>
    </r>
  </si>
  <si>
    <t>THREADING CHARGES FOR PVC 32mm/63mm</t>
  </si>
  <si>
    <t>QUALITY AND DESIGN SHALL BE GOT APPROVED</t>
  </si>
  <si>
    <r>
      <t xml:space="preserve">Sand   </t>
    </r>
    <r>
      <rPr>
        <b/>
        <sz val="12"/>
        <rFont val="Helv"/>
      </rPr>
      <t xml:space="preserve"> (7670 Kg)</t>
    </r>
  </si>
  <si>
    <t>C.I.DOUBLE YEE JUNCTION WITHOUT DOOR  100mmDIA</t>
  </si>
  <si>
    <t>BY THE DEPARTMENTAL OFFICERS</t>
  </si>
  <si>
    <t>SPOUT PIPE OF 50mm DIA</t>
  </si>
  <si>
    <t>Cement</t>
  </si>
  <si>
    <t>C.I.DOUBLE YEE JUNCTION WITHOUT DOOR  75mmDIA</t>
  </si>
  <si>
    <t>LABOUR FOR FIXING INCLUDING</t>
  </si>
  <si>
    <t>Plasticiser /Super plasticiser @ 1% of cement</t>
  </si>
  <si>
    <t>C.I.DOUBLE YEE JUNCTION WITHOUT DOOR  50mmDIA</t>
  </si>
  <si>
    <t>COST OF TERRACOTTA JALLY OF50mm</t>
  </si>
  <si>
    <t>CLAMP ETC</t>
  </si>
  <si>
    <t>Mason II</t>
  </si>
  <si>
    <t>C.I. YEE JUNCTION WITH DOOR  100mmDIA</t>
  </si>
  <si>
    <t>LABOUR FOR FIXING JALLY</t>
  </si>
  <si>
    <t>Maz I</t>
  </si>
  <si>
    <t>C.I. YEE JUNCTION WITH DOOR  75mmDIA</t>
  </si>
  <si>
    <t>FOR PLASTERING &amp; REDOXIDE PUTTY</t>
  </si>
  <si>
    <t>TOTAL FOR  ONE NOS.</t>
  </si>
  <si>
    <t>Maz II</t>
  </si>
  <si>
    <t>C.I. YEE JUNCTION WITH  DOOR  50mmDIA</t>
  </si>
  <si>
    <t>Total for 10 cum</t>
  </si>
  <si>
    <t>C.I. YEE JUNCTION WITHOUT DOOR  100mmDIA</t>
  </si>
  <si>
    <t>for 1 cum</t>
  </si>
  <si>
    <t>C.I. YEE JUNCTION WITHOUT DOOR  75mmDIA</t>
  </si>
  <si>
    <t xml:space="preserve">           </t>
  </si>
  <si>
    <t>S.F OF A.C.SPOUT PIPE OF75 mm DIA</t>
  </si>
  <si>
    <t>Vibrating charges p-28 /103</t>
  </si>
  <si>
    <t>C.I. YEE JUNCTION WITH OUT DOOR  50mmDIA</t>
  </si>
  <si>
    <t>Sub Total</t>
  </si>
  <si>
    <t>C.I. TEE JUNCTION WITH DOOR  100mmDIA</t>
  </si>
  <si>
    <t>Add for water charges &amp; other sundries (0.5 % of sub total</t>
  </si>
  <si>
    <t>C.I. TEE JUNCTION WITH DOOR  75mmDIA</t>
  </si>
  <si>
    <t>SPOUT PIPE OF 75mm DIA</t>
  </si>
  <si>
    <t xml:space="preserve">For RCC Door Frame </t>
  </si>
  <si>
    <t>C.I. TEE JUNCTION WITH  DOOR  50mmDIA</t>
  </si>
  <si>
    <t>C.I. TEE JUNCTION WITHOUT DOOR  100mmDIA</t>
  </si>
  <si>
    <t>C.I. TEE JUNCTION WITHOUT DOOR  75mmDIA</t>
  </si>
  <si>
    <t>16.3</t>
  </si>
  <si>
    <t>JALLY(NOT BELOW 110MM THICK) OF BEST</t>
  </si>
  <si>
    <t>C.I.SLOTTED COWL  100mmDIA</t>
  </si>
  <si>
    <t>C.I.SLOTTED COWL  75mmDIA</t>
  </si>
  <si>
    <t>C.I.SLOTTED COWL  50mmDIA</t>
  </si>
  <si>
    <t>S.F OF A.C.SPOUT PIPE OF100mm DIA</t>
  </si>
  <si>
    <t>C.I. GRATING 100mmDIA it-71 p-44</t>
  </si>
  <si>
    <t>C.I. GRATING 75mmDIA</t>
  </si>
  <si>
    <t>BY THE DEPARTMENTAL OFFICERS)</t>
  </si>
  <si>
    <t>G.I PIPE "A"CLASS 80mmDIA / 20mm dia G.I. Pipe class B</t>
  </si>
  <si>
    <t>p50 118/vi</t>
  </si>
  <si>
    <t>SPOUT PIPE OF 100mm DIA</t>
  </si>
  <si>
    <t>G.I. 80MM DIA BEND</t>
  </si>
  <si>
    <t>COST OF TERRACOTTA JALLY OF 110mm</t>
  </si>
  <si>
    <t>G.I. 80MM DIA CUPPLER</t>
  </si>
  <si>
    <t>G.I. 80MM DIA UNION</t>
  </si>
  <si>
    <t>G.I. 80MM DIA PLUG</t>
  </si>
  <si>
    <t>G.I. 80MM DIA TEE</t>
  </si>
  <si>
    <t>Solid panel PVC door with frame (Rajeshree) p-48 it-114a</t>
  </si>
  <si>
    <t>G.I. 80MM DIA HEX.NIPPLE</t>
  </si>
  <si>
    <t>G.I. 80MM X50mm REDUCER</t>
  </si>
  <si>
    <t>S.F OF G.I OUT LET PIPE OF 25mm DIA</t>
  </si>
  <si>
    <t>G.I. 80MM X65mm REDUCER</t>
  </si>
  <si>
    <t xml:space="preserve"> 30cm LONG</t>
  </si>
  <si>
    <t>G.I. 80MM X50mm REDUCER TEE</t>
  </si>
  <si>
    <t>G.I. 80MM X65mm REDUCER TEE</t>
  </si>
  <si>
    <t xml:space="preserve"> PIPE COST 25mm DIA</t>
  </si>
  <si>
    <t>Plasticiser /Super plasticiser @ .60% of cement (P57 item NO.198</t>
  </si>
  <si>
    <t>PLAIN GLASS</t>
  </si>
  <si>
    <t>P.V.C BEND</t>
  </si>
  <si>
    <t xml:space="preserve"> 15mm DIA</t>
  </si>
  <si>
    <t xml:space="preserve">PROVIDING FORM WORK AND CENTERING FOR </t>
  </si>
  <si>
    <t>PLAIN CONCRETE SURFACES FOR ALL R.C.C</t>
  </si>
  <si>
    <t>WORKS(beams &amp; lintels)</t>
  </si>
  <si>
    <t>COUNTRY WOOD ITEM</t>
  </si>
  <si>
    <t>=================</t>
  </si>
  <si>
    <t>P.V.C. COUPLER</t>
  </si>
  <si>
    <t>C.W BOARDING 40mm T.K</t>
  </si>
  <si>
    <t>a.</t>
  </si>
  <si>
    <t>DOOR OF SIZE 100X210Cm</t>
  </si>
  <si>
    <t>C.W JOIST(AVE.SIZE 100X6.5mm</t>
  </si>
  <si>
    <t>100mm DIA</t>
  </si>
  <si>
    <t>@90cm C/C)</t>
  </si>
  <si>
    <t>C.W.SCANTLING upto 4m long (Padak)</t>
  </si>
  <si>
    <t>P.V.C ELBOW</t>
  </si>
  <si>
    <t>CASURNA POST 10TO 13cmDIA</t>
  </si>
  <si>
    <t>MARINE PLYWOOD 12mm THICK</t>
  </si>
  <si>
    <t>AT75cm CENTERS</t>
  </si>
  <si>
    <t xml:space="preserve"> 6"X1/2" I.O.TOWER BOLT</t>
  </si>
  <si>
    <t>PLYWOOD FLUSH DOOR 30mm T.K FOR ALL SIZE</t>
  </si>
  <si>
    <t>TOTAL FOR   5 Operations for 10 sqm</t>
  </si>
  <si>
    <t xml:space="preserve"> 5" I.O.BUTT HINGS</t>
  </si>
  <si>
    <t>P.V.C.FLUSH D/F &amp; D/S 20mm T.K FOR 75X200cm</t>
  </si>
  <si>
    <t xml:space="preserve"> 10"X5/8" I.O ALDROP</t>
  </si>
  <si>
    <t>SINTEX WATER TANK OF 750 LIT it-165 p-54</t>
  </si>
  <si>
    <t>Litre</t>
  </si>
  <si>
    <t>COST  OF ONE OPERATION</t>
  </si>
  <si>
    <t>STEEL DOOR FRAMEOF SIZE 100X200</t>
  </si>
  <si>
    <t>CARPENTER I</t>
  </si>
  <si>
    <t>STEEL DOOR FRAMEOF SIZE 90X200</t>
  </si>
  <si>
    <t>STEEL DOOR FRAMEOF SIZE 75X200</t>
  </si>
  <si>
    <t>SUNDRIES FOR WEDGES,NAILS,COIR</t>
  </si>
  <si>
    <t>TOTAL FOR 1.815 SQM</t>
  </si>
  <si>
    <t>STEEL WINDOW FRAME&amp;SHUTTER WITHOUT GLASS</t>
  </si>
  <si>
    <t xml:space="preserve"> "   OF SIZE 132.5X120cm</t>
  </si>
  <si>
    <t xml:space="preserve"> "   OF SIZE 90X120cm</t>
  </si>
  <si>
    <t xml:space="preserve"> "   OF SIZE 47.5X120cm</t>
  </si>
  <si>
    <t>b.</t>
  </si>
  <si>
    <t>DOOR OF SIZE 90X200Cm</t>
  </si>
  <si>
    <t xml:space="preserve"> "   OF SIZE 90X105cm</t>
  </si>
  <si>
    <t xml:space="preserve"> "   OF SIZE 47.5X105cm</t>
  </si>
  <si>
    <t>C.W.SCANTLING(PLLLI,KARIMURUTH)</t>
  </si>
  <si>
    <t xml:space="preserve"> "   OF SIZE 90X90cm</t>
  </si>
  <si>
    <t>Centering for soffits for R.C.C.Slabs or</t>
  </si>
  <si>
    <t xml:space="preserve"> "   OF SIZE 47.5X90cm</t>
  </si>
  <si>
    <t>plane surfaces including shuttering up to 3m</t>
  </si>
  <si>
    <t>STEEL VENTILATTER FRAME&amp;SHUTTER WITHOUT GLASS</t>
  </si>
  <si>
    <t>height using M.S sheets of size 90mmx60mm and</t>
  </si>
  <si>
    <t xml:space="preserve"> "   OF SIZE 75X47.5cm</t>
  </si>
  <si>
    <t>HP 10G stiffened with welded M.S angle of</t>
  </si>
  <si>
    <t xml:space="preserve"> "   OF SIZE 90X47.5cm</t>
  </si>
  <si>
    <t>size 25x25x3mm laid over silver oak (C.W)</t>
  </si>
  <si>
    <t>joist 10cmx6.5cm spaced at75cm c/c complying</t>
  </si>
  <si>
    <t>P.V.C REDUCER ELBOW</t>
  </si>
  <si>
    <t>with standard specification</t>
  </si>
  <si>
    <t xml:space="preserve"> 50X25MM</t>
  </si>
  <si>
    <t>EACH</t>
  </si>
  <si>
    <t xml:space="preserve"> 50X40MM</t>
  </si>
  <si>
    <t>Cost of M.S sheet of size</t>
  </si>
  <si>
    <t>TOTAL FOR 1.6191 SQM</t>
  </si>
  <si>
    <t>PORCELINE WHITE GLASED SOAP DISH 200X100mm</t>
  </si>
  <si>
    <t>90x60cm of 10 gauge</t>
  </si>
  <si>
    <t>PORCEINE WASH BASIN OVAL SHAPE 480X400mm</t>
  </si>
  <si>
    <t>Cost of M.S angle of size</t>
  </si>
  <si>
    <t>END CAP SULATED P.V.C. MANHOLE STEP</t>
  </si>
  <si>
    <t xml:space="preserve"> 25x25x3mm</t>
  </si>
  <si>
    <t>P.V.C. DOUBLE TEE WITH DOOR 75mm DIA</t>
  </si>
  <si>
    <t>Add for cutting, bending,</t>
  </si>
  <si>
    <t>P.V.C. DOUBLE TEE WITH DOOR 100mm DIA</t>
  </si>
  <si>
    <t>welding charges etc.</t>
  </si>
  <si>
    <t>c.</t>
  </si>
  <si>
    <t>DOOR OF SIZE 75X200Cm</t>
  </si>
  <si>
    <t>P.V.C. DOUBLE TEE WITH OUT DOOR 75mm DIA</t>
  </si>
  <si>
    <t>Pipe</t>
  </si>
  <si>
    <t>P.V.C. DOUBLE TEE WITH OUT DOOR 100mm DIA</t>
  </si>
  <si>
    <t>POISHED CUDDAPAH SLAB 20mm/40 mm THICK WELL POISHED  p-20 it-104/105</t>
  </si>
  <si>
    <t>Cost of one operation</t>
  </si>
  <si>
    <t>CUDDAPAH SLAB SINK 60X45cm,20mmT.K p -55 it-171</t>
  </si>
  <si>
    <t>CUDDAPAH SLAB SINK 45X45cm,20mmT.K</t>
  </si>
  <si>
    <t>Adopting 40 uses for steel sheet and</t>
  </si>
  <si>
    <t>GRANITE SLAB 20mm THICK OF BEST QUALITY Synthetic Grey, p-42 /27c</t>
  </si>
  <si>
    <t>angles and 5 uses for C.W.joist and</t>
  </si>
  <si>
    <t xml:space="preserve"> 4" I.O.BUTT HINGS</t>
  </si>
  <si>
    <t>ELECTRICAL ARRANGEMENT:- BOARD APPROVED RATES</t>
  </si>
  <si>
    <t>casurina props</t>
  </si>
  <si>
    <t xml:space="preserve"> 6"X1/2" I.O ALDROP</t>
  </si>
  <si>
    <t>WRING WITH 1.5SQMM COPPER WIRE  CONCELLED</t>
  </si>
  <si>
    <t>TYPE FOR LIGHT POINT WITH CEILING ROSE</t>
  </si>
  <si>
    <t>POINT</t>
  </si>
  <si>
    <t>Cost of M.S Sheet and Angles</t>
  </si>
  <si>
    <t xml:space="preserve"> 1Use</t>
  </si>
  <si>
    <t>---DO---FOR LIGHT POINT WITH BATTERN HODER</t>
  </si>
  <si>
    <t>for one operation</t>
  </si>
  <si>
    <t xml:space="preserve"> ---DO---FOR FAN POINT </t>
  </si>
  <si>
    <t>Cost of silver oak scantling</t>
  </si>
  <si>
    <t>TOTAL FOR 1.3247 SQM</t>
  </si>
  <si>
    <t xml:space="preserve"> --DO--FOR 5AMP 5PIN PLUG AT SWITCH BOARD</t>
  </si>
  <si>
    <t>Casurnia props 10 to 13cm dia</t>
  </si>
  <si>
    <t xml:space="preserve"> --DO--FOR 5AMP 5PIN PLUG AT CONVENTENT PLACE</t>
  </si>
  <si>
    <t>Add for Silver oak planks</t>
  </si>
  <si>
    <t xml:space="preserve"> ---DO---FOR STAIR CASE LIGHT POINT </t>
  </si>
  <si>
    <t>Carpenter Ist</t>
  </si>
  <si>
    <t>S/F OF BULKHEAD FITTING SUITABLE FOR 100/60W p114 i25</t>
  </si>
  <si>
    <t>549A</t>
  </si>
  <si>
    <t>CUDDAPAH SLAB SINK 60X60cm,20mmT.K p -55 it-172</t>
  </si>
  <si>
    <t>Fitter IInd</t>
  </si>
  <si>
    <t>FLUSH SHUTTER P.V.C. 30mm THICK</t>
  </si>
  <si>
    <t>RUN OF MAINS 2-1.5 SQMM COPPER CONCELLED TYPE</t>
  </si>
  <si>
    <t>Add for nails, wedges,oils etc</t>
  </si>
  <si>
    <t xml:space="preserve"> SOLIDCORE OF BLACKBOARD</t>
  </si>
  <si>
    <t xml:space="preserve">S/F OF 16 AMP DPIC MAIN SWITCH </t>
  </si>
  <si>
    <t>Add for periodical cleaning,</t>
  </si>
  <si>
    <t>TYPE WITH COMMERCIAL TYPE</t>
  </si>
  <si>
    <t>EARTHING STATION ASPER IS3043</t>
  </si>
  <si>
    <t>painting etc  for M.S. Sheet</t>
  </si>
  <si>
    <t>LIPPING BOTH SIDES</t>
  </si>
  <si>
    <t>S/L OF 8SWG G.I WIRE FOREARTH TO MAIN</t>
  </si>
  <si>
    <t>SUPPLY OF 5-10AMP/10-20AMP ELE. ENERGY METER</t>
  </si>
  <si>
    <t>S/F OF CONSUMER UNIT OF 4NO OF 16AMP WAY</t>
  </si>
  <si>
    <t>FOR ALL SIZE OF DOORS/SQM</t>
  </si>
  <si>
    <t>RUN OF MAINS 4-4 SQMM COPPER CONCELLED TYPE</t>
  </si>
  <si>
    <t>LABOUR FOR FIXING CEIING FAN OF AL SWEEP</t>
  </si>
  <si>
    <t xml:space="preserve">S/F OF S.C TW BOARD,3-30AMPFUSE, EARTHPLATE </t>
  </si>
  <si>
    <t>PROVIDING FORMWORK AND</t>
  </si>
  <si>
    <t>STEEL DOOR FRAMES AND WINDOW FRAMES WITH SHUTTER</t>
  </si>
  <si>
    <t xml:space="preserve">RUN OF S.C WIRING WITH 2-4 SQMM COPPER ,7/20 GI </t>
  </si>
  <si>
    <t>CENTERING FOR PLAIN CONCRETE</t>
  </si>
  <si>
    <t>====</t>
  </si>
  <si>
    <t>S/F OF AERI FUSE UNIT 30AMP 500V AT E.B POLE</t>
  </si>
  <si>
    <t>SURFACES FOR SMALL QTY such as sunshade etc</t>
  </si>
  <si>
    <t>ITEM NO 1:-MANUFACTURING AND</t>
  </si>
  <si>
    <t>S/F OF 40mmDIA B-CASS G.I PIPE</t>
  </si>
  <si>
    <t>SUPPLYING OF STEEL DOOR frame OF</t>
  </si>
  <si>
    <t>S/F OF 40mmDIA B-CASS G.I COUPLER</t>
  </si>
  <si>
    <t>MS angles &amp; sheets for one</t>
  </si>
  <si>
    <t>ALL SIZES WITH OUT SHUTTER</t>
  </si>
  <si>
    <t>S/F OF 40mmDIA B-CASS G.I BEND</t>
  </si>
  <si>
    <t>use (1.2 times of operation</t>
  </si>
  <si>
    <t>MADE OF 100X50 18GAUGE CRCA</t>
  </si>
  <si>
    <t>S/F OF 40X40X6mmANGLE TO SUPPORT G.I.PIPE.</t>
  </si>
  <si>
    <t>for plain surface)</t>
  </si>
  <si>
    <t>STELL WITH ALL FOURNITURE AND</t>
  </si>
  <si>
    <t>S/F OF 15AMP 3PIN POWER PLUG WITH SWITCH</t>
  </si>
  <si>
    <t>C.W Joist for one use (1.2</t>
  </si>
  <si>
    <t>FITTINGS.</t>
  </si>
  <si>
    <t>RUN OF MAINS 2-2.5 SQMM COPPER CONCELLED TYPE</t>
  </si>
  <si>
    <t>times of operation for plain</t>
  </si>
  <si>
    <t>S/F OF SINGE PHASE ELCB OF CONCEAED TYPE</t>
  </si>
  <si>
    <t>surface)</t>
  </si>
  <si>
    <t>MARINE PLYWOOD OF 9mm THICK OF BWR GRADE L.R ( qtn)</t>
  </si>
  <si>
    <t>Manufacturing and supplying of</t>
  </si>
  <si>
    <t>m.s.angle window shutter  and</t>
  </si>
  <si>
    <t>m.s grills with out glass of</t>
  </si>
  <si>
    <t>all sizes of windows,ventilaters.</t>
  </si>
  <si>
    <t xml:space="preserve"> ---DO---FOR CALLING BELL POINT </t>
  </si>
  <si>
    <t>ADD FOR SILVER OKE PLANKS</t>
  </si>
  <si>
    <t>Supply and fixing of window</t>
  </si>
  <si>
    <t>Add for periodical cleaning</t>
  </si>
  <si>
    <t>glass panels of 4mm thick for</t>
  </si>
  <si>
    <t>and painting etc for M.S. Sheet</t>
  </si>
  <si>
    <t>steel window and ventilaters.</t>
  </si>
  <si>
    <t xml:space="preserve"> --DO--FOR 15AMP OWER PLUG</t>
  </si>
  <si>
    <t>Cost of 4mm window glass</t>
  </si>
  <si>
    <t>S/F OF BULK HEAD FITTING</t>
  </si>
  <si>
    <t>S/F OF DOUBLE POLE MAIN SWITCH</t>
  </si>
  <si>
    <t>nos.</t>
  </si>
  <si>
    <t>Carpenter I class</t>
  </si>
  <si>
    <t>S/F OF 6 WAY D.B</t>
  </si>
  <si>
    <t>LABOUR CHARGE FOR FIXING FAN</t>
  </si>
  <si>
    <t>Cost of binding meterials etc.,</t>
  </si>
  <si>
    <t>SUPPLY AND DELIVERY OF FAN 48"SWEEP</t>
  </si>
  <si>
    <t>SUPPLY AND DELIVERY OF FAN 42"SWEEP</t>
  </si>
  <si>
    <t>total for 0.4sqm</t>
  </si>
  <si>
    <t>S/F OF 8SWG G.I WIRE</t>
  </si>
  <si>
    <t>SURFACES FOR PLINTH BEAM ETC.</t>
  </si>
  <si>
    <t>Design Mix M30 Grade Concrete (CER 255/2012-13)</t>
  </si>
  <si>
    <t>RUN OFF MAIN WITH 2NO OF 1.50sq.mm WIRE</t>
  </si>
  <si>
    <t>Rate for one sqm</t>
  </si>
  <si>
    <t>20mm HBG</t>
  </si>
  <si>
    <t>EARTHING STATION AS PER ISI</t>
  </si>
  <si>
    <t>HALF THE RATE  OF F.W USING C.W.PLANKS</t>
  </si>
  <si>
    <t>10mm HBG</t>
  </si>
  <si>
    <t>S/F OF 1 NO OF 30 AMP FUSE UNIT.</t>
  </si>
  <si>
    <t>FOR LINTEL &amp; BEAMS</t>
  </si>
  <si>
    <t>Manufactoring and supplying of</t>
  </si>
  <si>
    <t>Sand</t>
  </si>
  <si>
    <t>S/F OF 375mmX300mmX20mmT.W.PLANK FOR S.C.</t>
  </si>
  <si>
    <t>R.C.C 1:1.5:3 USING 20mmHBG</t>
  </si>
  <si>
    <t xml:space="preserve">steel window, confirming to </t>
  </si>
  <si>
    <t>S/F OF METRE CUPBOARD</t>
  </si>
  <si>
    <t>IS 1038/1983.</t>
  </si>
  <si>
    <t>S/F OF STREET LIGHTS.</t>
  </si>
  <si>
    <r>
      <t xml:space="preserve">PROVIDING ANTI-TERMITE TREATMENT </t>
    </r>
    <r>
      <rPr>
        <b/>
        <sz val="12"/>
        <color indexed="13"/>
        <rFont val="Helv"/>
      </rPr>
      <t>Say 34</t>
    </r>
  </si>
  <si>
    <t>Window size 90x120cm</t>
  </si>
  <si>
    <t>PROVIDING ELCB WITH MCB IN MS BOX</t>
  </si>
  <si>
    <t xml:space="preserve"> 20mmH.B.JELLY</t>
  </si>
  <si>
    <t xml:space="preserve"> ---------------------</t>
  </si>
  <si>
    <t>Vibrating charges</t>
  </si>
  <si>
    <t>Flat back urinal WITH ALL ACCESSORIES (white)p-55 it-173</t>
  </si>
  <si>
    <t>Steel window with 10mm square</t>
  </si>
  <si>
    <t>Admixture</t>
  </si>
  <si>
    <t>WIRE MAN GR-I p-11 it-13</t>
  </si>
  <si>
    <t>horizontal with one coat of</t>
  </si>
  <si>
    <t>Batching plant</t>
  </si>
  <si>
    <t>Electrical HELPERp-15 it-100</t>
  </si>
  <si>
    <t>red oxide primer paint.</t>
  </si>
  <si>
    <t>Sundries</t>
  </si>
  <si>
    <t>Frosted glass  4mmthick it-106 p-44</t>
  </si>
  <si>
    <t>STACKING GHARGES HW DATA 16-17</t>
  </si>
  <si>
    <t>Iron hinge special type</t>
  </si>
  <si>
    <t>Stays and pegs</t>
  </si>
  <si>
    <t>CUTTING CHARGE OF PVC pipe32mm p-32 it-129</t>
  </si>
  <si>
    <t>Locking arrangements</t>
  </si>
  <si>
    <t>Design Mix M25 Grade Concrete (CER 255/2012-13)</t>
  </si>
  <si>
    <t>THREADING CHARGES FOR PVC 32mm</t>
  </si>
  <si>
    <t xml:space="preserve"> 12x12mm thick alu.beedings</t>
  </si>
  <si>
    <t xml:space="preserve">by pasting </t>
  </si>
  <si>
    <t>Labour Charges for fixing</t>
  </si>
  <si>
    <t>Alu. bolt and nuts</t>
  </si>
  <si>
    <t>Total for 1No</t>
  </si>
  <si>
    <t>Window size 90x105cm</t>
  </si>
  <si>
    <t>R.C.C DOOR FRAME</t>
  </si>
  <si>
    <t>Frosted glass 3mmthick</t>
  </si>
  <si>
    <t>21.1</t>
  </si>
  <si>
    <t>SUPPLYING AND FIXING MONOLITHIC RCC DOOR</t>
  </si>
  <si>
    <t>FRAME OF SIZEM 100MMX75MM WITH ONE EDGE</t>
  </si>
  <si>
    <t>GROOVE OF SIZE 30MMX20MM IN RCC(1:1.5:3)USING</t>
  </si>
  <si>
    <t>20MM HBS JELLY INCLUDING COST OF STEEL AND</t>
  </si>
  <si>
    <t>FABRICATION OF REINFORCEMENT WITH -6MM M.S</t>
  </si>
  <si>
    <t>ROD AROUND AND 3MM STEEL STIRRUP AT 30CM C/C</t>
  </si>
  <si>
    <t>INCLUDING FIXING OF 3NOS OF IRON BRACKET OF</t>
  </si>
  <si>
    <t>SIZE 100MMX100MMX5MM, 6NOS OF HOLDFAST</t>
  </si>
  <si>
    <t>CHECKNUTS AND ALUMINIUM SLEEVES AND 2 NOS OF</t>
  </si>
  <si>
    <t xml:space="preserve">RCC door </t>
  </si>
  <si>
    <t>I.O.TOWER BOLT RECEIVER ALL AS PER DRAWING</t>
  </si>
  <si>
    <t>1200MMX2100MM SIZE OF DOOR FRAME</t>
  </si>
  <si>
    <t>INCLUDING MOULDING INSTEEL MOULD PRECASTING</t>
  </si>
  <si>
    <t>WITH SMOOTH SURFACE AND FINE EDGES, CURING,</t>
  </si>
  <si>
    <t>R.C.C.IN C.C 1:1.5:3</t>
  </si>
  <si>
    <t>TRANSPORTING ETC., ALL COMPLETE, AS DIRECTED</t>
  </si>
  <si>
    <t>FAB OF M.S STEEL</t>
  </si>
  <si>
    <t>BY DEPT.OFFICERS.</t>
  </si>
  <si>
    <t>HANGER BRACKET</t>
  </si>
  <si>
    <t>ALU.SLEEVES</t>
  </si>
  <si>
    <t>TOWER BOLT RECEIVER</t>
  </si>
  <si>
    <t>1000MMX2100MM SIZE OF DOOR FRAME</t>
  </si>
  <si>
    <t>TAILNUT FOR BOLT</t>
  </si>
  <si>
    <t>1000MMX2400MM SIZE OF DOOR FRAME</t>
  </si>
  <si>
    <t>-------------------------------</t>
  </si>
  <si>
    <t>MASON Ist</t>
  </si>
  <si>
    <t>MAZDOOR Ist</t>
  </si>
  <si>
    <t>MOULDING CHARGES</t>
  </si>
  <si>
    <t>HANDLING CHARGES MAZDOOR-II</t>
  </si>
  <si>
    <t>ADD FOR OIL,CONVEYANCE ETC.,</t>
  </si>
  <si>
    <t>TOTAL FOR 1 NO</t>
  </si>
  <si>
    <t>Window size 60x120cm</t>
  </si>
  <si>
    <t>Frosted glass 4mmthick</t>
  </si>
  <si>
    <t>900MMX2100MM SIZE OF DOOR FRAME</t>
  </si>
  <si>
    <t>1500MMX2100MM SIZE OF DOOR FRAME</t>
  </si>
  <si>
    <r>
      <t xml:space="preserve">Satndardised cement Concrtet </t>
    </r>
    <r>
      <rPr>
        <b/>
        <sz val="12"/>
        <rFont val="Helv"/>
      </rPr>
      <t>M30 grade 1:1.5:3 without vibrating charges</t>
    </r>
  </si>
  <si>
    <t>21.2</t>
  </si>
  <si>
    <t>SUPPLING  AND FIXING OF BEST T.W.WROUGHT AND</t>
  </si>
  <si>
    <t>PUTUP FOR DOORS, WINDOWS AND VENTILATERS ETC</t>
  </si>
  <si>
    <t>LABOUR CHARGES:-</t>
  </si>
  <si>
    <t>700MMX2100MM SIZE OF DOOR FRAME</t>
  </si>
  <si>
    <t>1500MMX2400MM SIZE OF DOOR FRAME</t>
  </si>
  <si>
    <t>TOTAL FOR .0283 CUM</t>
  </si>
  <si>
    <t>TOTAL FOR ONE CUM</t>
  </si>
  <si>
    <t>S&amp;F P.V.C. 20mmTHICK DOOR SHUTTER WITH DOOR FRAME OF SIZE 40mmX57mm FOR OUTER FRAME AND THE SINGLE LEAF SHUTTER MADEOF PLASTIC SHEET 20mmX200mm FOR SHUTTER PANNEL AND SHUTTER FRAME OF PLASTIC 24mmX59mm WITH 8 NOS OF 3 HINGS ALU,2N0S OFAL. HANDLES</t>
  </si>
  <si>
    <t>FOR DOORS OF ALL SIZE</t>
  </si>
  <si>
    <t>…</t>
  </si>
  <si>
    <t>FOR DOORS OF ALL SIZE (Qtn. For syntex.) Hollow p44 98a</t>
  </si>
  <si>
    <t>TEAK WOODS</t>
  </si>
  <si>
    <t xml:space="preserve">========= </t>
  </si>
  <si>
    <t>TEAK WOOD WROUGHT &amp; PUT UP</t>
  </si>
  <si>
    <t>T.W.SCANTLING 2M-3M LONG</t>
  </si>
  <si>
    <t>LABOUR CHARGE FOR WROUGHT &amp; PUTUP</t>
  </si>
  <si>
    <t>RATE FOR T.W.SCANDLING 2M-3M LONG</t>
  </si>
  <si>
    <t>T.W.SCANTLING UP TO 2M LONG</t>
  </si>
  <si>
    <t>22.1 (a)</t>
  </si>
  <si>
    <t>COUNTRY WOOD SINGLY LEAF FULLY PANELLED</t>
  </si>
  <si>
    <t>DOOR SHUTTER FOR DOOR OF SIZE</t>
  </si>
  <si>
    <t>1000 X 2100MM</t>
  </si>
  <si>
    <t>RATE FOR T.W.SCANTLING 2M LONG</t>
  </si>
  <si>
    <t>SHUTTER SIZE-.9X2.025   =1.823M2</t>
  </si>
  <si>
    <t>STYLES(OVER 2M) -1X2X2.025X0.075X0.0375=0.0114</t>
  </si>
  <si>
    <t>T.W.SINGLY LEAF FULLY PANELLED</t>
  </si>
  <si>
    <t>RAILS(BELOW 2M)- 1X4X0.9X0.15X0.0375=      0.0203</t>
  </si>
  <si>
    <t xml:space="preserve">               - 1X2X0.70625X0.075X0.0375 =0.0040</t>
  </si>
  <si>
    <t>PLANKS      -1X4X0.58125X0.3375X0.01875=</t>
  </si>
  <si>
    <t xml:space="preserve">             -1X1X0.725X0.3375X0.01875=</t>
  </si>
  <si>
    <t xml:space="preserve">C.W SCANTLING UPTO 4M LONG </t>
  </si>
  <si>
    <t xml:space="preserve">C.W SCANTLING  UPTO 4M LONG </t>
  </si>
  <si>
    <t>C.W PLANKS 25mm thick, 30cm WIDE</t>
  </si>
  <si>
    <t>LABOUR FOR WROUGHT&amp;PUTUP</t>
  </si>
  <si>
    <t>DOOR HANDLE WITH CP SCREWS</t>
  </si>
  <si>
    <t xml:space="preserve">  5"BUTT HINGS</t>
  </si>
  <si>
    <t>T.W SCANTLING  ABOVE 2M LONG</t>
  </si>
  <si>
    <t xml:space="preserve"> 6"X1/2"TOWER BOLT</t>
  </si>
  <si>
    <t>T.W SCANTLING  BELOW 2M LONG</t>
  </si>
  <si>
    <t>10"X5/8"ALDROP</t>
  </si>
  <si>
    <t>T.W PLANKS OVER 15TO 30cm</t>
  </si>
  <si>
    <t>NYLONBUSH</t>
  </si>
  <si>
    <t>WIDE&amp;12TO15mm T.K</t>
  </si>
  <si>
    <t>DOOR HANDLE WITH CP SCREWS 6"</t>
  </si>
  <si>
    <t>TOTAL FOR 1.8230SQM</t>
  </si>
  <si>
    <t>Nos.</t>
  </si>
  <si>
    <t>Brass screw p-59 it-210</t>
  </si>
  <si>
    <t>No,</t>
  </si>
  <si>
    <t>22.1 (b)</t>
  </si>
  <si>
    <t>900 X 2100MM</t>
  </si>
  <si>
    <t>SHUTTER SIZE0-.8X2.05   =1.64M2</t>
  </si>
  <si>
    <t>STYLES(OVER 2M) -1X2X2.05X0.075X0.0375=0.0115</t>
  </si>
  <si>
    <t>RAILS(BELOW 2M)- 1X4X0.8X0.15X0.0375=      0.018</t>
  </si>
  <si>
    <t xml:space="preserve">               - 1X2X0.73125X0.075X0.0375 =0.0040</t>
  </si>
  <si>
    <t>PLANKS      -1X4X0.60625X0.2875X0.01875=</t>
  </si>
  <si>
    <t xml:space="preserve">             -1X1X0.625X0.2875X0.01875=</t>
  </si>
  <si>
    <t>BWR   single leaf</t>
  </si>
  <si>
    <t>(a)</t>
  </si>
  <si>
    <t>DOOR OF SIZE 750X2100 MM</t>
  </si>
  <si>
    <t xml:space="preserve"> 5" ALU BUTT HINGES</t>
  </si>
  <si>
    <t>ALU.HANDLE WITH C.P.SCREWS 6"</t>
  </si>
  <si>
    <t>Brass screw</t>
  </si>
  <si>
    <t>brass screws</t>
  </si>
  <si>
    <t>TOTAL FOR 1.6400SQM</t>
  </si>
  <si>
    <t>22.1 (c)</t>
  </si>
  <si>
    <t>700 X 2100MM</t>
  </si>
  <si>
    <t>SHUTTER SIZE0-.6X2.025   =1.215M2</t>
  </si>
  <si>
    <t>RAILS(BELOW 2M)- 1X2X0.6X0.15X0.0375=      0.0068</t>
  </si>
  <si>
    <t xml:space="preserve">               - 1X3X0.6X0.075X0.0375 =0.0051</t>
  </si>
  <si>
    <t>PLANKS      -1X5X0.425X0.295X0.01875=</t>
  </si>
  <si>
    <t>23.1.</t>
  </si>
  <si>
    <t>S/F OF BWR PLYWOOD DOOR</t>
  </si>
  <si>
    <t>SHUTTER WITH VERTICALS AND</t>
  </si>
  <si>
    <t>TOTAL FOR 1.215SQM</t>
  </si>
  <si>
    <t>TOP RAIL AND BOTTOM RAILS</t>
  </si>
  <si>
    <t>WITH 9mm THICK MARINE GRADE</t>
  </si>
  <si>
    <t>BWR  PLYWOOD WITH</t>
  </si>
  <si>
    <t>I.O FITTINGS AS PER SCHEDULE E</t>
  </si>
  <si>
    <t>Hollow type PVC door with frame</t>
  </si>
  <si>
    <t>STYLES(OVER 2M) -1X2X2.05X0.075X0.0375=0.01153</t>
  </si>
  <si>
    <t>RAILS(BELOW 2M)- 1X3X0.8X0.15X0.0375=      0.0135</t>
  </si>
  <si>
    <t>PLANKS      -1X1X0.625X0.64=0.40</t>
  </si>
  <si>
    <t>PLANKS      -1X1X0.985X0.625=0.616</t>
  </si>
  <si>
    <t>1.016M2</t>
  </si>
  <si>
    <r>
      <t>S/F OF</t>
    </r>
    <r>
      <rPr>
        <b/>
        <sz val="12"/>
        <rFont val="Helv"/>
      </rPr>
      <t xml:space="preserve"> BWR PLYWOOD DOOR</t>
    </r>
  </si>
  <si>
    <t>DOOR OF SIZE 900 X2100 MM</t>
  </si>
  <si>
    <t>C.W.SCANTLING UPTO 4M length (PADAK)</t>
  </si>
  <si>
    <r>
      <t xml:space="preserve">I.O FITTINGS AS PER SCHEDULE E </t>
    </r>
    <r>
      <rPr>
        <b/>
        <sz val="12"/>
        <rFont val="Helv"/>
      </rPr>
      <t>1200 x 2100mm size</t>
    </r>
  </si>
  <si>
    <t>SHUTTER SIZE0-1.1X2.05   =2.255M2</t>
  </si>
  <si>
    <t>STYLES(OVER 2M) -2X2X2.05X0.075X0.0375=0.02306</t>
  </si>
  <si>
    <t>RAILS(BELOW 2M)- 2X3X0.55X0.15X0.0375=      0.01856</t>
  </si>
  <si>
    <t>ALU.HANDLE WITH C.P.SCREWS</t>
  </si>
  <si>
    <t>PLANKS      -1X2X0.625X0.425=0.53</t>
  </si>
  <si>
    <t>PLANKS      -1X2X1.025X0.425=0.87</t>
  </si>
  <si>
    <t>1.40M2</t>
  </si>
  <si>
    <t>TOTAL FOR 1.64 SQM</t>
  </si>
  <si>
    <t>DOOR OF SIZE 1200 X2100 MM</t>
  </si>
  <si>
    <t>DOOR OF SIZE 1000 X2100 MM</t>
  </si>
  <si>
    <t>22.2(a)</t>
  </si>
  <si>
    <t>TW single leaf glazed window</t>
  </si>
  <si>
    <t xml:space="preserve">shutter  for frame of overall height 135cm </t>
  </si>
  <si>
    <t>TW scantling below 2m length</t>
  </si>
  <si>
    <t>frosted glass 4mmthick</t>
  </si>
  <si>
    <t>TOTAL FOR 2.255 SQM</t>
  </si>
  <si>
    <t xml:space="preserve"> 3" ALU BUTT HINGES</t>
  </si>
  <si>
    <t xml:space="preserve"> 2"X5/16" ALU. TOWERBOLT</t>
  </si>
  <si>
    <t>TOTAL FOR 1.845SQM</t>
  </si>
  <si>
    <t>NYLON BUSH with screws</t>
  </si>
  <si>
    <t>6" hooks and eyes</t>
  </si>
  <si>
    <t>TOTAL FOR .4766 SQM</t>
  </si>
  <si>
    <t>22.2(c)</t>
  </si>
  <si>
    <t xml:space="preserve">shutter  for frame of overall height 105cm </t>
  </si>
  <si>
    <t>1800 X 2100MM (Double leaves)</t>
  </si>
  <si>
    <t>WIDE&amp;12TO25mm T.K</t>
  </si>
  <si>
    <t>TOTAL FOR .362 SQM</t>
  </si>
  <si>
    <t>22.2(d)</t>
  </si>
  <si>
    <t>TW Swing type ventilater</t>
  </si>
  <si>
    <t>of size 90x 60cm</t>
  </si>
  <si>
    <t>pair</t>
  </si>
  <si>
    <t xml:space="preserve"> pivoted hinges with screw</t>
  </si>
  <si>
    <t>3" hooks and eyes</t>
  </si>
  <si>
    <t>8" hooks and eyes</t>
  </si>
  <si>
    <t>TOTAL FOR .40 SQM</t>
  </si>
  <si>
    <t>T.W SCANTLING above 2m</t>
  </si>
  <si>
    <t>T.W SCANTLING below 2m</t>
  </si>
  <si>
    <t>T.W PLANKS (15.30 CM) (12 TO 25CM THICK)</t>
  </si>
  <si>
    <t>LABOUR CHARGES FOR WROUGHT AND PUT UP</t>
  </si>
  <si>
    <t>TW  double leaf shutter for ward robe / cup board</t>
  </si>
  <si>
    <t>NOS</t>
  </si>
  <si>
    <t>DOOR HANDLE 6"</t>
  </si>
  <si>
    <t>5" BUTT HINGES</t>
  </si>
  <si>
    <t>6" X .6" TOWER BOLTS</t>
  </si>
  <si>
    <t>SHUTTER SIZE 1.2X2.1   =2.52M2</t>
  </si>
  <si>
    <t>10" X 5/8" ALDROPS</t>
  </si>
  <si>
    <t>TW scantling(OVER 2M) -1X2X2.1X0.075X0.0375=0.0118</t>
  </si>
  <si>
    <t>TW scantling(below 2M) -1X2X1.2X0.075X0.0375=0.00675</t>
  </si>
  <si>
    <t>Shutter styles(vertical) -1X4X1.95X0.075X0.0375=0.02194</t>
  </si>
  <si>
    <t>Shutter styles(Horizantal) -2X2X0.4X0.075X0.0375=0.0045</t>
  </si>
  <si>
    <t>============</t>
  </si>
  <si>
    <t>0000000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1</t>
  </si>
  <si>
    <t>Shutter(OSL Board)      -1X2X1.825X0.4=1.46m2</t>
  </si>
  <si>
    <t>RATE FOR 2.835 SQM</t>
  </si>
  <si>
    <t>Shutter area      -1X1X1.05X1.95=2.05 m2</t>
  </si>
  <si>
    <t>LABOUR FOR WROUGHT &amp;PUTUP</t>
  </si>
  <si>
    <t>BISON PANEL  8MMTK. OSL</t>
  </si>
  <si>
    <t>LABOUR CHARGE FOR SHUTTER</t>
  </si>
  <si>
    <t xml:space="preserve"> 3"X5/8"ALU.TOWER BOLT</t>
  </si>
  <si>
    <t xml:space="preserve"> ORNAMENTAL; HANDLE WITH SCREWS(100mm)p46 it-98c </t>
  </si>
  <si>
    <t>LOCKS &amp;KEY Qtn</t>
  </si>
  <si>
    <t>VARNISH TWO COATS</t>
  </si>
  <si>
    <t>SUNDRIES FOR NAILS,PLUGS ETC.</t>
  </si>
  <si>
    <t>TOTAL FOR 2.52 SQM</t>
  </si>
  <si>
    <t>Cement Concrete using design mix of grade M25 concrete for all RCC works</t>
  </si>
  <si>
    <t>10mmH.B.JELLY</t>
  </si>
  <si>
    <t>BEST VARNISHING ONE COAT OVER WOOD WORK</t>
  </si>
  <si>
    <t>Lit.</t>
  </si>
  <si>
    <t>BEST VARNISH</t>
  </si>
  <si>
    <t>LINSEED OIL BOILED</t>
  </si>
  <si>
    <t>Mazdoor I</t>
  </si>
  <si>
    <t>Mazdoor II</t>
  </si>
  <si>
    <t>SUNDRIES FOR BRUSHES,ETC</t>
  </si>
  <si>
    <t>TOTAL FOR TEN SQM</t>
  </si>
  <si>
    <t>In Foundation and Basement</t>
  </si>
  <si>
    <t>BEST VARNISHING TWO COAT OVER WOOD WORK</t>
  </si>
  <si>
    <t>BEST VARNISH p38/31</t>
  </si>
  <si>
    <t>10th</t>
  </si>
  <si>
    <t>Supplying and fixing of Magnetic Door Catches</t>
  </si>
  <si>
    <t>23.2</t>
  </si>
  <si>
    <r>
      <t xml:space="preserve">Supplying and fixing </t>
    </r>
    <r>
      <rPr>
        <b/>
        <sz val="12"/>
        <rFont val="Helv"/>
      </rPr>
      <t>4mm thick pin</t>
    </r>
  </si>
  <si>
    <t>headed glass panels 450x1350</t>
  </si>
  <si>
    <t xml:space="preserve"> 4mm glass frosted </t>
  </si>
  <si>
    <t xml:space="preserve"> 12x12mm Alu.Beedings ( Qtn)</t>
  </si>
  <si>
    <t>Alu. bolts and nuts( Qtn)</t>
  </si>
  <si>
    <t>Labour for fixing glass paneles</t>
  </si>
  <si>
    <t xml:space="preserve"> (1.08SQM LABOUR =.25CARPENTER-II)</t>
  </si>
  <si>
    <t>Total for 0.5334 Sqm</t>
  </si>
  <si>
    <t>Rate for one Sqm.</t>
  </si>
  <si>
    <t>S &amp; F of Granite slab of size 4'x2', 18 to 20mm Thick For kitchen arrangements (jet black) for SP and ADSP</t>
  </si>
  <si>
    <t>S &amp; F of Granite tile of size 2'x 1', 10mm Thick For kitchen arrangements (jet black for SFO)</t>
  </si>
  <si>
    <t>STEEL GRILLS FOR WINDOWS &amp; VENTILATER</t>
  </si>
  <si>
    <t>Granite slab ( Jet Black) p-42 it-27a</t>
  </si>
  <si>
    <t>Granite slab ( Jet Black) p-38 it-13 a</t>
  </si>
  <si>
    <t>WITH SUITABLE LEDGES including piming coat</t>
  </si>
  <si>
    <t>RATE AS PER  PWD LR For Window  p 44/ it 76</t>
  </si>
  <si>
    <t>Mason IIst</t>
  </si>
  <si>
    <t>Steel grill for Verandah Enclousure PWD SR p23/ Item 168/131</t>
  </si>
  <si>
    <t>Supplying and fixing M.S.Hold Qtn</t>
  </si>
  <si>
    <t>fast with screws</t>
  </si>
  <si>
    <t>FINISHING THE TOP OF FLOORING</t>
  </si>
  <si>
    <t>WITH C.M(1:4)20mm THICK</t>
  </si>
  <si>
    <t>MAZDOOR  I</t>
  </si>
  <si>
    <t>SUNDRIES WITH PLASTICIER</t>
  </si>
  <si>
    <t xml:space="preserve">Granite Tiles flooring in cm1:3,20mm thk </t>
  </si>
  <si>
    <t>Satheleri Grey</t>
  </si>
  <si>
    <t>Eurocon tile/ Designer tile flooring (as per CER-112/2007-08)</t>
  </si>
  <si>
    <t>COST OF granite FLOOR TILES, 
gray</t>
  </si>
  <si>
    <t>Old rate</t>
  </si>
  <si>
    <t>C.M(1:3)</t>
  </si>
  <si>
    <t>29.2</t>
  </si>
  <si>
    <t>MOSAIC FLOORING IN C.M(1:3)</t>
  </si>
  <si>
    <r>
      <t xml:space="preserve">COST OF Eurocon TILES </t>
    </r>
    <r>
      <rPr>
        <b/>
        <sz val="12"/>
        <rFont val="Helv"/>
      </rPr>
      <t>(pwd -p 41/17</t>
    </r>
  </si>
  <si>
    <t>LABOUR FOR LAYING &amp; POINTING</t>
  </si>
  <si>
    <t>USING GREY COLOUR TILES</t>
  </si>
  <si>
    <t>COST OF GRAY COLOUR  TILES</t>
  </si>
  <si>
    <t>25X25X2cm</t>
  </si>
  <si>
    <t>Grout</t>
  </si>
  <si>
    <t>white/colour cement</t>
  </si>
  <si>
    <t>POLISHING</t>
  </si>
  <si>
    <t>HIRE CHARGES FOR POWER POLISH</t>
  </si>
  <si>
    <t>Vertified tile flooring (Colour)</t>
  </si>
  <si>
    <t>SR 2018-2019</t>
  </si>
  <si>
    <t>ELCT.CHARGES</t>
  </si>
  <si>
    <t>COST OF POLISHING STONE</t>
  </si>
  <si>
    <t>MOSAIC POLISHER FOR POLISHING</t>
  </si>
  <si>
    <t>COST OF Vitified TILES (LSR New It-1) p-53 it-156</t>
  </si>
  <si>
    <t>Vertified  tile flooring  ( Ivory)</t>
  </si>
  <si>
    <t>MAZDOORII FOR WATER,WASHING ETC</t>
  </si>
  <si>
    <t>COST OF Vertified TILES (p51, it-156)</t>
  </si>
  <si>
    <t>S &amp; F of Granite tile of size 2'x1', 10mm Thick For kitchen arrangements (Ruby red)</t>
  </si>
  <si>
    <t>Grout joint filler</t>
  </si>
  <si>
    <t>COST OF granite FLOOR TILES, 
Ruby Red  p-42 26b</t>
  </si>
  <si>
    <t>Providing White/Color ceramic floor tiles (Anti-skid)of</t>
  </si>
  <si>
    <t>any size 0f 6mm T.K including pointing etc.,</t>
  </si>
  <si>
    <t>as directed by the Dept.Officers.</t>
  </si>
  <si>
    <t>COST OF CERAMIC FLOOR TILES</t>
  </si>
  <si>
    <t>Vertified tile flooring IVORY</t>
  </si>
  <si>
    <t>d448</t>
  </si>
  <si>
    <t>Grout ( qtn)</t>
  </si>
  <si>
    <r>
      <t xml:space="preserve">COST OF Vertified TILES  </t>
    </r>
    <r>
      <rPr>
        <b/>
        <sz val="16"/>
        <color indexed="13"/>
        <rFont val="Helv"/>
      </rPr>
      <t>qtn</t>
    </r>
  </si>
  <si>
    <t>710          ruby red</t>
  </si>
  <si>
    <t>Suppling and laying granite wall cladding</t>
  </si>
  <si>
    <t xml:space="preserve"> in C.M(1:2)  </t>
  </si>
  <si>
    <t>COST OF granite TILES</t>
  </si>
  <si>
    <t>C.M(1:2)</t>
  </si>
  <si>
    <t>Suppling and laying White/Plain colour</t>
  </si>
  <si>
    <t>Mazdoor-I</t>
  </si>
  <si>
    <t xml:space="preserve">Glazed tiles in C.M(1:2)  </t>
  </si>
  <si>
    <t>COST OF GLAZED  TILES</t>
  </si>
  <si>
    <t>TOTAL FOR 1.860 SQM</t>
  </si>
  <si>
    <r>
      <t xml:space="preserve">Suppling and laying </t>
    </r>
    <r>
      <rPr>
        <b/>
        <sz val="12"/>
        <rFont val="Helv"/>
      </rPr>
      <t>colour matt finish floor tiles</t>
    </r>
  </si>
  <si>
    <t>COST OF matt finish wall of 12x12
(Quotation rate)</t>
  </si>
  <si>
    <r>
      <t xml:space="preserve">Suppling and laying </t>
    </r>
    <r>
      <rPr>
        <b/>
        <sz val="12"/>
        <rFont val="Helv"/>
      </rPr>
      <t>colour matt finish wall tiles</t>
    </r>
  </si>
  <si>
    <t>COST OF  TILES (Quotation rate)</t>
  </si>
  <si>
    <r>
      <t xml:space="preserve">PAINTING TWO COATS OVER NEW           </t>
    </r>
    <r>
      <rPr>
        <b/>
        <sz val="12"/>
        <rFont val="Helv"/>
      </rPr>
      <t>(as per CER-112/2007-08)</t>
    </r>
  </si>
  <si>
    <r>
      <t xml:space="preserve">S &amp; F of </t>
    </r>
    <r>
      <rPr>
        <b/>
        <sz val="12"/>
        <rFont val="Helv"/>
      </rPr>
      <t>Granite slab 18mm to 12mm Thick</t>
    </r>
    <r>
      <rPr>
        <sz val="11"/>
        <color theme="1"/>
        <rFont val="Calibri"/>
        <family val="2"/>
        <scheme val="minor"/>
      </rPr>
      <t xml:space="preserve"> For </t>
    </r>
    <r>
      <rPr>
        <b/>
        <sz val="12"/>
        <rFont val="Helv"/>
      </rPr>
      <t xml:space="preserve">kitchen arrangements </t>
    </r>
  </si>
  <si>
    <t xml:space="preserve">PLASTERED SURFACE WITH </t>
  </si>
  <si>
    <r>
      <t>WATER REPELLANT PAINT</t>
    </r>
    <r>
      <rPr>
        <sz val="11"/>
        <color theme="1"/>
        <rFont val="Calibri"/>
        <family val="2"/>
        <scheme val="minor"/>
      </rPr>
      <t xml:space="preserve"> OVER ONE PRIMER COAT</t>
    </r>
  </si>
  <si>
    <r>
      <t xml:space="preserve">Granite slab </t>
    </r>
    <r>
      <rPr>
        <b/>
        <sz val="12"/>
        <rFont val="Helv"/>
      </rPr>
      <t>(Ruby red) P-38 it-14 b</t>
    </r>
  </si>
  <si>
    <t>WITH C.M(1:3)20mm THICK</t>
  </si>
  <si>
    <t xml:space="preserve"> (NO SAND)USING GRANITECHIPS</t>
  </si>
  <si>
    <t>COST OF PAINT</t>
  </si>
  <si>
    <r>
      <t xml:space="preserve">OF 10mm&amp;BELOW </t>
    </r>
    <r>
      <rPr>
        <b/>
        <sz val="12"/>
        <rFont val="Helv"/>
      </rPr>
      <t>(ELLISPATTERN)</t>
    </r>
  </si>
  <si>
    <t>LIT</t>
  </si>
  <si>
    <t>PRIMER (LMR item 112) p44</t>
  </si>
  <si>
    <t xml:space="preserve">PAINTER I </t>
  </si>
  <si>
    <t xml:space="preserve">STONE JELLY 3mm to 10mm </t>
  </si>
  <si>
    <t xml:space="preserve">PAINTER II </t>
  </si>
  <si>
    <t>Mazdoor IIst</t>
  </si>
  <si>
    <t>Pointing the joint</t>
  </si>
  <si>
    <t>Thorough scrapping p28 /108</t>
  </si>
  <si>
    <t>31.</t>
  </si>
  <si>
    <r>
      <t>WEATHERING COURSE</t>
    </r>
    <r>
      <rPr>
        <sz val="11"/>
        <color theme="1"/>
        <rFont val="Calibri"/>
        <family val="2"/>
        <scheme val="minor"/>
      </rPr>
      <t xml:space="preserve"> WITH BRICK</t>
    </r>
  </si>
  <si>
    <t>40.</t>
  </si>
  <si>
    <r>
      <t xml:space="preserve">PAINTING TWO COATS OVER NEW            </t>
    </r>
    <r>
      <rPr>
        <b/>
        <sz val="12"/>
        <rFont val="Helv"/>
      </rPr>
      <t xml:space="preserve"> (as per CER-112/2007-08)</t>
    </r>
  </si>
  <si>
    <t>JELLY LIME IN RATIO 32:121/2</t>
  </si>
  <si>
    <r>
      <t xml:space="preserve">S &amp; F of </t>
    </r>
    <r>
      <rPr>
        <b/>
        <sz val="12"/>
        <rFont val="Helv"/>
      </rPr>
      <t>Granite slab 18mm to 20mm Thick</t>
    </r>
    <r>
      <rPr>
        <sz val="11"/>
        <color theme="1"/>
        <rFont val="Calibri"/>
        <family val="2"/>
        <scheme val="minor"/>
      </rPr>
      <t xml:space="preserve"> For </t>
    </r>
    <r>
      <rPr>
        <b/>
        <sz val="12"/>
        <rFont val="Helv"/>
      </rPr>
      <t xml:space="preserve">kitchen arrangements </t>
    </r>
  </si>
  <si>
    <t>BY VOLUMN WELL WATERING</t>
  </si>
  <si>
    <t>Plastic Emulsion PAINT</t>
  </si>
  <si>
    <t>CONSOLIDATED WITH WOODEN</t>
  </si>
  <si>
    <r>
      <t xml:space="preserve">Granite slab </t>
    </r>
    <r>
      <rPr>
        <b/>
        <sz val="12"/>
        <rFont val="Helv"/>
      </rPr>
      <t>( Jet Black) P-38 it-14 a</t>
    </r>
  </si>
  <si>
    <t>BEATERS TO REQUIRED SLOP</t>
  </si>
  <si>
    <t>Plastic Emulsion PAINT  (LMR item 113) p-50 132( First qty</t>
  </si>
  <si>
    <t>Primer     (LMR item 112) p44</t>
  </si>
  <si>
    <t>BROKEN BRICKJELLY2OmmGAUGE</t>
  </si>
  <si>
    <t>COST OF LIME STONE</t>
  </si>
  <si>
    <t>Providing cooling tiles over terrace floor</t>
  </si>
  <si>
    <t>COST OF CERAMIC FLOOR TILES p-58 it-197 a</t>
  </si>
  <si>
    <t>6-10mm thick metal</t>
  </si>
  <si>
    <r>
      <t xml:space="preserve">Granite slab </t>
    </r>
    <r>
      <rPr>
        <b/>
        <sz val="12"/>
        <color indexed="10"/>
        <rFont val="Helv"/>
      </rPr>
      <t>(Ruby red) P-42 it-27b</t>
    </r>
  </si>
  <si>
    <t>POINTING WITH C.M.(1:3)FOR</t>
  </si>
  <si>
    <t>Pointing with CM 1:3</t>
  </si>
  <si>
    <t>PRESSED TILES</t>
  </si>
  <si>
    <t>CEMENT MORTER(1:3)</t>
  </si>
  <si>
    <t>ABC plus powder</t>
  </si>
  <si>
    <t>Colour cement p-36</t>
  </si>
  <si>
    <t>ABC Grout</t>
  </si>
  <si>
    <t>Base concrete 1:2:4 (6-10mm thick metal)</t>
  </si>
  <si>
    <t>FINISHING TOP OF ROOF WITH</t>
  </si>
  <si>
    <t>ONE  COURSE OF PRESSED TILES</t>
  </si>
  <si>
    <t>OVER A BED OF C.M(1:3),</t>
  </si>
  <si>
    <t>12mmTHICK MIXED WITH WATER PROOF COMPOUND</t>
  </si>
  <si>
    <t>Aluminium section</t>
  </si>
  <si>
    <t>AT 2% BY WEIGHT OF CEMENT</t>
  </si>
  <si>
    <t>Two legged scaffolding</t>
  </si>
  <si>
    <t>Aluminium window openable 1.35x1.05m  (Six leaves)</t>
  </si>
  <si>
    <t>PRESSED TILES 23X23X2cm P-15</t>
  </si>
  <si>
    <t>15cm dia casurina poles p -22 /145a.</t>
  </si>
  <si>
    <t>glass 4mm pin headed</t>
  </si>
  <si>
    <t>POINTING WITH C.M(1:3)</t>
  </si>
  <si>
    <t>Country wood planks p -22 137</t>
  </si>
  <si>
    <t>rubber beeding</t>
  </si>
  <si>
    <t>WPC</t>
  </si>
  <si>
    <t>hinges</t>
  </si>
  <si>
    <t>Total for 10 times</t>
  </si>
  <si>
    <t>handle</t>
  </si>
  <si>
    <t>For one operation</t>
  </si>
  <si>
    <t>hinges it-77 a p-40</t>
  </si>
  <si>
    <t>stay</t>
  </si>
  <si>
    <t>stiffner</t>
  </si>
  <si>
    <t>holdfast</t>
  </si>
  <si>
    <t>labbour charges</t>
  </si>
  <si>
    <t>Coir, nails etc.</t>
  </si>
  <si>
    <t>sundries</t>
  </si>
  <si>
    <t>Total for 6 Rmt.</t>
  </si>
  <si>
    <t>Rate per each</t>
  </si>
  <si>
    <t>Total for1 Rmt.</t>
  </si>
  <si>
    <t>Aluminium window openable 1.05x1.35m  (Four leaves)</t>
  </si>
  <si>
    <t>Providing Granite slab flooring of</t>
  </si>
  <si>
    <t>Aluminium window openable 0.90x1.35m  (Four leaves)</t>
  </si>
  <si>
    <t>COST OF Granite  tile 20mm tk(Ruby red/raw silk) polished</t>
  </si>
  <si>
    <t>PRESSED TILES 23X23X18MM</t>
  </si>
  <si>
    <t>Aluminium window openable 0.50x1.35m (Two leaves)</t>
  </si>
  <si>
    <t>Aluminium window openable 1.80x1.35m (Eight leaves)</t>
  </si>
  <si>
    <t>33.</t>
  </si>
  <si>
    <t>PLASTERING C.M(1:5) 12mmTHICK</t>
  </si>
  <si>
    <t>Aluminium window openable 1.35x1.35m (Six leaves)</t>
  </si>
  <si>
    <t>Aluminium section (p-44/78a)</t>
  </si>
  <si>
    <t>rubber beeding P-45/81</t>
  </si>
  <si>
    <t>hinges 75mm x 30 mm P-45/94 b</t>
  </si>
  <si>
    <t>handle 150 mm long p-42 /80b</t>
  </si>
  <si>
    <t>stay 10"</t>
  </si>
  <si>
    <t>Aluminium window openable 0.90x0.60m (Two leaves)</t>
  </si>
  <si>
    <t>Aluminium window openable 1.80x2.20m (Eight leaves)</t>
  </si>
  <si>
    <t>34.</t>
  </si>
  <si>
    <t>PLASTERING C.M(1:4) 12mmTHICK</t>
  </si>
  <si>
    <t>Aluminium window openable 1.20x1.35m  (Four leaves)</t>
  </si>
  <si>
    <t>Aluminium section (p-40/61a)</t>
  </si>
  <si>
    <t>rubber beeding P-41/64</t>
  </si>
  <si>
    <t>hinges 75mm x 30 mm P-41/77 b</t>
  </si>
  <si>
    <t>35.</t>
  </si>
  <si>
    <t>PLASTERING C.M(1:3) 10mmTHICK</t>
  </si>
  <si>
    <t>Aluminium window openable 0.90x1.20m  (Four leaves)</t>
  </si>
  <si>
    <t>2014-15 RATE</t>
  </si>
  <si>
    <t>Aluminium window openable 0.45x1.35m (Two leaves)</t>
  </si>
  <si>
    <t>PLASTERING C.M(1:3)12mmTHICK</t>
  </si>
  <si>
    <t>MIXEDWITH WATER PROOF COMPOUND</t>
  </si>
  <si>
    <t xml:space="preserve">  2Kg/10 SQM</t>
  </si>
  <si>
    <t>Alum Vent 0.90x0.45m</t>
  </si>
  <si>
    <t>Data based on Police Acadamy</t>
  </si>
  <si>
    <t>Aluminium luvered Ventilator 0.60x0.60m</t>
  </si>
  <si>
    <t>WATER PROOF COMPOUNDS</t>
  </si>
  <si>
    <t>Rate / Sqm</t>
  </si>
  <si>
    <t>Aluminium window openable 1.80x1.65m (Eight leaves)</t>
  </si>
  <si>
    <t>Aluminium luvered Ventilator 0.75x0.60m</t>
  </si>
  <si>
    <t>36.</t>
  </si>
  <si>
    <t>Providing Band with C.M 1:5, 12mm thick</t>
  </si>
  <si>
    <t>and 75mmwide in all floors including</t>
  </si>
  <si>
    <t>Aluminium window openable 0.75x1.35m (Two leaves)</t>
  </si>
  <si>
    <t>finishing with neat cement scaffolding</t>
  </si>
  <si>
    <t>curing etc complete.</t>
  </si>
  <si>
    <t>Aluminium window openable 1.20x1.05m (Four leaves)</t>
  </si>
  <si>
    <t xml:space="preserve"> 150mm Thick Band</t>
  </si>
  <si>
    <t>Cement mortar1:5</t>
  </si>
  <si>
    <t>Masn Ist</t>
  </si>
  <si>
    <t>Aluminium window Fixed 0.90x2.10m</t>
  </si>
  <si>
    <t>Total for 6.77Rmt</t>
  </si>
  <si>
    <t>Rate per Rmt.</t>
  </si>
  <si>
    <t xml:space="preserve"> 75mm Thick Band</t>
  </si>
  <si>
    <t>Aluminium Ventilator 1.285x0.60m</t>
  </si>
  <si>
    <t>Aluminium Ventilator 0.90x0.60m</t>
  </si>
  <si>
    <t>50mm Thick Band</t>
  </si>
  <si>
    <t>Aluminium Ventilator 1.35x0.60m</t>
  </si>
  <si>
    <t>WHITE WASHING THREE COAT</t>
  </si>
  <si>
    <t>Aluminium window openable 1.50x1.35m  (Six leaves)</t>
  </si>
  <si>
    <t>SUNDRIES FOR BRUSH,BLUE,GUM ETC</t>
  </si>
  <si>
    <t>38.1.</t>
  </si>
  <si>
    <t>CEMENT PAINTING TWO COATS</t>
  </si>
  <si>
    <t>OVER THE PRIMER COAT OF</t>
  </si>
  <si>
    <t>APPROVED CEMENT PAINT FOR NEW</t>
  </si>
  <si>
    <t>PLASTERED SURFACES</t>
  </si>
  <si>
    <t>CEMENT PAINT</t>
  </si>
  <si>
    <t>PAINTER I</t>
  </si>
  <si>
    <t>38.2</t>
  </si>
  <si>
    <t>Matt paint Two coats</t>
  </si>
  <si>
    <t>SUPERCEM PAINTING TWO COATS</t>
  </si>
  <si>
    <t>Lts</t>
  </si>
  <si>
    <t>Painter Ist</t>
  </si>
  <si>
    <t>Mazdoor IInd</t>
  </si>
  <si>
    <t>SUPERCEM</t>
  </si>
  <si>
    <t>Total for 10 Sqm</t>
  </si>
  <si>
    <t>PAINTING TWO COATS OVER new</t>
  </si>
  <si>
    <t>WOOD WORKS WITH IIND CLASS</t>
  </si>
  <si>
    <t>SYNTHETIC ENAMEL PAINT INCL.PRIMER COAT.</t>
  </si>
  <si>
    <t>Aluminium window openable 1.80 x 1.65 m =2.97m2</t>
  </si>
  <si>
    <t>READY MIXED PRIMER PAINT</t>
  </si>
  <si>
    <t>FRENCH WINDOW Reference Data Nagapattinam Ar Ph-XIX  CER 224-2012-2013</t>
  </si>
  <si>
    <t>READY MIXED IIND CLASS PAINT</t>
  </si>
  <si>
    <t>Clip Beading</t>
  </si>
  <si>
    <t>Glass 4mm pin headed</t>
  </si>
  <si>
    <t>Rubber beeding</t>
  </si>
  <si>
    <t>sets</t>
  </si>
  <si>
    <t>Max hinges (10")</t>
  </si>
  <si>
    <t>Handle</t>
  </si>
  <si>
    <t>Holdfast</t>
  </si>
  <si>
    <t>Labbour charges</t>
  </si>
  <si>
    <t>PAINTING TWO COATS OVER NEW</t>
  </si>
  <si>
    <t>RATE  FOR   EACH</t>
  </si>
  <si>
    <t>IRON WORKS WITH IIND CLASS</t>
  </si>
  <si>
    <t>SYNTHETIC ENAMEL PAINT</t>
  </si>
  <si>
    <r>
      <t xml:space="preserve">FITTER  </t>
    </r>
    <r>
      <rPr>
        <b/>
        <sz val="13"/>
        <rFont val="Arial"/>
        <family val="2"/>
      </rPr>
      <t>Ist CLASS</t>
    </r>
  </si>
  <si>
    <r>
      <t xml:space="preserve">MAZDOOR  </t>
    </r>
    <r>
      <rPr>
        <b/>
        <sz val="13"/>
        <rFont val="Arial"/>
        <family val="2"/>
      </rPr>
      <t>Ist CLASS</t>
    </r>
  </si>
  <si>
    <r>
      <t>CARPENTER</t>
    </r>
    <r>
      <rPr>
        <b/>
        <sz val="13"/>
        <rFont val="Arial"/>
        <family val="2"/>
      </rPr>
      <t xml:space="preserve"> II CLASS</t>
    </r>
  </si>
  <si>
    <t xml:space="preserve"> LABOUR RATE </t>
  </si>
  <si>
    <t>ANTI-CORROSIVE TREATMENT FOR STEEL</t>
  </si>
  <si>
    <t>FABRICATION  (RCC WORKS)</t>
  </si>
  <si>
    <r>
      <t xml:space="preserve">ANTI-CORROSIVE(COROLOK-CP </t>
    </r>
    <r>
      <rPr>
        <sz val="12"/>
        <color indexed="13"/>
        <rFont val="Helv"/>
      </rPr>
      <t>( qtn)</t>
    </r>
  </si>
  <si>
    <t>/PROTEKLOL) CHEMICALS</t>
  </si>
  <si>
    <t>BRUSHES GLOVES ETC</t>
  </si>
  <si>
    <t>TRANSPORTING AND HANDLING</t>
  </si>
  <si>
    <t>PAINTERII</t>
  </si>
  <si>
    <t>SUNDRIES FOR BRUSHES,CLOTH ETC</t>
  </si>
  <si>
    <t>TOTTAL FOR 1 MT</t>
  </si>
  <si>
    <t>42.</t>
  </si>
  <si>
    <t>SUPPLYING AND FABRICATING AND</t>
  </si>
  <si>
    <t>PLACING  M.S RODS/RTS ROD (upto 16mm dia)</t>
  </si>
  <si>
    <t>QUTL</t>
  </si>
  <si>
    <t>R.T.S RODS/M.S.RODS UPTO 16MM DIA</t>
  </si>
  <si>
    <t>BINDING WIRE</t>
  </si>
  <si>
    <t>FITTER I</t>
  </si>
  <si>
    <t>Cement for slurry</t>
  </si>
  <si>
    <t>Painter-II</t>
  </si>
  <si>
    <t>TOTTAL FOR 1 QTL</t>
  </si>
  <si>
    <t>RATE PER M.T</t>
  </si>
  <si>
    <t>b. above 16mm dia</t>
  </si>
  <si>
    <t>R.T.S RODS/M.S.RODS ABOVE 16MM DIA</t>
  </si>
  <si>
    <t>43.</t>
  </si>
  <si>
    <t>COASTAL AREA</t>
  </si>
  <si>
    <t>PLACING R.T.S RODS/MS RODS upto 16mm dia(without cement  slurry)</t>
  </si>
  <si>
    <t>BINDING WIRE insulated with PVC as per circular</t>
  </si>
  <si>
    <t>PLACING R.T.S RODS/MS RODS above 16mm dia(without cement  slurry)</t>
  </si>
  <si>
    <t>SUPPLY AND FIXING OF</t>
  </si>
  <si>
    <t>110mmDIA P.V.C RAIN WATER</t>
  </si>
  <si>
    <r>
      <t>DOWN FALL PIPE    T</t>
    </r>
    <r>
      <rPr>
        <b/>
        <sz val="12"/>
        <rFont val="Helv"/>
      </rPr>
      <t>ype- A  SWR pipe</t>
    </r>
  </si>
  <si>
    <t xml:space="preserve"> 110mmDIA P.V.C PIPE</t>
  </si>
  <si>
    <t xml:space="preserve"> 110mmDIA P.V.C PLAIN BEND</t>
  </si>
  <si>
    <t xml:space="preserve"> 110mmDIA P.V.C SHOE</t>
  </si>
  <si>
    <t>SPECIAL CLAMP</t>
  </si>
  <si>
    <t>C.I. GRATING 100mm DIA</t>
  </si>
  <si>
    <t>PLUMBER I</t>
  </si>
  <si>
    <t>UPVC SPECIAL CLAMP as per qtn</t>
  </si>
  <si>
    <t>COST OF PLUG SCREWS , RUBBER</t>
  </si>
  <si>
    <t>LUBRICANT ETC</t>
  </si>
  <si>
    <t>TOTAL FOR 3 RMT</t>
  </si>
  <si>
    <t>45.</t>
  </si>
  <si>
    <t>STUCCO PLASTERING 12mm tk.</t>
  </si>
  <si>
    <t>CHIPSUSING 86.5KgCEMENT AND</t>
  </si>
  <si>
    <t>.15CUM FOR 10  SQM</t>
  </si>
  <si>
    <t>BLUE METEL 3-10mm HBG</t>
  </si>
  <si>
    <t>46.</t>
  </si>
  <si>
    <t>SUPPLYING AND FIXING OF 20MM</t>
  </si>
  <si>
    <t>DIA  ALUMINIUM HANGER ROD TO</t>
  </si>
  <si>
    <t>THE  REQUIRED LENGTH WITH</t>
  </si>
  <si>
    <t>ALUMINUM END BRACKETS INCLUDING</t>
  </si>
  <si>
    <t>COST OF SCREWS TW PLUGS AND</t>
  </si>
  <si>
    <t>LABOUR CHARGES FOR FIXING IN</t>
  </si>
  <si>
    <t>POSTION COMPLETE IN ALL RESPECT</t>
  </si>
  <si>
    <t>AND AS DIRECTED BY THE DEPT,</t>
  </si>
  <si>
    <t>OFFICERS</t>
  </si>
  <si>
    <t xml:space="preserve"> 2omm alu. hanger rod </t>
  </si>
  <si>
    <t>Alu.Bracket with screws</t>
  </si>
  <si>
    <t>Sundries FOR PLUGS ,NAILS AND LABOUR ETC.,</t>
  </si>
  <si>
    <t>Total for 1 Rmt</t>
  </si>
  <si>
    <t>47.</t>
  </si>
  <si>
    <r>
      <t xml:space="preserve">SUPPLY AND FIXING ALUMINUM </t>
    </r>
    <r>
      <rPr>
        <b/>
        <sz val="12"/>
        <rFont val="Helv"/>
      </rPr>
      <t xml:space="preserve">TOWEL RAIL </t>
    </r>
    <r>
      <rPr>
        <sz val="11"/>
        <color theme="1"/>
        <rFont val="Calibri"/>
        <family val="2"/>
        <scheme val="minor"/>
      </rPr>
      <t>OF</t>
    </r>
  </si>
  <si>
    <t>70CM LONG INCLUDING COST OF SCREW TW</t>
  </si>
  <si>
    <t>PLUGS AND LABOURS CHARGES FOR FIXING IN</t>
  </si>
  <si>
    <t>POSITION ETC COMPLETE IN ALL RESPECT AND</t>
  </si>
  <si>
    <t>AS DIRECTED BY THE DEPT OFFICERS.</t>
  </si>
  <si>
    <t>no</t>
  </si>
  <si>
    <t>Alu.Towel rail 75Cm long</t>
  </si>
  <si>
    <t>Alu. Bolt With screws</t>
  </si>
  <si>
    <t>Labour for fixing and cost of</t>
  </si>
  <si>
    <t>T.W.Pluges</t>
  </si>
  <si>
    <t>48.</t>
  </si>
  <si>
    <r>
      <t xml:space="preserve">SUPPLING AND FIXING </t>
    </r>
    <r>
      <rPr>
        <b/>
        <sz val="12"/>
        <rFont val="Helv"/>
      </rPr>
      <t>COAT STAND</t>
    </r>
  </si>
  <si>
    <t>WITH FIVE PINS</t>
  </si>
  <si>
    <t>Cost of Coat stand</t>
  </si>
  <si>
    <t xml:space="preserve">Labour for fixing </t>
  </si>
  <si>
    <t>Total for 1 No.</t>
  </si>
  <si>
    <t>49.</t>
  </si>
  <si>
    <r>
      <t xml:space="preserve">SUPPLING AND FIXING OF </t>
    </r>
    <r>
      <rPr>
        <b/>
        <sz val="12"/>
        <rFont val="Helv"/>
      </rPr>
      <t>PICTURE HOOKS</t>
    </r>
  </si>
  <si>
    <t>Cost of Picture hooks</t>
  </si>
  <si>
    <t>Supplying and fixing of Precast slab</t>
  </si>
  <si>
    <t>50mm thick made in C.C 1:3:6 using 20mm</t>
  </si>
  <si>
    <t>Hbs jelly ,moulding the slab, laying,</t>
  </si>
  <si>
    <t>curing,transporting and placing in</t>
  </si>
  <si>
    <t>possition etc complete</t>
  </si>
  <si>
    <t xml:space="preserve"> 20mm HBS Jelly</t>
  </si>
  <si>
    <t>C.M. 1:3</t>
  </si>
  <si>
    <t>Mason IInd</t>
  </si>
  <si>
    <t>Total for 10  cum</t>
  </si>
  <si>
    <t>Rate per  cum</t>
  </si>
  <si>
    <t>PRECAST Plain cement concrete P.C.C</t>
  </si>
  <si>
    <r>
      <t xml:space="preserve">Slabs of 50mm thick </t>
    </r>
    <r>
      <rPr>
        <b/>
        <sz val="12"/>
        <rFont val="Helv"/>
      </rPr>
      <t>(precast slab 50mm Thick)</t>
    </r>
  </si>
  <si>
    <t>C.C. 1:3:6 using 20mm HBS</t>
  </si>
  <si>
    <t>Precasting Charges ( 6.28*120sqm=753.6/18=41.87each)</t>
  </si>
  <si>
    <t>Transporting</t>
  </si>
  <si>
    <t>Laying and Pointing</t>
  </si>
  <si>
    <t>Total for 6.28 Sqm</t>
  </si>
  <si>
    <t>Rate per Sqm</t>
  </si>
  <si>
    <t>PCC 1:3:6, for petty works</t>
  </si>
  <si>
    <t>moulding charges</t>
  </si>
  <si>
    <t>Total for .01 cum</t>
  </si>
  <si>
    <t>Rate per cum</t>
  </si>
  <si>
    <t>50.2</t>
  </si>
  <si>
    <r>
      <t>KERB STONE</t>
    </r>
    <r>
      <rPr>
        <sz val="11"/>
        <color theme="1"/>
        <rFont val="Calibri"/>
        <family val="2"/>
        <scheme val="minor"/>
      </rPr>
      <t xml:space="preserve"> 450x300x150mm</t>
    </r>
  </si>
  <si>
    <t xml:space="preserve"> 'including Transporting charges</t>
  </si>
  <si>
    <t>Total for 9 m</t>
  </si>
  <si>
    <t>Rate per M</t>
  </si>
  <si>
    <t>50.3</t>
  </si>
  <si>
    <t>PLANTING AVENUE TREES</t>
  </si>
  <si>
    <t>Earth work excavation</t>
  </si>
  <si>
    <t>Manure</t>
  </si>
  <si>
    <t>RED EARTH</t>
  </si>
  <si>
    <t>River sand</t>
  </si>
  <si>
    <t>mixing charges</t>
  </si>
  <si>
    <t>nos</t>
  </si>
  <si>
    <t>Avenue trees</t>
  </si>
  <si>
    <t>RM</t>
  </si>
  <si>
    <t>Casurina props 5 to 8cm dia p22 / It- 148 d</t>
  </si>
  <si>
    <t>filling chares</t>
  </si>
  <si>
    <t>l.s</t>
  </si>
  <si>
    <t>Maintenance charges</t>
  </si>
  <si>
    <t>Total for 20 no.</t>
  </si>
  <si>
    <t>Total for 1 no.</t>
  </si>
  <si>
    <t>50.4</t>
  </si>
  <si>
    <t xml:space="preserve"> AVENUE TREE GUARD</t>
  </si>
  <si>
    <t>CW reepers 50x25 cm it-139 p-22</t>
  </si>
  <si>
    <t>Casurina props 5 to 8cm dia</t>
  </si>
  <si>
    <t>Chicken mesh</t>
  </si>
  <si>
    <t>Carpenter II</t>
  </si>
  <si>
    <t>Fitter I</t>
  </si>
  <si>
    <t xml:space="preserve">sundries </t>
  </si>
  <si>
    <t>50.5</t>
  </si>
  <si>
    <t>PROVIDING SCHME NAME BOARD</t>
  </si>
  <si>
    <t>CC 1:5:10</t>
  </si>
  <si>
    <t>KG</t>
  </si>
  <si>
    <t>MS angle</t>
  </si>
  <si>
    <t>MS Stiffner</t>
  </si>
  <si>
    <t>MS Sheet</t>
  </si>
  <si>
    <t>Welding charges</t>
  </si>
  <si>
    <r>
      <t xml:space="preserve">Painting / lettering charges </t>
    </r>
    <r>
      <rPr>
        <sz val="12"/>
        <color indexed="13"/>
        <rFont val="Helv"/>
      </rPr>
      <t>qtn</t>
    </r>
  </si>
  <si>
    <t>Labour for erection of board</t>
  </si>
  <si>
    <t>Bolts &amp;nuts</t>
  </si>
  <si>
    <t>PROVIDING ANTI-TERMITE TREATMENT</t>
  </si>
  <si>
    <t>51.</t>
  </si>
  <si>
    <t>PVC WATER TANK OF 700 LITRE CAPACITY p64 /207</t>
  </si>
  <si>
    <t>Ex. free board with ISI mark</t>
  </si>
  <si>
    <t>PVC WATER TANK OF 200 LITRE CAPACITY</t>
  </si>
  <si>
    <t>JOINTING P.V.C PIPE AND SPECIALS</t>
  </si>
  <si>
    <t>c</t>
  </si>
  <si>
    <t xml:space="preserve"> 20mm Dia</t>
  </si>
  <si>
    <t>MASAN I</t>
  </si>
  <si>
    <t xml:space="preserve">COST OF CLAMPS PLUGS </t>
  </si>
  <si>
    <t>JOINTING MATERIALS ETC</t>
  </si>
  <si>
    <t xml:space="preserve"> 25mm</t>
  </si>
  <si>
    <t>32mm</t>
  </si>
  <si>
    <t>40mm</t>
  </si>
  <si>
    <t>SUPPLYING AND LAYING THE FOLLOWING PVC</t>
  </si>
  <si>
    <t>PIPES WITH NECESSARY SPECIALS ELBOWS,</t>
  </si>
  <si>
    <t>CUTTING CHARGES p -31 Itm 131</t>
  </si>
  <si>
    <t>TEE,REDUCE ,PLUG,UNION,BEND,COUPLE,</t>
  </si>
  <si>
    <t>THREADING CHARGES p -31 Itm 132</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</si>
  <si>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</si>
  <si>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</si>
  <si>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</si>
  <si>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</si>
  <si>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</si>
  <si>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</si>
  <si>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</si>
  <si>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 xml:space="preserve"> 20MM DIA PVC PIPE ABOVE G.L:-</t>
  </si>
  <si>
    <t xml:space="preserve">COST OF 20MM DIA PVC PIPE </t>
  </si>
  <si>
    <t>ADD 70% FOR PVC/GI SPECIALS</t>
  </si>
  <si>
    <t>LABOUR FOR LAYING &amp; FIXING</t>
  </si>
  <si>
    <t>TOTAL FOR 1 RMT</t>
  </si>
  <si>
    <t xml:space="preserve"> 40MM DIA PVC PIPE ABOVE G.L:-</t>
  </si>
  <si>
    <t xml:space="preserve"> 25MM DIA PVC PIPE ABOVE G.L:-</t>
  </si>
  <si>
    <t xml:space="preserve">COST OF40MM DIA PVC PIPE </t>
  </si>
  <si>
    <t xml:space="preserve">COST OF 25MM DIA PVC PIPE </t>
  </si>
  <si>
    <t>ADD 20% FOR PVC/GI SPECIALS</t>
  </si>
  <si>
    <t>ADD 40% FOR PVC/GI SPECIALS</t>
  </si>
  <si>
    <t xml:space="preserve"> 32MM DIA PVC PIPE ABOVE G.L:-</t>
  </si>
  <si>
    <t>50mm</t>
  </si>
  <si>
    <t xml:space="preserve">COST OF 32MM DIA PVC PIPE </t>
  </si>
  <si>
    <t>CUTTING CHARGES p -32 Itm 133</t>
  </si>
  <si>
    <t>THREADING CHARGES p- 32 Itm 134</t>
  </si>
  <si>
    <t xml:space="preserve"> 50MM DIA PVC PIPE ABOVE G.L:-</t>
  </si>
  <si>
    <t xml:space="preserve">COST OF 50MM DIA PVC PIPE </t>
  </si>
  <si>
    <t>S &amp; F of GI Pipe 20mm dia for Hot Water line Pipe
Fully Consealed in Wall</t>
  </si>
  <si>
    <t xml:space="preserve">GI PIPE 20MM DIA </t>
  </si>
  <si>
    <t>LAYING,FIXING AND CONSELING GI PIPE</t>
  </si>
  <si>
    <t xml:space="preserve">COST OF50MM DIA PVC PIPE </t>
  </si>
  <si>
    <t>20MM DIA GI PIPE FOR HOT WATER LINE</t>
  </si>
  <si>
    <t xml:space="preserve">COST OF 20MM DIA GI PIPE </t>
  </si>
  <si>
    <t>ADD 20% FOR GI SPECIALS</t>
  </si>
  <si>
    <t>L.S FOR CONSEALING GI PIPE IN WALLS
PAKING ETC.,</t>
  </si>
  <si>
    <t>SUPPLYING AND FIXING</t>
  </si>
  <si>
    <r>
      <t>WASHBASIN</t>
    </r>
    <r>
      <rPr>
        <sz val="11"/>
        <color theme="1"/>
        <rFont val="Calibri"/>
        <family val="2"/>
        <scheme val="minor"/>
      </rPr>
      <t xml:space="preserve"> 22"X16" INCLUDING</t>
    </r>
  </si>
  <si>
    <t>COST OF ALL MATERIALS AND</t>
  </si>
  <si>
    <t>FIXING CHARGES</t>
  </si>
  <si>
    <t>Wash Hand Basin of size 550 x 400 mm with all accessories such as CI brackets, 32mm dia CP waste coupling, Rubber pug and chain, 32mm dia B class GI waste pipe, 15mm dia brass nipples. 15mm CP pillar tap etc.,</t>
  </si>
  <si>
    <t>deduct rate for 15mm dia GM wheel valve p -48 /121(5)</t>
  </si>
  <si>
    <t xml:space="preserve"> Angle Valve</t>
  </si>
  <si>
    <t>SUNDRIES FOR PLUGSCREW,PAINT</t>
  </si>
  <si>
    <t>53.2</t>
  </si>
  <si>
    <t xml:space="preserve">CI MANHOLE COVER 45CMX45CMX20KG </t>
  </si>
  <si>
    <t>CI MANHOLE COVER 60CMX60CMX50KG p-59/216</t>
  </si>
  <si>
    <t>53.3</t>
  </si>
  <si>
    <t>CI STEPS (5Kg) (59.65+.35)</t>
  </si>
  <si>
    <t>Brass Tap with ISI Mark p53/146</t>
  </si>
  <si>
    <t>CP TAP (LONG BODY)</t>
  </si>
  <si>
    <t>CP TAP (SHORT BODY)</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</si>
  <si>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</si>
  <si>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</si>
  <si>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</si>
  <si>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</si>
  <si>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</si>
  <si>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</si>
  <si>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</si>
  <si>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</si>
  <si>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</si>
  <si>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Deduct rate for "P" &amp; "S" trap</t>
  </si>
  <si>
    <t xml:space="preserve">Add rate for PVC SWR "P" &amp; "S" trap </t>
  </si>
  <si>
    <t>56.2.</t>
  </si>
  <si>
    <t xml:space="preserve"> IN OTHER THAN G.FLOOR.</t>
  </si>
  <si>
    <t>WEATHERING COURSE</t>
  </si>
  <si>
    <t>USING20mmBRICK JELLY</t>
  </si>
  <si>
    <t>PLASTERING IN C.M(1:3)</t>
  </si>
  <si>
    <t>12mMT.K MIXED WITH W.P.C.</t>
  </si>
  <si>
    <t>BRICK JELLY CONCRETE (1:8:16)</t>
  </si>
  <si>
    <t>USING 40 mm BRICK JELLY</t>
  </si>
  <si>
    <r>
      <t>SUPPLY AND FIXING OF E.W.C.   18" SIZE</t>
    </r>
    <r>
      <rPr>
        <b/>
        <sz val="12"/>
        <rFont val="Helv"/>
      </rPr>
      <t xml:space="preserve"> (WHITE)</t>
    </r>
  </si>
  <si>
    <t>WITH DOUBLE FLAPPED PLASTIC SEAT COVER</t>
  </si>
  <si>
    <t>LOW LEVEL FLUSHING CISTERN 10 LIT.</t>
  </si>
  <si>
    <t>EUROPEAN WATER CLOSET WITH "P" OR "S" TRAP WITH DOUBLE FLAPPED SEAT AND SEAT COVER WITH BRASS HINGES AND 10LIT CAPACITY PVC L;OW LEVEL FLUSHING TANK WITH ALL INTERNAL FITTINGS p-48</t>
  </si>
  <si>
    <t>LABOUR FOR FIXING OF EWC</t>
  </si>
  <si>
    <t>EUROPEAN WATER CLOSET WITH "P" OR "S" TRAP WITH DOUBLE FLAPPED SEAT AND SEAT COVER WITH BRASS HINGES AND 10LIT CAPACITY PVC L;OW LEVEL FLUSHING TANK WITH ALL INTERNAL FITTINGS</t>
  </si>
  <si>
    <t>LABOUR FOR FIXING OF FLUSHING TANK</t>
  </si>
  <si>
    <r>
      <t xml:space="preserve">SUPPLY AND FIXING OF E.W.C.   18" SIZE </t>
    </r>
    <r>
      <rPr>
        <b/>
        <sz val="12"/>
        <rFont val="Helv"/>
      </rPr>
      <t>(COLOUR)</t>
    </r>
  </si>
  <si>
    <t>58.1(a)</t>
  </si>
  <si>
    <t>SUPPLY AND FIXING P.V.C.SOIL</t>
  </si>
  <si>
    <t>PIPESPECIALS OF FOLLOWING DIA:-</t>
  </si>
  <si>
    <t>SUPPLY AND FIXING OF PVC soil PIPE</t>
  </si>
  <si>
    <r>
      <t xml:space="preserve">110MM DIA OF </t>
    </r>
    <r>
      <rPr>
        <b/>
        <sz val="12"/>
        <rFont val="Helv"/>
      </rPr>
      <t>PVC</t>
    </r>
    <r>
      <rPr>
        <sz val="11"/>
        <color theme="1"/>
        <rFont val="Calibri"/>
        <family val="2"/>
        <scheme val="minor"/>
      </rPr>
      <t xml:space="preserve"> </t>
    </r>
    <r>
      <rPr>
        <b/>
        <sz val="12"/>
        <rFont val="Helv"/>
      </rPr>
      <t>SWR PIPE</t>
    </r>
    <r>
      <rPr>
        <sz val="11"/>
        <color theme="1"/>
        <rFont val="Calibri"/>
        <family val="2"/>
        <scheme val="minor"/>
      </rPr>
      <t xml:space="preserve"> INCLUDING </t>
    </r>
  </si>
  <si>
    <t>PACKING THE JOINTS WITH RUBBER</t>
  </si>
  <si>
    <t>LUBRICANT AND FIXING IN TO</t>
  </si>
  <si>
    <t>WALL WITH WOODEN PLUGS</t>
  </si>
  <si>
    <t>SCREWSHOLDING CLAMPSETC</t>
  </si>
  <si>
    <t>COMPLETE  type 'B'.</t>
  </si>
  <si>
    <t>P.V.C. PIPE 110mm DIA</t>
  </si>
  <si>
    <t>P.V.C BEND WITH DOOR 110MM</t>
  </si>
  <si>
    <t>P.V.C COWL 110MM</t>
  </si>
  <si>
    <t>P.V.C DOOR TEE 110MM p-61 D-c</t>
  </si>
  <si>
    <t>COST OF RUBBER</t>
  </si>
  <si>
    <t>LUBRICANTT.W.PLUGS AND</t>
  </si>
  <si>
    <t>C.I.CLAMPS ETC</t>
  </si>
  <si>
    <t>SUNDERS</t>
  </si>
  <si>
    <t>58.1(b)</t>
  </si>
  <si>
    <t>B.</t>
  </si>
  <si>
    <t>SUPPLY AND FIXING OF PVC PIPE</t>
  </si>
  <si>
    <r>
      <t xml:space="preserve">75MM DIA OF </t>
    </r>
    <r>
      <rPr>
        <b/>
        <sz val="12"/>
        <rFont val="Helv"/>
      </rPr>
      <t>PVC SWR PIPE</t>
    </r>
    <r>
      <rPr>
        <sz val="11"/>
        <color theme="1"/>
        <rFont val="Calibri"/>
        <family val="2"/>
        <scheme val="minor"/>
      </rPr>
      <t xml:space="preserve"> INCLUDING </t>
    </r>
  </si>
  <si>
    <t>LUBERICANT AND FIXING IN TO</t>
  </si>
  <si>
    <t>WALL WITH WOODEN PLUGES</t>
  </si>
  <si>
    <t>P.V.C. PIPE 75mm DIA</t>
  </si>
  <si>
    <t>P.V.C BEND WITH DOOR</t>
  </si>
  <si>
    <t>P.V.C COWL</t>
  </si>
  <si>
    <t>P.V.C DOOR TEE</t>
  </si>
  <si>
    <t>58.2</t>
  </si>
  <si>
    <t xml:space="preserve">Supplying &amp;fixing 110mm dia PVC </t>
  </si>
  <si>
    <t xml:space="preserve">SWR pipe for ventilating shaft </t>
  </si>
  <si>
    <t xml:space="preserve">of 3M length with cowl </t>
  </si>
  <si>
    <t>110mm dia PVC SWR pipe</t>
  </si>
  <si>
    <t>110mm dia cowl</t>
  </si>
  <si>
    <t>Labour for fixing</t>
  </si>
  <si>
    <t>Sundries for PVC solution etc.</t>
  </si>
  <si>
    <t>Rate for 1 no.</t>
  </si>
  <si>
    <t>59.</t>
  </si>
  <si>
    <t>SUPLY ING AND FIXING OF</t>
  </si>
  <si>
    <t>150X100mm S.W. GULLY TRAPS</t>
  </si>
  <si>
    <t>BRICK JELLY CONCRETE (1:8:16)40MM</t>
  </si>
  <si>
    <t>60.</t>
  </si>
  <si>
    <t xml:space="preserve">SUPPLY AND FIXING OF P.V.C. </t>
  </si>
  <si>
    <t>NAHANI TRAP 75mm DIA</t>
  </si>
  <si>
    <t xml:space="preserve"> PVC NAHANI TRAP (4WAY/2WAY)</t>
  </si>
  <si>
    <t>SUNDRIES FOR B.J.C,PLASTERING ETC</t>
  </si>
  <si>
    <t>61.1(a)</t>
  </si>
  <si>
    <t>SUPPLY AND FIXING OF 100mm</t>
  </si>
  <si>
    <t>DIA S.W.PIPE</t>
  </si>
  <si>
    <t xml:space="preserve"> 100mmDIA S.W.PIPE WITH ISI MARK</t>
  </si>
  <si>
    <t>E.W. EXCAVATION</t>
  </si>
  <si>
    <t>TAARRED HOMP YARN</t>
  </si>
  <si>
    <t>FITTER II</t>
  </si>
  <si>
    <t>TESTING CHARGES 10%of LABOUR</t>
  </si>
  <si>
    <t>TOTAL FOR 30RMT</t>
  </si>
  <si>
    <t>RATE PER  RMT</t>
  </si>
  <si>
    <t>61.2(b)</t>
  </si>
  <si>
    <t>SUPPLY AND FIXING OF 150mm</t>
  </si>
  <si>
    <t xml:space="preserve"> 150mmDIA S.W.PIPE WITH ISI MARK</t>
  </si>
  <si>
    <t>SUPPLY AND FIXING OF 250mm</t>
  </si>
  <si>
    <r>
      <t xml:space="preserve">250mmDIA S.W.PIPE WITH ISI MARK ( it-13.0/4 </t>
    </r>
    <r>
      <rPr>
        <b/>
        <sz val="12"/>
        <rFont val="Helv"/>
      </rPr>
      <t>of twad 17-18 spl I CLASS )</t>
    </r>
  </si>
  <si>
    <t>61.2(a)</t>
  </si>
  <si>
    <t>DIA S.W.PIPE(LOOSE JOINTING)</t>
  </si>
  <si>
    <t xml:space="preserve"> 100mmDIA S.W.PIPE</t>
  </si>
  <si>
    <t xml:space="preserve"> 150mmDIA S.W.PIPE</t>
  </si>
  <si>
    <t>Total for One Number</t>
  </si>
  <si>
    <t>62.1(a)</t>
  </si>
  <si>
    <t xml:space="preserve"> STONEWARE BEND</t>
  </si>
  <si>
    <t xml:space="preserve"> 100mmDIA S.W.BEND </t>
  </si>
  <si>
    <t>EXCAVATION,REFILLING,JOINTING</t>
  </si>
  <si>
    <t>AND CONCRETING</t>
  </si>
  <si>
    <t xml:space="preserve"> 150mmDIA S.W.BEND </t>
  </si>
  <si>
    <t>62.2.a.</t>
  </si>
  <si>
    <t xml:space="preserve"> STONEWARE TEE</t>
  </si>
  <si>
    <t xml:space="preserve"> 100mmDIA S.W.TEE </t>
  </si>
  <si>
    <t>62.2.b.</t>
  </si>
  <si>
    <t xml:space="preserve"> 150mmDIA S.W.TEE </t>
  </si>
  <si>
    <t>63</t>
  </si>
  <si>
    <t>32mm dia P.V.C Waste Pipe and</t>
  </si>
  <si>
    <t xml:space="preserve">C.P.Coupling of best quality. </t>
  </si>
  <si>
    <t>Rft</t>
  </si>
  <si>
    <t>C.P.Coupling</t>
  </si>
  <si>
    <t>Labour Charge for fixing</t>
  </si>
  <si>
    <t>81</t>
  </si>
  <si>
    <t>Supplying and fixing B.I.C.W.Meter cupboard with</t>
  </si>
  <si>
    <t>shutter double leaves with 230mmx25mm size CW</t>
  </si>
  <si>
    <t>plank for alround sides 62.5x31.25mm styles and</t>
  </si>
  <si>
    <t>rails for shutters and 75x25mm weldmesh of bamd</t>
  </si>
  <si>
    <t>10 gauge for panels including labour charges for</t>
  </si>
  <si>
    <t>fixing inposition of shutters and cost of</t>
  </si>
  <si>
    <t>L-clamps 6nos of size 150x150mm size with</t>
  </si>
  <si>
    <t>25mmx4mm MS flats 1 no 6"x1/2" alumium aldrop</t>
  </si>
  <si>
    <t>with bolt and nuts 6 nos of 2" size I.O. hooks</t>
  </si>
  <si>
    <t>and eyes T.W.plugs screws etc complete and as</t>
  </si>
  <si>
    <t>directed by the Departmental Officers as per</t>
  </si>
  <si>
    <t>Drawings</t>
  </si>
  <si>
    <t>C.W.Scantling for Shutter</t>
  </si>
  <si>
    <t>C.W.Planks</t>
  </si>
  <si>
    <t>Weldmesh</t>
  </si>
  <si>
    <t xml:space="preserve"> 3"I.O. ButtHinges</t>
  </si>
  <si>
    <t xml:space="preserve"> 6"x1/2" Alu. Aldrops</t>
  </si>
  <si>
    <t xml:space="preserve"> 2" I.O.Hooks and Eyes</t>
  </si>
  <si>
    <t>M.S."L" Clamps</t>
  </si>
  <si>
    <t>Labour Charges</t>
  </si>
  <si>
    <t>SUNDRIES FOR T.W.Plugs etc</t>
  </si>
  <si>
    <t>Total for 1.62 Sqm</t>
  </si>
  <si>
    <t>Total for 1.00 Sqm</t>
  </si>
  <si>
    <t>================================================</t>
  </si>
  <si>
    <t>WIRING WITH 1.5SQMM COPPER WIRE  CONCEALED</t>
  </si>
  <si>
    <t>64.a.</t>
  </si>
  <si>
    <t>64.b</t>
  </si>
  <si>
    <t>64.c</t>
  </si>
  <si>
    <t xml:space="preserve"> --DO--FOR 15AMP POWER PLUG</t>
  </si>
  <si>
    <t>70.1</t>
  </si>
  <si>
    <t>70.2</t>
  </si>
  <si>
    <t>S/F OF SLIM TUBELIGHT FITTING WITH ELECTRONICS BALLAST.</t>
  </si>
  <si>
    <t>70.3</t>
  </si>
  <si>
    <t>S/F OF 40W/60W BULB</t>
  </si>
  <si>
    <t>70.4</t>
  </si>
  <si>
    <t>S/F OF PLASTIC SHADE</t>
  </si>
  <si>
    <t>S/F of Fibre Fan Hook</t>
  </si>
  <si>
    <t>73.1</t>
  </si>
  <si>
    <t>73.2</t>
  </si>
  <si>
    <t>S/F OF 4 WAY D.B</t>
  </si>
  <si>
    <t>75(a)</t>
  </si>
  <si>
    <t>SUPPLY AND DELIVERY OF FAN 48"SWEEP with ordinary regulator.</t>
  </si>
  <si>
    <t>75(b)</t>
  </si>
  <si>
    <t>SUPPLY AND FIXING EXSAUST FAN 300MM SWEEP</t>
  </si>
  <si>
    <t>RUN OF MAIN WITH 2NO OF 1.50sq.mm WIRE</t>
  </si>
  <si>
    <t xml:space="preserve">RUN OF 2 WIRES OF 4 SQMM WITH CONTINUOUS EARTHING BY MEANS OF 2.5SQMM FOR A/C </t>
  </si>
  <si>
    <t>SUPPLYING AND FIXING OF A/C METAL CLAD</t>
  </si>
  <si>
    <t>SUPPLYING AND FIXING OF TV/TELEPHONE LINE SOCKET</t>
  </si>
  <si>
    <t>M.S. Angle</t>
  </si>
  <si>
    <t>SUPPLYING AND FIXING OF 20MM DIA PVC PIPE FOR TV/TELEPHONE LINE</t>
  </si>
  <si>
    <t>Mtr</t>
  </si>
  <si>
    <t>PVC RIGID CONDUIT PIPE 19M/20MM HEAVY DUTY WITH ISI P -127/ part  I 1b</t>
  </si>
  <si>
    <t>WIREMAN GR-I</t>
  </si>
  <si>
    <t>SUNDRIES FOR PVC SPECIALS &amp; FISH WIRE ETC.,</t>
  </si>
  <si>
    <t>TOTAL FOR 90RMT</t>
  </si>
  <si>
    <t>EARTHING STATION (TYPE II)</t>
  </si>
  <si>
    <t>GI PIPE 40MM DIA</t>
  </si>
  <si>
    <t>Charcoal 17-18 SD 233 (97.15/20.32 = 4.78)</t>
  </si>
  <si>
    <t>SALT  SD 233 (119.2/20.32 = 5.87)</t>
  </si>
  <si>
    <t>GI WIRE 8 GAUGE p79/pat E3(b)</t>
  </si>
  <si>
    <t>WIRE MAN GR-I</t>
  </si>
  <si>
    <t>HELPER</t>
  </si>
  <si>
    <t>CIVIL WORK SUCH AS EXCAVATION FILLING MASONRY WORK, COVER SLAB ETC.,</t>
  </si>
  <si>
    <t>BOLTS,NUTS &amp; CHOCK NUTS ETC.,</t>
  </si>
  <si>
    <t>Labour Charges for barbed wire fencing for 8.16 kg</t>
  </si>
  <si>
    <t>Fitter I class</t>
  </si>
  <si>
    <t>Mazdoor I class</t>
  </si>
  <si>
    <t>TOTAL FOR 8.16 kg</t>
  </si>
  <si>
    <t>Rate for 1 kg</t>
  </si>
  <si>
    <t>Barbed wire fencing for 10 m</t>
  </si>
  <si>
    <t>Barbed wire 10 gauge 2 ply and four pronged ( Galvanised) it-122 p-49</t>
  </si>
  <si>
    <t>Binding wire</t>
  </si>
  <si>
    <t>Labour</t>
  </si>
  <si>
    <t>Rate for 10m</t>
  </si>
  <si>
    <t>Rate for 1m</t>
  </si>
  <si>
    <t>Labour charges for Auger pile foundation for 2.44m</t>
  </si>
  <si>
    <t>Chain link fencing data for 15sqm</t>
  </si>
  <si>
    <t>Mason II class</t>
  </si>
  <si>
    <t xml:space="preserve">GALVANISIED IRON WIRE 2" x 2" using 10 gauge (of all sizes) p49/143 </t>
  </si>
  <si>
    <t>Hire charges @ 10% of labour charges</t>
  </si>
  <si>
    <t>Rate for 2.44m</t>
  </si>
  <si>
    <t>Rate for 1.00m</t>
  </si>
  <si>
    <t>Rate for 15sqm</t>
  </si>
  <si>
    <t>Rate for 1 sqm</t>
  </si>
  <si>
    <t>Auger pile of size 30cm dia and 3m depth for 1m</t>
  </si>
  <si>
    <t>M3</t>
  </si>
  <si>
    <t>RCC 1:2:4</t>
  </si>
  <si>
    <t>1M3</t>
  </si>
  <si>
    <t>Rate for 1 RM</t>
  </si>
  <si>
    <t>Providing Rain Water Harvesting Perculation pit
a) Providing pit</t>
  </si>
  <si>
    <t>Strutting to centering of R.C.C plain surface, 3.00m height wall.</t>
  </si>
  <si>
    <t>HBSJ 40mm</t>
  </si>
  <si>
    <t>Casurina Props 10 to 13 m dia @ 75m c/c cost for 1 
operation 24.00/5=4.804 p-21 it-146/b</t>
  </si>
  <si>
    <t>Precasted slab Standardised Cement comncrete M 20 grade</t>
  </si>
  <si>
    <t xml:space="preserve"> --------------------</t>
  </si>
  <si>
    <t>Rate for 10 sqm</t>
  </si>
  <si>
    <t>.</t>
  </si>
  <si>
    <t>Rate for 1 sqm, for 3m ht.</t>
  </si>
  <si>
    <t>Rate for 1 sqm, for 1m ht.</t>
  </si>
  <si>
    <t>Augering 30 cm dia</t>
  </si>
  <si>
    <t>18.1.a.</t>
  </si>
  <si>
    <t>Form work for Plinth beam, Grade beam, Raft beam</t>
  </si>
  <si>
    <t>Form work for Roof and lintels using M.S sheet</t>
  </si>
  <si>
    <t>Form work for Small quantity and column using M.S. sheet</t>
  </si>
  <si>
    <t>MASON II CLASS</t>
  </si>
  <si>
    <t>d.</t>
  </si>
  <si>
    <t>Form work for Vertical walls</t>
  </si>
  <si>
    <t>MAZDOORI CLASS</t>
  </si>
  <si>
    <t>Hire charges for O2296TOOLS PLANTS at 10% of labour</t>
  </si>
  <si>
    <t>A.C .sheet Roofing with ridge piece</t>
  </si>
  <si>
    <t>A.C. sheet 6mm thick p -44 /72</t>
  </si>
  <si>
    <t>pairs</t>
  </si>
  <si>
    <t>Adjustable ridges p-44 it-74</t>
  </si>
  <si>
    <t>Pairs</t>
  </si>
  <si>
    <t>set</t>
  </si>
  <si>
    <t>U' bolts and nuts p-44 it-75</t>
  </si>
  <si>
    <t>Fitter - II</t>
  </si>
  <si>
    <t>Carpenter - I</t>
  </si>
  <si>
    <t>Mazdoor - I</t>
  </si>
  <si>
    <t xml:space="preserve">Sundries  for white lead </t>
  </si>
  <si>
    <t>A.C .sheet Roofing without ridge piece</t>
  </si>
  <si>
    <t>A.C. sheet 6mm thick fully corrugated</t>
  </si>
  <si>
    <t>Rate for 10 Sqm</t>
  </si>
  <si>
    <t>U bolts &amp; Nuts</t>
  </si>
  <si>
    <t>Pre cast slab 50mm thick in c.c. 1:3:6 mixed with fibre of size .28 x .28 m , 50mm thick</t>
  </si>
  <si>
    <t>Pcc slab - 500 x .28 x .28 = 39.2 Sq.m</t>
  </si>
  <si>
    <t xml:space="preserve">                =39.2 x .05 =1.96 cum</t>
  </si>
  <si>
    <t>Rate per 1 Sqm</t>
  </si>
  <si>
    <t>C.C 1:3:6 using 20mm HBS</t>
  </si>
  <si>
    <t>Mason I class</t>
  </si>
  <si>
    <t>Mazdoor II class</t>
  </si>
  <si>
    <t>Moulding charge</t>
  </si>
  <si>
    <r>
      <t xml:space="preserve">Providing wooden </t>
    </r>
    <r>
      <rPr>
        <b/>
        <sz val="12"/>
        <rFont val="Helv"/>
      </rPr>
      <t>MELAMEN DOOR POLISH</t>
    </r>
  </si>
  <si>
    <t>Cutting, Transporting , Laying &amp; Pointing charges</t>
  </si>
  <si>
    <t>For New Wood</t>
  </si>
  <si>
    <t>Packet</t>
  </si>
  <si>
    <t xml:space="preserve">Fibre (125g/packet) Qtn </t>
  </si>
  <si>
    <t>Contain a size 1.2x2.1 m</t>
  </si>
  <si>
    <t>Area of Polishing 1x1x2.25x1.2x2.1+5.67m2</t>
  </si>
  <si>
    <t>Rate for 39.2 sqm</t>
  </si>
  <si>
    <t xml:space="preserve">Sand paper No 50 (Qtn) </t>
  </si>
  <si>
    <t>Sand paper No 80</t>
  </si>
  <si>
    <t>Sand paper No 100</t>
  </si>
  <si>
    <t>Wooden filter</t>
  </si>
  <si>
    <t>liter</t>
  </si>
  <si>
    <t>sand seal thinner</t>
  </si>
  <si>
    <t>Thinner</t>
  </si>
  <si>
    <t>Squat urinal including all accesseries (LSR new Item -4)p -59/i207</t>
  </si>
  <si>
    <t>Water Emery No 250</t>
  </si>
  <si>
    <t>Water Emery No 320</t>
  </si>
  <si>
    <t>Water Emery No 400</t>
  </si>
  <si>
    <t>gm</t>
  </si>
  <si>
    <t>Teak Powder</t>
  </si>
  <si>
    <t>100gm</t>
  </si>
  <si>
    <t>Red Powder</t>
  </si>
  <si>
    <t>500gm</t>
  </si>
  <si>
    <t xml:space="preserve"> Fresh Chalk Powder</t>
  </si>
  <si>
    <t xml:space="preserve">MELAMEN matt Qtn </t>
  </si>
  <si>
    <t>MELAMEN  Glozy</t>
  </si>
  <si>
    <t>Thinner 106</t>
  </si>
  <si>
    <t>Banian waste</t>
  </si>
  <si>
    <t>S &amp; F of Flat urinal (white)</t>
  </si>
  <si>
    <t>3" Brush</t>
  </si>
  <si>
    <t>1No</t>
  </si>
  <si>
    <t>Flat back urinal including all accesseries p-50/136 1</t>
  </si>
  <si>
    <t>2" Flat Brush</t>
  </si>
  <si>
    <t>Plumber I class</t>
  </si>
  <si>
    <t>PAINTER- I Class</t>
  </si>
  <si>
    <t>PAINTER - II  Class</t>
  </si>
  <si>
    <t>Mazdoor - II  Class</t>
  </si>
  <si>
    <t>Add sundries for CM 1:3</t>
  </si>
  <si>
    <t>Ls</t>
  </si>
  <si>
    <t xml:space="preserve">Bladder &amp; Tools </t>
  </si>
  <si>
    <t>----------------------</t>
  </si>
  <si>
    <r>
      <t xml:space="preserve">TOTAL FOR </t>
    </r>
    <r>
      <rPr>
        <b/>
        <sz val="12"/>
        <rFont val="Helv"/>
      </rPr>
      <t>5.67</t>
    </r>
    <r>
      <rPr>
        <sz val="11"/>
        <color theme="1"/>
        <rFont val="Calibri"/>
        <family val="2"/>
        <scheme val="minor"/>
      </rPr>
      <t xml:space="preserve"> SQM</t>
    </r>
  </si>
  <si>
    <t>Rate for 1 Sqm</t>
  </si>
  <si>
    <t xml:space="preserve">              Providing shahabad stone grey colour of 20mm thick in C.M 1:3</t>
  </si>
  <si>
    <t>COST OF Shahabad stone grey colour (Polished Shahabad stone 20mm thick with machine cut edges of size 2' x 2' below) p -42/ 30</t>
  </si>
  <si>
    <t>Cement slurry</t>
  </si>
  <si>
    <t>1000 Kg</t>
  </si>
  <si>
    <t>Pigment (20.03+23.13)/2 =21.58 p37 ( 9 &amp;10/2)</t>
  </si>
  <si>
    <t xml:space="preserve">Mason II </t>
  </si>
  <si>
    <t>Providing rajasthan kota stone of 20mm thick in C.M 1:3</t>
  </si>
  <si>
    <t>Providing rajasthan kota stone slabs of of 20mm thick with machine cut edges of size below in C.M 1:3 p-42 sl.32</t>
  </si>
  <si>
    <t>Pigment</t>
  </si>
  <si>
    <t>RED OXIDE PLASTERING C.M 1:4, 20MM THICK</t>
  </si>
  <si>
    <t>C.M 1:4 , 20MM THICK</t>
  </si>
  <si>
    <t>RED OXIDE p37/i24</t>
  </si>
  <si>
    <t xml:space="preserve">M.S VENTILATOR OF SIZE - 600 X 1350mm ( 1 No ) </t>
  </si>
  <si>
    <t xml:space="preserve">ALROUND M.S FLAT OF SIZE 50 X 10mm      = 3.9 M X 3.9 Kg/Met </t>
  </si>
  <si>
    <t>SQUARE BARS OF SIZE 20 x 20mm               = 12Nos X .6M 3.14 Kg/Met</t>
  </si>
  <si>
    <t>M.S FLAT OF SIZE 25 X 6mm HORIZONTAL = 1 X 2 X 1.2 Kg/Met</t>
  </si>
  <si>
    <t>VERTICAL                                                             = 1 X 3 X 0.6 X 1.2 Kg/Met</t>
  </si>
  <si>
    <t xml:space="preserve"> ============</t>
  </si>
  <si>
    <t>Steel</t>
  </si>
  <si>
    <t>Weld Mesh of size 7.5 x 2.5 cm 10 gauge</t>
  </si>
  <si>
    <t>Fly proof  Mesh</t>
  </si>
  <si>
    <t>Hings</t>
  </si>
  <si>
    <t>Rate for 1 No.</t>
  </si>
  <si>
    <t xml:space="preserve">M.S VENTILATOR OF SIZE - 600 X 900mm ( 1 No ) </t>
  </si>
  <si>
    <t xml:space="preserve">ALROUND M.S FLAT OF SIZE 50 X 10mm      = 3.0 M X 3.925 Kg/Met </t>
  </si>
  <si>
    <t>SQUARE BARS OF SIZE 20 x 20mm               = 8Nos X 0.6M 3.14 Kg/Met</t>
  </si>
  <si>
    <t>M.S FLAT OF SIZE 25 X 6mm HORIZONTAL = 1 X 2 X0.9 x 1.2 Kg/Met</t>
  </si>
  <si>
    <t>ADD FOR BUILDING</t>
  </si>
  <si>
    <t>=============</t>
  </si>
  <si>
    <t>Rate per sqm</t>
  </si>
  <si>
    <t xml:space="preserve">M.S VENTILATOR OF SIZE - 600 X 600mm ( 1 No ) </t>
  </si>
  <si>
    <t xml:space="preserve">ALROUND M.S FLAT OF SIZE 50 X 10mm      = 2.4 M X 3.925 Kg/Met </t>
  </si>
  <si>
    <t>SQUARE BARS OF SIZE 20 x 20mm               =5Nos X 0.6M 3.14 Kg/Met</t>
  </si>
  <si>
    <t>M.S FLAT OF SIZE 25 X 6mm HORIZONTAL = 1 X 2 X0.6 x 1.2 Kg/Met</t>
  </si>
  <si>
    <t xml:space="preserve">M.S VENTILATOR OF SIZE -1285 X 600mm ( 1 No ) </t>
  </si>
  <si>
    <t xml:space="preserve">ALROUND M.S FLAT OF SIZE 50 X 10mm      = 3.77 M X 3.9 Kg/Met </t>
  </si>
  <si>
    <t>SQUARE BARS OF SIZE 20 x 20mm               =12Nos X 0.6M 3.14 Kg/Met</t>
  </si>
  <si>
    <t>M.S FLAT OF SIZE 25 X 6mm HORIZONTAL = 1 X 2 X1.285 x 1.2 Kg/Met</t>
  </si>
  <si>
    <t>Chicken Mesh</t>
  </si>
  <si>
    <t>Hinges</t>
  </si>
  <si>
    <t xml:space="preserve">M.S DOOR OF SIZE 1000 X 2100mm </t>
  </si>
  <si>
    <t>WEIGHT OF MATERIAL</t>
  </si>
  <si>
    <t xml:space="preserve">M.S FLAT OF SIZE 50 X 10mm    = 1.00 X .05 X .01 X 7850 Kg/CUM </t>
  </si>
  <si>
    <t xml:space="preserve">M.S SQUARE BAR 20 X 20mm    = 1.00 X .02 X .02 X 7850 Kg/CUM </t>
  </si>
  <si>
    <t xml:space="preserve">M.S FLAT OF SIZE 25 X 6mm    = 1.00 X .025 X .06 X 7850 Kg/CUM </t>
  </si>
  <si>
    <t>M.S FLAT OF SIZE 50 X 10mm ALROUND            = 1 X 1 X 6.20 X 3.92 Kg/m</t>
  </si>
  <si>
    <t>M.S SQUARE BAR 20 X 20mm HORIZONTAL    = 1 X 3 X 1 X 3.295KG/m</t>
  </si>
  <si>
    <t>M.S FLAT OF SIZE 20 X 20mm                               = 1 X 9 X 2.10 X 3.14Kg/m</t>
  </si>
  <si>
    <t>M.S FLAT OF SIZE 25 X 6mm VERTICAL           = 1 X 2 X 2.10 X 1.2Kg/m</t>
  </si>
  <si>
    <t>M.S FLAT OF SIZE 25 X 6mm HORIZONTAL            = 1 X 4 X 1 X 1.2Kg</t>
  </si>
  <si>
    <t>ADD FOR WELDING</t>
  </si>
  <si>
    <t>1285 x 600mm</t>
  </si>
  <si>
    <t>STEEL</t>
  </si>
  <si>
    <t>Fly proof mesh</t>
  </si>
  <si>
    <t>FOR HINGES</t>
  </si>
  <si>
    <t>LOCKING MATERIAL COST</t>
  </si>
  <si>
    <t>RATE FOR 1 NO</t>
  </si>
  <si>
    <t xml:space="preserve">M.S DOOR OF SIZE 750 X1350mm </t>
  </si>
  <si>
    <t xml:space="preserve">M.S FLAT OF SIZE 50 X 10mm    =0.75 X .05 X .01 X 7850 Kg/CUM </t>
  </si>
  <si>
    <t xml:space="preserve">M.S SQUARE BAR 20 X 20mm    = 0.75X .02 X .02 X 7850 Kg/CUM </t>
  </si>
  <si>
    <t xml:space="preserve">M.S FLAT OF SIZE 25 X 6mm    = 0.75 X .025 X .06 X 7850 Kg/CUM </t>
  </si>
  <si>
    <t>M.S FLAT OF SIZE 50 X 10mm ALROUND            = 1 X 1 X4.20 X 3.9Kg/m</t>
  </si>
  <si>
    <t>M.S SQUARE BAR 20 X 10mm HORIZONTAL    = 1 X 3 X 0.75 X 3.29KG/m</t>
  </si>
  <si>
    <t xml:space="preserve">ALROUND M.S FLAT OF SIZE 50 X 10mm      = 3.77 M X 3.925 Kg/Met </t>
  </si>
  <si>
    <t>M.S FLAT OF SIZE 20 X 20mm                               = 1 X 9 X1.35 X 3.11Kg/m</t>
  </si>
  <si>
    <t>M.S FLAT OF SIZE 25 X 6mm VERTICAL           = 1 X 2 X1.35 X 1.2Kg/m</t>
  </si>
  <si>
    <t>M.S FLAT OF SIZE 25 X 6mm HORIZONTAL            = 1 X 4 X 0.75 X 1.2Kg</t>
  </si>
  <si>
    <t>Steel (p-21 it-130 )</t>
  </si>
  <si>
    <t>Weld Mesh</t>
  </si>
  <si>
    <t>Fly proof  Mesh p-22 it- 167/130</t>
  </si>
  <si>
    <t xml:space="preserve">T.W DOOR SHUTTER TWO LEAVES(1800 X 2100 mm </t>
  </si>
  <si>
    <t xml:space="preserve">SHUTTER AREA      = 2X0.85 X 2.025                         </t>
  </si>
  <si>
    <t>STYLES (OVER 2m) = 2 X 2 X 2.025 X 0.075 X 0.0375         = 0.0228</t>
  </si>
  <si>
    <t xml:space="preserve">RAILS (BELOW 2M) = 2 X 3 X 0.85 X 0.15 X 0.0375          </t>
  </si>
  <si>
    <t xml:space="preserve">              2X 3 X 0.85 X 0.075 X 0.0375     </t>
  </si>
  <si>
    <t xml:space="preserve">PLANKS : 2 X 4 X 0.725 X 0.30 X 0.01875    </t>
  </si>
  <si>
    <t xml:space="preserve">                  2 X 1 X 0.725 X 0.30 X 0.01875    </t>
  </si>
  <si>
    <t>MAIN DATA</t>
  </si>
  <si>
    <t>T.W SCANTLING over 2m</t>
  </si>
  <si>
    <r>
      <t xml:space="preserve">T.W DOUBLE LEAVES FULLY PANELLED DOOR SHUTTER FOR DOOR OF SIZE   (2000 X 2100 mm) </t>
    </r>
    <r>
      <rPr>
        <b/>
        <sz val="14"/>
        <rFont val="Arial"/>
        <family val="2"/>
      </rPr>
      <t>WITH BRASS FITTINGS</t>
    </r>
  </si>
  <si>
    <t xml:space="preserve">SHUTTER AREA      = 2X0.95 X 2.025                         </t>
  </si>
  <si>
    <t xml:space="preserve">RAILS (BELOW 2M) = 2 X 3 X 0.95 X 0.15 X 0.0375          </t>
  </si>
  <si>
    <t xml:space="preserve">              2X 3 X 0.95 X 0.075 X 0.0375     </t>
  </si>
  <si>
    <t>CHICKEN MESH</t>
  </si>
  <si>
    <t xml:space="preserve">PLANKS : 2 X 4 X 0.825 X 0.30 X 0.01875    </t>
  </si>
  <si>
    <t xml:space="preserve">                  2 X 1 X 0.825 X 0.30 X 0.01875    </t>
  </si>
  <si>
    <t>RATE FOR 3.443 SQM</t>
  </si>
  <si>
    <t>T.W DOOR SHUTTER TWO LEAVES(1500 X 2100 mm ) with Brass Fittings</t>
  </si>
  <si>
    <t>SHUTTER AREA      = 2X0.7 X 2.025                                    = 2.835 Sqm</t>
  </si>
  <si>
    <t>RAILS (BELOW 2M) = 2 X 3 X 0.70 X 0.15 X 0.0375              =0.0236</t>
  </si>
  <si>
    <t xml:space="preserve">              2X 3 X 0.7 X 0.075 X 0.0375           = 0.0118</t>
  </si>
  <si>
    <t>T.W DOOR SHUTTER TWO LEAVES(1200 X 2100 mm ) with Brass Fittings</t>
  </si>
  <si>
    <t>PLANKS : 2 X 4 X 0.575 X 0.30 X 0.01875     = 0.0259</t>
  </si>
  <si>
    <t>SHUTTER AREA      = 2X0.55 X 2.025                                    = 2.23 Sqm</t>
  </si>
  <si>
    <t xml:space="preserve">                  2 X 1 X 0.575 X 0.30 X 0.01875     = 0.0065</t>
  </si>
  <si>
    <t>RATE FOR 3.8475 SQM</t>
  </si>
  <si>
    <t>RAILS (BELOW 2M) = 2 X 3 X 0.55 X 0.15 X 0.0375              =0.0186</t>
  </si>
  <si>
    <t xml:space="preserve">              2X 3 X 0.55 X 0.075 X 0.0375           = 0.0093</t>
  </si>
  <si>
    <t>T.W PLANKS (30.45 CM) (12 TO 25CM THICK) p-19 it-110</t>
  </si>
  <si>
    <t>PLANKS : 2 X 4 X 0.425 X 0.30 X 0.01875     = 0.019</t>
  </si>
  <si>
    <t xml:space="preserve">                  2 X 1 X 0.425 X 0.30 X 0.01875     = 0.0048</t>
  </si>
  <si>
    <t>With Brass Filltings</t>
  </si>
  <si>
    <t>DOOR HANDLE Mejastic</t>
  </si>
  <si>
    <t>6" Brass HINGES</t>
  </si>
  <si>
    <t>8" BRASS TOWER BOLTS</t>
  </si>
  <si>
    <t>Mortice lock with handle</t>
  </si>
  <si>
    <t>RUBBER BUSH</t>
  </si>
  <si>
    <t>T.W PLANKS (30.45 CM) (12 TO 25CM THICK)</t>
  </si>
  <si>
    <t>Annexure</t>
  </si>
  <si>
    <t>RATE FOR 2.23 SQM</t>
  </si>
  <si>
    <t>Shutter middle rail(Horizantal) -1X2X0.4X0.15X0.0375=0.0045</t>
  </si>
  <si>
    <t>Shutter(OSL Board)      -2X2X.85X0.4=1.36m2</t>
  </si>
  <si>
    <t xml:space="preserve"> 4"X5/8"ALU.TOWER BOLT</t>
  </si>
  <si>
    <t xml:space="preserve"> ORNAMENTAL  HANDLE WITH SCREWS 100mm</t>
  </si>
  <si>
    <t>LOCKS &amp;KEY</t>
  </si>
  <si>
    <t xml:space="preserve"> ORNAMENTAL  HANDLE WITH SCREWS</t>
  </si>
  <si>
    <t>Supplying,Manufacturing and fixing of cloth drying arrangements data for 1 set</t>
  </si>
  <si>
    <t xml:space="preserve">Cost of 32 mm dia G.I pipe </t>
  </si>
  <si>
    <t>Rm</t>
  </si>
  <si>
    <t>Cost of MS angle 35 x 35x 4mm (2x.6x2.1 kg/m)</t>
  </si>
  <si>
    <t>Cost of Square bars (2x.5x1.13kg/m)</t>
  </si>
  <si>
    <t>Cost of 1clamp 10mm (3x.15x.78)</t>
  </si>
  <si>
    <t xml:space="preserve">Labour charges for welding </t>
  </si>
  <si>
    <t>Cost of fixturehooks</t>
  </si>
  <si>
    <t>Fixing of screws,painting etc.,</t>
  </si>
  <si>
    <t>Rate for 1 set</t>
  </si>
  <si>
    <t>Certified that the observed datas prepard based on the actuals in curred at the time of execution and least amount to the best of my Knowledge.</t>
  </si>
  <si>
    <t>S&amp; F of MS angle of size 35 x35 x 5 mm for stair case steps (.95m)</t>
  </si>
  <si>
    <t>Data for 16 steps - 16*2.6kgs = 41.60 kgs</t>
  </si>
  <si>
    <t xml:space="preserve">Cost of MS angle </t>
  </si>
  <si>
    <t>Stone cutter I</t>
  </si>
  <si>
    <t>Mason I</t>
  </si>
  <si>
    <t>CC 1:2:4,Screws, MS flat, welding charges,painting etc.,</t>
  </si>
  <si>
    <t>Rate for 16 steps</t>
  </si>
  <si>
    <t>Rs.</t>
  </si>
  <si>
    <t>Rate for 1 steps</t>
  </si>
  <si>
    <t>Rate per 1m</t>
  </si>
  <si>
    <t>Primer coat using white cement</t>
  </si>
  <si>
    <t>ABOVE G.L (Fully concealed in walls).</t>
  </si>
  <si>
    <t>SUNDRIES for dismantling &amp; packing the dismantled 
portion</t>
  </si>
  <si>
    <t>GROUND LEVEL(OR) FIXING ON WALLS FULLY CONCEALED TO THE</t>
  </si>
  <si>
    <t>C.W.SINGLY LEAF FULLY PANELLED</t>
  </si>
  <si>
    <t>Anticorrosive Treatment for Window M.S. Grills.</t>
  </si>
  <si>
    <t>SHUTTER SIZE-.9X2.025   =1.8225M2</t>
  </si>
  <si>
    <t>litres</t>
  </si>
  <si>
    <t>Zite Zinc primer ( qtn)</t>
  </si>
  <si>
    <t>litre</t>
  </si>
  <si>
    <t>STYLES(OVER 2M) -1X2X2.025X0.125X0.0375=0.01898</t>
  </si>
  <si>
    <t>Brush</t>
  </si>
  <si>
    <t>Painter I st Class</t>
  </si>
  <si>
    <t>RAILS(BELOW 2M)- 1X4X0.9X0.15X0.0375=      0.02025</t>
  </si>
  <si>
    <t xml:space="preserve">               - 1X2X0.731X0.125X0.0375 =0.00685</t>
  </si>
  <si>
    <t>Rate for 1 MT</t>
  </si>
  <si>
    <t>PLANKS      -1X4X0.60625X02825X0.01875=</t>
  </si>
  <si>
    <t xml:space="preserve">             -1X1X0675X0.2825X0.01875=</t>
  </si>
  <si>
    <t>Providing Single under reamed Pile of 4.50m depth,375mm dia</t>
  </si>
  <si>
    <t>C.W SCANTLING  UPTO 4M LONG (PADAK)</t>
  </si>
  <si>
    <t>Volume of Concrete = 3.14/4*0.3*0.3 (3.50+(1*6*0.3))</t>
  </si>
  <si>
    <t>C.W PLANKS 25mm thick &amp; 30cm wide.</t>
  </si>
  <si>
    <t>TW panelled Door 1800X2400 Double leaves</t>
  </si>
  <si>
    <t>Shutter size 2 x 0.85 x 2.325m</t>
  </si>
  <si>
    <t>Main Data</t>
  </si>
  <si>
    <t>T.W PLANKS  (30 TO 45CM wide, 12 - 25mm THICK)</t>
  </si>
  <si>
    <t>RCC 1:11/2:3 excluding vibrating charges</t>
  </si>
  <si>
    <t>Cement extra @ 10% (323.1*.37)</t>
  </si>
  <si>
    <t>Brass screws</t>
  </si>
  <si>
    <t xml:space="preserve">Ls </t>
  </si>
  <si>
    <t>Add for tools &amp; Plant</t>
  </si>
  <si>
    <t>TOTAL FOR 1.82250SQM</t>
  </si>
  <si>
    <t>_______________________</t>
  </si>
  <si>
    <t>For 3.50m depth</t>
  </si>
  <si>
    <t>For 1m depth</t>
  </si>
  <si>
    <t>Four horizontal &amp; one vertical Panel</t>
  </si>
  <si>
    <t>1200 X 2100MM</t>
  </si>
  <si>
    <t>Five horizontal panels</t>
  </si>
  <si>
    <t xml:space="preserve">             -1X1X0.675X0.2825X0.01875=</t>
  </si>
  <si>
    <t>SHUTTER SIZE-1.10X2.025   =2.2275M2</t>
  </si>
  <si>
    <t>RAILS(BELOW 2M)- 1X3X1.10X0.15X0.0375=      0.01856</t>
  </si>
  <si>
    <t xml:space="preserve">                                         - 1X3X1.10X0.075X0.0375 =  0.00928</t>
  </si>
  <si>
    <t>PLANKS      -1X5X0.9625X02825X0.01875=</t>
  </si>
  <si>
    <t xml:space="preserve">brass DOOR HANDLE 150mm long </t>
  </si>
  <si>
    <t>5" Brass BUTT HINGS</t>
  </si>
  <si>
    <t xml:space="preserve"> 6"x1/2" Brass TOWER BOLT </t>
  </si>
  <si>
    <t>10"x5/8" Brass ALDROP</t>
  </si>
  <si>
    <t>WIDE&amp;12 to 25mm thick</t>
  </si>
  <si>
    <t>Sundries for brass scruew</t>
  </si>
  <si>
    <t>MDF</t>
  </si>
  <si>
    <t>TOTAL FOR 2.2275SQM</t>
  </si>
  <si>
    <t>MDF board exterior grade both side pre laminated including external lipping with kiln dried soft wood 35mm thick</t>
  </si>
  <si>
    <t xml:space="preserve">LABOUR FOR WROUGHT&amp;PUTUP p 33/156 a single </t>
  </si>
  <si>
    <t xml:space="preserve">Four horizontal panels </t>
  </si>
  <si>
    <t>&amp; one vertical panel</t>
  </si>
  <si>
    <t>TOTAL FOR 1.823SQM</t>
  </si>
  <si>
    <t>SHUTTER SIZE-1.10X2.05   =2.255M2</t>
  </si>
  <si>
    <t>STYLES(OVER 2M) -1X2X2.05X0.125X0.0375=0.01922</t>
  </si>
  <si>
    <t>RAILS(BELOW 2M)- 1X4X1.10X0.15X0.0375=      0.02475</t>
  </si>
  <si>
    <t xml:space="preserve">                                         - 1X2X0.74X0.075X0.0375 =  0.00416</t>
  </si>
  <si>
    <t>PLANKS      -1X4X0.60625X02825X0.01875=0.01284</t>
  </si>
  <si>
    <t>PLANKS      -1X1X0.975X02825X0.01875=0.00516</t>
  </si>
  <si>
    <t>Shutter(MDF Board)      -2X2X.85X0.4=1.36m2</t>
  </si>
  <si>
    <t>TOTAL FOR 2.255SQM</t>
  </si>
  <si>
    <t>MDF board 18mm thk exterior grade one side prelaminated.</t>
  </si>
  <si>
    <t>LABOUR CHARGE FOR SHUTTER (Double leaf) p/33 /156 b</t>
  </si>
  <si>
    <t>LOCKS &amp;KEY ( qtn)</t>
  </si>
  <si>
    <t xml:space="preserve">Supply,Laying &amp; Concealing the 50mm dia PVC (SWR) pipe </t>
  </si>
  <si>
    <t xml:space="preserve"> with ISI mark confirming to 13952:1992-type 'B'</t>
  </si>
  <si>
    <r>
      <t xml:space="preserve">50 mm dia PVC (SWR) pipe </t>
    </r>
    <r>
      <rPr>
        <sz val="12"/>
        <color indexed="13"/>
        <rFont val="Arial"/>
        <family val="2"/>
      </rPr>
      <t>( qtn)</t>
    </r>
  </si>
  <si>
    <t>PVC bend</t>
  </si>
  <si>
    <t>sundries for finishing dismantled portion</t>
  </si>
  <si>
    <t>Rate for 2Rmt.</t>
  </si>
  <si>
    <t>Rate per 1Rmt.</t>
  </si>
  <si>
    <t>RCC 1:2:4 for Earth quake resistance arrangements at corner of brick wall including cost of concrete, farication &amp; curing etc.,  data for 2.1m.</t>
  </si>
  <si>
    <t xml:space="preserve">RATE PER CUM </t>
  </si>
  <si>
    <t>RCC 1:2:4 for earth quake resistance arrangements for door/window james.</t>
  </si>
  <si>
    <r>
      <t>concrete  (0.23 x .075 x 2.1 =</t>
    </r>
    <r>
      <rPr>
        <b/>
        <sz val="12"/>
        <rFont val="Arial"/>
        <family val="2"/>
      </rPr>
      <t xml:space="preserve"> 0.036 cum</t>
    </r>
    <r>
      <rPr>
        <sz val="12"/>
        <rFont val="Arial"/>
        <family val="2"/>
      </rPr>
      <t>)</t>
    </r>
  </si>
  <si>
    <t>Steel 8RTS ( 2 x 2.7 x0.3950 = 2.133 kg)</t>
  </si>
  <si>
    <t>Ties 6RTS (0.28 x 15 x 0.222 = 0.932 kg)</t>
  </si>
  <si>
    <t>Total      3.065 kg</t>
  </si>
  <si>
    <r>
      <t xml:space="preserve">Form Work  Small qty.  0.38 x 2.1 = </t>
    </r>
    <r>
      <rPr>
        <b/>
        <sz val="12"/>
        <rFont val="Arial"/>
        <family val="2"/>
      </rPr>
      <t>0.798 sqm</t>
    </r>
  </si>
  <si>
    <t>*2</t>
  </si>
  <si>
    <t>RCC 1:2:4 using 3-10mm HBGS</t>
  </si>
  <si>
    <t xml:space="preserve">steel </t>
  </si>
  <si>
    <t xml:space="preserve">Form Work  Small qty. </t>
  </si>
  <si>
    <t>Total     for 2.1m</t>
  </si>
  <si>
    <t>c. In  Second Floor</t>
  </si>
  <si>
    <t>d. In  Third Floor</t>
  </si>
  <si>
    <t>SHUTTER SIZE-0.8X2.05   =1.64 M2</t>
  </si>
  <si>
    <t>1200 X 2100MM single leaf</t>
  </si>
  <si>
    <t>SHUTTER SIZE-1.1X2.05   =2.255 M2</t>
  </si>
  <si>
    <t>TOTAL FOR 1.64 sqm</t>
  </si>
  <si>
    <t>Providing Double under reamed Pile of 6m depth,375mm dia</t>
  </si>
  <si>
    <t>Volume of Concrete = (2x4x.375x3.14/4*.375*.375)+(3.14/4x.375x.375x6)</t>
  </si>
  <si>
    <t>TOTAL FOR 2.255 sqm</t>
  </si>
  <si>
    <t>RCC 1:1.5:3 excluding vibrating charges</t>
  </si>
  <si>
    <t>Cement extra @ 10%(323.1x.9935)</t>
  </si>
  <si>
    <t>For 6m depth</t>
  </si>
  <si>
    <t>Gravel Filling</t>
  </si>
  <si>
    <t>Filling charges</t>
  </si>
  <si>
    <t>supply &amp;fixing of cuddapah sink 600x600x200mmsize</t>
  </si>
  <si>
    <t>with 32mm GI waste pipe and 32mm CP waste coupling it-172 p-55</t>
  </si>
  <si>
    <t>Supply and fixing of Mirror of size 600x450mm size (p-56-it-184)</t>
  </si>
  <si>
    <t>Supply and fixing of Mirror of size500x400mm size (p-56 it-184 -ii)</t>
  </si>
  <si>
    <t>Supply and fixing of PVC flushing tank with all fittings</t>
  </si>
  <si>
    <t>10 lit. capacity. P- 68 / 220a</t>
  </si>
  <si>
    <t>SUPPLY AND FIXING EXSAUST FAN 225MM SWEEP</t>
  </si>
  <si>
    <t>a. 14W for Bath &amp; WC</t>
  </si>
  <si>
    <t>b. 18W for Bulkhead fittings</t>
  </si>
  <si>
    <t xml:space="preserve">S/F OF BULK HEAD FITTING for CFL </t>
  </si>
  <si>
    <t>SUPPLY AND DELIVERY OF FAN 48"SWEEP with 
Electronic Regulator step dimmer.</t>
  </si>
  <si>
    <t>10 lit. capacity.</t>
  </si>
  <si>
    <t>Plumber I</t>
  </si>
  <si>
    <t>Rate for Each</t>
  </si>
  <si>
    <t>1200 X 2100MM (Double Leaf)</t>
  </si>
  <si>
    <t>SHUTTER SIZE-1.1X2.025   =2.2275M2</t>
  </si>
  <si>
    <t>1500 X 2400MM (Double Leaf)</t>
  </si>
  <si>
    <t>SHUTTER SIZE-1.4X2.35   =3.29M2</t>
  </si>
  <si>
    <t>TOTAL FOR 2.2275 SQM</t>
  </si>
  <si>
    <t>1500 X 2100MM (Double Leaf)</t>
  </si>
  <si>
    <t>TOTAL FOR 3.29 SQM</t>
  </si>
  <si>
    <t>SHUTTER SIZE-1.4X2.05   =2.87 M2</t>
  </si>
  <si>
    <t>TOTAL FOR 2.87 SQM</t>
  </si>
  <si>
    <t>TW  frame &amp; TW styles &amp; rails with 9 mm thick BWR double leaf shutter for ward robe / cup board</t>
  </si>
  <si>
    <t>Shutter(BWR Plywood)      -2X2X.85X0.4=1.36m2</t>
  </si>
  <si>
    <t>TW single leaf glazed window shutter of size 3.08 x 2.1cm</t>
  </si>
  <si>
    <t xml:space="preserve">SHUTTER SIZE0- 3.08 x 2.1  </t>
  </si>
  <si>
    <t>STYLES(OVER 2M) -1X4X2.05X0.075X0.0375</t>
  </si>
  <si>
    <t>15mm dia half turn CP tap</t>
  </si>
  <si>
    <t>Engineering Polymer Tap  short body tap for coastal area only</t>
  </si>
  <si>
    <t xml:space="preserve">9mm thick BWR ply wood </t>
  </si>
  <si>
    <t>Sub-Data</t>
  </si>
  <si>
    <t>RAILS(BELOW 2M)- 2X3X0.55X0.15X0.0375</t>
  </si>
  <si>
    <t>Labour charge</t>
  </si>
  <si>
    <t xml:space="preserve"> 4"X5/8"ALU.TOWER BOLT p -46/i 95f </t>
  </si>
  <si>
    <t xml:space="preserve">Nos </t>
  </si>
  <si>
    <t>Plywood      -1X2X0.625X0.425</t>
  </si>
  <si>
    <t>gram</t>
  </si>
  <si>
    <t>Shellac p-54/156</t>
  </si>
  <si>
    <t>100 gms</t>
  </si>
  <si>
    <t>Shellac p-49</t>
  </si>
  <si>
    <t>Plywood      -1X2X1.025X0.425</t>
  </si>
  <si>
    <t>Thread ball p-54/158</t>
  </si>
  <si>
    <t>Thread ball p-49</t>
  </si>
  <si>
    <t>TWO COATS of enamel paint incl. Primer</t>
  </si>
  <si>
    <t>Total/1 No</t>
  </si>
  <si>
    <t>SUNDRIES FOR NAILS,PLUGS &amp; Brass screws ETC.</t>
  </si>
  <si>
    <t>Long body</t>
  </si>
  <si>
    <t>short body</t>
  </si>
  <si>
    <t xml:space="preserve">French Window  OF Size  3080 X2100 MM </t>
  </si>
  <si>
    <t>Cost of Tap</t>
  </si>
  <si>
    <t>T.W.SCANTLING belw 2M length</t>
  </si>
  <si>
    <t>4mm thick pin headed glass</t>
  </si>
  <si>
    <t>Rmt.</t>
  </si>
  <si>
    <t>TW beeding 15 x 12 mm</t>
  </si>
  <si>
    <t>Bottle trap with UPVC coupling</t>
  </si>
  <si>
    <t>Providing tee with end cap</t>
  </si>
  <si>
    <t>Bottle trap (Polymer range)</t>
  </si>
  <si>
    <t>PVC Tee 32mm dia (p-100 D-d)</t>
  </si>
  <si>
    <t>200 mm x 12 mm Alu. Towerbolt</t>
  </si>
  <si>
    <t>UPVC coupling</t>
  </si>
  <si>
    <t>PVC end cap 32mm dia (p-100 E-d)</t>
  </si>
  <si>
    <t xml:space="preserve">6" Handle </t>
  </si>
  <si>
    <t>Plumber - I</t>
  </si>
  <si>
    <t>Sundries for brass scrwew</t>
  </si>
  <si>
    <t>TOTAL FOR 5.16 sqm</t>
  </si>
  <si>
    <t xml:space="preserve">French Window  OF Size  1070 X2100 MM </t>
  </si>
  <si>
    <t>SHUTTER SIZE0-.9X2.05   =1.845M2</t>
  </si>
  <si>
    <t>RAILS(BELOW 2M)- 1X3X0.9X0.15X0.0375=      0.0152</t>
  </si>
  <si>
    <t>Plywood      -1X1X0.775X0.64=0.496</t>
  </si>
  <si>
    <t>1200 x 2100mm</t>
  </si>
  <si>
    <t>Plywood      -1X1X0.985X0.775=0.763</t>
  </si>
  <si>
    <t xml:space="preserve">SHUTTER SIZE0-1.1 X 2.05  </t>
  </si>
  <si>
    <t>STYLES(OVER 2M) -1X2X2.05X0.075X0.0375</t>
  </si>
  <si>
    <t>TOTAL FOR 1.74 sqm</t>
  </si>
  <si>
    <t>RAILS(BELOW 2M)- 1X3X1.1X0.15X0.0375</t>
  </si>
  <si>
    <t>Plywood      -1X1X0.625X0.975</t>
  </si>
  <si>
    <t xml:space="preserve">French Window  OF Size  1500 X2000 MM </t>
  </si>
  <si>
    <t>2*2*0.075*.0375*1.95</t>
  </si>
  <si>
    <t>2*2*0.065*.0075*0.375</t>
  </si>
  <si>
    <t>T.W</t>
  </si>
  <si>
    <t>DOOR OF SIZE 1200 X2100 MM Double leaf</t>
  </si>
  <si>
    <t>2*0.65*1.95</t>
  </si>
  <si>
    <t>1*2*0.525*1.825</t>
  </si>
  <si>
    <t>Glass panel</t>
  </si>
  <si>
    <t>2*2*(0.525+1.825)</t>
  </si>
  <si>
    <t>Beeding</t>
  </si>
  <si>
    <t>TOTAL FOR 1.845 SQM</t>
  </si>
  <si>
    <t>Cement Paint two coat for old wall</t>
  </si>
  <si>
    <t>TOTAL FOR 2.535 sqm</t>
  </si>
  <si>
    <t>Cemant paint</t>
  </si>
  <si>
    <t>painter I</t>
  </si>
  <si>
    <t>T.W.DOUBLE LEAF FULLY PANELLED</t>
  </si>
  <si>
    <t>Thorouh scrapping p28/108</t>
  </si>
  <si>
    <t>1500 X 2400MM</t>
  </si>
  <si>
    <t xml:space="preserve">SUNDRIES </t>
  </si>
  <si>
    <t xml:space="preserve">SHUTTER SIZE-1X2X.675X2.3125                                                                                 </t>
  </si>
  <si>
    <r>
      <t xml:space="preserve">STYLES(OVER 2M) -2X2X2.3125X0.15X0.0375                                                      </t>
    </r>
    <r>
      <rPr>
        <b/>
        <sz val="12"/>
        <rFont val="Arial"/>
        <family val="2"/>
      </rPr>
      <t xml:space="preserve">  = 0.052</t>
    </r>
  </si>
  <si>
    <t xml:space="preserve">RAILS(BELOW 2M)- </t>
  </si>
  <si>
    <t xml:space="preserve">Top &amp; Intermediate 2X3X0.675X0.15X0.0375       </t>
  </si>
  <si>
    <t>Cement Paint one coat for old wall</t>
  </si>
  <si>
    <t xml:space="preserve"> Bottom              - 1X2X0.675X0.20X0.0375 = 0.010125</t>
  </si>
  <si>
    <t>PLANKS      -2X2X0.5875X.4X0.01875</t>
  </si>
  <si>
    <t xml:space="preserve">             -1X2X0.5625X0.4X0.01875</t>
  </si>
  <si>
    <t>Thorouh scrapping</t>
  </si>
  <si>
    <t>ls</t>
  </si>
  <si>
    <t>T.W PLANKS OVER 30 TO 45cm</t>
  </si>
  <si>
    <t>WIDE&amp;12TO25mm T.K p-19 it-110</t>
  </si>
  <si>
    <t>PAINTING ONE COATS OVER OLD</t>
  </si>
  <si>
    <t xml:space="preserve">6" Alu. DOOR HANDLE </t>
  </si>
  <si>
    <t>10"X1/2"TOWER BOLT p46 95c</t>
  </si>
  <si>
    <t>Lit</t>
  </si>
  <si>
    <t>12"X5/8"ALDROP p -46 96a</t>
  </si>
  <si>
    <t>RUBBERBUSH 40 DIA &amp; 60 MM LONG  p -46 sl.100</t>
  </si>
  <si>
    <t>Thorouh scrapping (p-31 slno.357 d)</t>
  </si>
  <si>
    <t>Alu. DOOR STOPPER p41 99</t>
  </si>
  <si>
    <t>TOTAL FOR  3.122 SQM</t>
  </si>
  <si>
    <t>T.W.DOUBLE LEAF 2/3 Glazed and 1/3 PANELLED</t>
  </si>
  <si>
    <t>Thorouh scrapping (p-31 slno.112)</t>
  </si>
  <si>
    <t xml:space="preserve">                                                                 </t>
  </si>
  <si>
    <t>-----------------</t>
  </si>
  <si>
    <t>5.5 MM THK. GLASS                -2X2X0.5875X.40</t>
  </si>
  <si>
    <t>PLANKS              -1X2X0.5625X0.4X0.01875</t>
  </si>
  <si>
    <t>T.W. Beeding  - 2 x 2 x 1.975</t>
  </si>
  <si>
    <t>PAINTING TWO COATS OVER OLD</t>
  </si>
  <si>
    <t>WIDE&amp;12TO25mm T.K p19 sl.110</t>
  </si>
  <si>
    <t>5.5 MM THICK PLAIN GLASS p49 sl.126</t>
  </si>
  <si>
    <t>T.W. beeding 15mm x 12 mm p46 85a</t>
  </si>
  <si>
    <t>LABOUR FOR WROUGHT&amp;PUTUP p33 sl.146 /4</t>
  </si>
  <si>
    <t>6" Alu. DOOR HANDLE p41/84</t>
  </si>
  <si>
    <t xml:space="preserve">  5"BUTT HINGS p40/77a</t>
  </si>
  <si>
    <t>10"X1/2"TOWER BOLT</t>
  </si>
  <si>
    <t>12"X5/8"ALDROP</t>
  </si>
  <si>
    <t xml:space="preserve">RUBBERBUSH 40 DIA &amp; 60 MM LONG </t>
  </si>
  <si>
    <t>Alu. DOOR STOPPER</t>
  </si>
  <si>
    <t>1200 X 2400MM</t>
  </si>
  <si>
    <t xml:space="preserve">SHUTTER SIZE-1X2X.525X2.3125                                                                                 </t>
  </si>
  <si>
    <t>Ornamental TW panelled Door 1800X2400 Double leaves</t>
  </si>
  <si>
    <t>Data and non scheduled items as per CER 2008-09 for PERURANI Scheme)</t>
  </si>
  <si>
    <t xml:space="preserve">Top &amp; Intermediate 2X3X0.525X0.15X0.0375       </t>
  </si>
  <si>
    <t xml:space="preserve"> Bottom              - 1X2X0.525X0.20X0.0375 = 0.010125</t>
  </si>
  <si>
    <t>T.W SCANTLING BELOW 2m</t>
  </si>
  <si>
    <t>labour charges for carving work</t>
  </si>
  <si>
    <t>WITH C.M(1:5)20mm THICK</t>
  </si>
  <si>
    <t>PLANKS      -2X2X0.25X.5875X0.01875</t>
  </si>
  <si>
    <t>Brass hinges 6"</t>
  </si>
  <si>
    <t xml:space="preserve">             -1X2X0.5625X0.25X0.01875</t>
  </si>
  <si>
    <t>16" brass tower bolt</t>
  </si>
  <si>
    <t>8" brass tower bolt</t>
  </si>
  <si>
    <t>10" brass tower bolt</t>
  </si>
  <si>
    <t>Removal of old cement mortor racking out joints 20mm deep p-30/107/321</t>
  </si>
  <si>
    <t>7" mortice lock with brass handle985</t>
  </si>
  <si>
    <t>12" majestic door handle</t>
  </si>
  <si>
    <r>
      <t xml:space="preserve">Brass screws </t>
    </r>
    <r>
      <rPr>
        <sz val="12"/>
        <rFont val="Helv"/>
      </rPr>
      <t>not necessary as there is brass fittings</t>
    </r>
  </si>
  <si>
    <t>T.W PLANKS OVER 15 TO 30cm</t>
  </si>
  <si>
    <t>RATE for 3.0225 SQM</t>
  </si>
  <si>
    <t>RATE FOR 1 SQM</t>
  </si>
  <si>
    <t>Matt paint one coat</t>
  </si>
  <si>
    <t>TOTAL FOR  2.428 SQM</t>
  </si>
  <si>
    <t>Thorough scrapping</t>
  </si>
  <si>
    <t>BWR DOUBLE LEAF FULLY PANELLED</t>
  </si>
  <si>
    <t>Ornamental TW panelled Door 1800X2100 Double leaves</t>
  </si>
  <si>
    <t>PLANKS  BWR 9mm thick.    -2X2X0.25X.5875</t>
  </si>
  <si>
    <t xml:space="preserve">             -1X2X0.5625X0.25</t>
  </si>
  <si>
    <t xml:space="preserve">BWR DOUBLE LEAF 2/3 Glazed and 1/3 PANELLED </t>
  </si>
  <si>
    <t>T.W PLANKS (12-25 CM) (30 TO 45CM THICK) it-116 iii p-21</t>
  </si>
  <si>
    <t>PLANKS BWR 9mm thick          -1X2X0.5625X0.4</t>
  </si>
  <si>
    <t>Rubber Bush</t>
  </si>
  <si>
    <t>5.5 MM THICK PLAIN GLASS</t>
  </si>
  <si>
    <t>T.W. beeding 15mm x 12 mm</t>
  </si>
  <si>
    <t>Brassscrews</t>
  </si>
  <si>
    <r>
      <t xml:space="preserve">PAINTING TWO COATS OVER NEW           </t>
    </r>
    <r>
      <rPr>
        <b/>
        <sz val="12"/>
        <rFont val="Helv"/>
      </rPr>
      <t>(as per PWD Standard Data)</t>
    </r>
  </si>
  <si>
    <t>OBD</t>
  </si>
  <si>
    <t>OBD p-50 sl.129</t>
  </si>
  <si>
    <t>BWR SINGLE LEAF FULLY PANELLED</t>
  </si>
  <si>
    <t>900 X 2400MM</t>
  </si>
  <si>
    <t xml:space="preserve">SHUTTER SIZE-1X.75X2.3125                                                                                 </t>
  </si>
  <si>
    <r>
      <t xml:space="preserve">STYLES(OVER 2M) -1X3X2.3125X0.15X0.0375                                                      </t>
    </r>
    <r>
      <rPr>
        <b/>
        <sz val="12"/>
        <rFont val="Arial"/>
        <family val="2"/>
      </rPr>
      <t xml:space="preserve">  = 0.052</t>
    </r>
  </si>
  <si>
    <t xml:space="preserve">Top &amp; Intermediate 1X3X0.75X0.15X0.0375       </t>
  </si>
  <si>
    <t>Plastic Emulsion PAINT two coat for old wall</t>
  </si>
  <si>
    <t xml:space="preserve"> Bottom              - 1X0.75X0.20X0.0375 = 0.010125</t>
  </si>
  <si>
    <t>Painter I</t>
  </si>
  <si>
    <t>PLANKS  BWR 9mm thick.    -2X2X0.175X.5875</t>
  </si>
  <si>
    <t xml:space="preserve">             -1X2X0.5625X0.175</t>
  </si>
  <si>
    <t>Plastic Emulsion PAINT one coat for old wall</t>
  </si>
  <si>
    <t>TOTAL FOR 1.734 SQM</t>
  </si>
  <si>
    <t xml:space="preserve">Top &amp; Intermediate 1X3X0.9X0.15X0.0375       </t>
  </si>
  <si>
    <t xml:space="preserve"> Bottom              - 1X1X0.9X0.20X0.0375</t>
  </si>
  <si>
    <t>1050 X 2400MM</t>
  </si>
  <si>
    <t xml:space="preserve">SHUTTER SIZE-1X.90 X 2.3125                                                                                 </t>
  </si>
  <si>
    <t>6" Alu. DOOR HANDLE  p41 80b</t>
  </si>
  <si>
    <t xml:space="preserve">  5"BUTT HINGS p40 77a</t>
  </si>
  <si>
    <t>10"X1/2"TOWER BOLT p 40 78c</t>
  </si>
  <si>
    <t>12"X5/8"ALDROP p41 79a</t>
  </si>
  <si>
    <t>TOTAL FOR 2.081 SQM</t>
  </si>
  <si>
    <t xml:space="preserve">SHUTTER AREA      = 2X0.95 X 2.325                         </t>
  </si>
  <si>
    <t>STYLES (OVER 2m) = 2 X 2 X 2.325 X 0.075 X 0.0375         = 0.0228</t>
  </si>
  <si>
    <t>Bottom</t>
  </si>
  <si>
    <t xml:space="preserve">            2x  2X  0.95 X 0.075 X 0.0375     </t>
  </si>
  <si>
    <t xml:space="preserve">PLANKS : 2 X 4 X 0.825 X 0.36 X 0.01875    </t>
  </si>
  <si>
    <t xml:space="preserve">                  2 X 1 X 0.825 X 0.36 X 0.01875    </t>
  </si>
  <si>
    <t>T.W PLANKS (30 to 45 CM) (12 TO 25CM THICK)</t>
  </si>
  <si>
    <t>5.5 MM THK. GLASS                -2X2X0.5875X0.25</t>
  </si>
  <si>
    <t>RATE FOR 4.4175 SQM</t>
  </si>
  <si>
    <t>PLANKS              -1X2X0.5625X0.25x0.01875</t>
  </si>
  <si>
    <t>T.W. Beeding  - 2 x 2 x 1.675</t>
  </si>
  <si>
    <t>Providing Acid proof tile flooring of</t>
  </si>
  <si>
    <t>any size  including pointing etc.,</t>
  </si>
  <si>
    <t>COST Of acid proof tile (as per Krishnagiri DPO)</t>
  </si>
  <si>
    <t>Colour pigment</t>
  </si>
  <si>
    <r>
      <t xml:space="preserve">S &amp; F best indian 2/3 Glazed 1/3 Teak wood Panelled door shutter of size 
</t>
    </r>
    <r>
      <rPr>
        <b/>
        <u/>
        <sz val="13"/>
        <rFont val="Arial"/>
        <family val="2"/>
      </rPr>
      <t>b)1500mmx2100mm</t>
    </r>
  </si>
  <si>
    <t>T.W SCANTLING ABOVE 2m</t>
  </si>
  <si>
    <t>Glass 5.5mm thick</t>
  </si>
  <si>
    <t>M.S.Grill</t>
  </si>
  <si>
    <t>/cum</t>
  </si>
  <si>
    <t xml:space="preserve">Labour charges for shutter glazed door </t>
  </si>
  <si>
    <t>10"x5/8" Aldrop</t>
  </si>
  <si>
    <t>Alu.DOOR HANDLE WITH CP SCREWS (150mm long)</t>
  </si>
  <si>
    <t>Painting two coats of M.S. Grill</t>
  </si>
  <si>
    <t>Best varnishing two coats</t>
  </si>
  <si>
    <t>Sundries for brass screw</t>
  </si>
  <si>
    <t>Total for Each</t>
  </si>
  <si>
    <r>
      <t xml:space="preserve">Supply and laying of </t>
    </r>
    <r>
      <rPr>
        <b/>
        <sz val="12"/>
        <rFont val="Helv"/>
      </rPr>
      <t>Hard core</t>
    </r>
    <r>
      <rPr>
        <sz val="12"/>
        <rFont val="Helv"/>
      </rPr>
      <t xml:space="preserve"> layer of 30</t>
    </r>
    <r>
      <rPr>
        <b/>
        <sz val="12"/>
        <rFont val="Helv"/>
      </rPr>
      <t>0mm</t>
    </r>
    <r>
      <rPr>
        <sz val="12"/>
        <rFont val="Helv"/>
      </rPr>
      <t xml:space="preserve"> consolidated thickness (10Sqm x .3m thick= 3.0 cum)</t>
    </r>
  </si>
  <si>
    <t>Supply of 80-63mm metal 60%</t>
  </si>
  <si>
    <t>Supply of 40-10mm metal 40%</t>
  </si>
  <si>
    <t>Supply of river sand for filling the voids at 20%</t>
  </si>
  <si>
    <t>SUB DATA for hand rolling as per Highways SR</t>
  </si>
  <si>
    <t xml:space="preserve">Labour charges for placing metal and sand </t>
  </si>
  <si>
    <t>labour charges for watering and consolidation by power roller</t>
  </si>
  <si>
    <t>Rate for 0.75m3</t>
  </si>
  <si>
    <t xml:space="preserve">Vibrator / Earth rammed </t>
  </si>
  <si>
    <t>Rate for 1m3</t>
  </si>
  <si>
    <t>Sundries for watering through water set</t>
  </si>
  <si>
    <t>SUB DATA for Labour Charges only</t>
  </si>
  <si>
    <r>
      <t>For 3 m</t>
    </r>
    <r>
      <rPr>
        <vertAlign val="superscript"/>
        <sz val="12"/>
        <rFont val="Helv"/>
      </rPr>
      <t xml:space="preserve">3 </t>
    </r>
  </si>
  <si>
    <t xml:space="preserve">Mason II Class </t>
  </si>
  <si>
    <t>For 1m3</t>
  </si>
  <si>
    <t>Mazdoor I Class</t>
  </si>
  <si>
    <t>Mazdoor II Class</t>
  </si>
  <si>
    <t>Rate for 10m3</t>
  </si>
  <si>
    <t>Flush door shutter size 1200x2400 (Double leaf)</t>
  </si>
  <si>
    <t>shutter size 1200x2400 (Double leaf)=1.1 x 2.325 =</t>
  </si>
  <si>
    <t>Forpower rolling as per PWD SR 2017-18 it-71 b / P.25</t>
  </si>
  <si>
    <t>Solid core flush door shutter with TW palin -it-110 p-47</t>
  </si>
  <si>
    <t>Labour for Wrought &amp; Putup p33/156b</t>
  </si>
  <si>
    <t>Door Handle with CP screws 6' p41/80b</t>
  </si>
  <si>
    <t>Flush door shutter size 1500x2400 (Double leaves)</t>
  </si>
  <si>
    <t>5" Butt Hings p40/77a</t>
  </si>
  <si>
    <t>shutter size 1500x2400 (Double leaves)=1.4 x 2.325 =</t>
  </si>
  <si>
    <t>6"x1/2" Tower Bolt p40/78e</t>
  </si>
  <si>
    <t>Solid core flush door shutter with TW palin -it-93 p-43</t>
  </si>
  <si>
    <t>10"x5/8" Aldrop p41/79b</t>
  </si>
  <si>
    <t>Labour for Wrought &amp; Putup (SR P.31,it-156)</t>
  </si>
  <si>
    <t>Brass Screws</t>
  </si>
  <si>
    <t>Door Handle with CP screws 6'</t>
  </si>
  <si>
    <t>Rubber bush p41/83</t>
  </si>
  <si>
    <t>5" Butt Hings</t>
  </si>
  <si>
    <t>Door Stopper</t>
  </si>
  <si>
    <t>6"x1/2" Tower Bolt</t>
  </si>
  <si>
    <t>Varnish Two Coats</t>
  </si>
  <si>
    <t>Rate for 2.23 Sqm</t>
  </si>
  <si>
    <t>Rubber bush</t>
  </si>
  <si>
    <t>Flush door shutter size 1000x2100 ( Single leaf)</t>
  </si>
  <si>
    <t>Rate for 3.26 Sqm</t>
  </si>
  <si>
    <t>Flush door shutter size 1000x2400 ( Single leaf)</t>
  </si>
  <si>
    <t>Flush door shutter size 900x2100 ( Single leaf)</t>
  </si>
  <si>
    <t>Shutter size (0.9 x 2.025)</t>
  </si>
  <si>
    <t>Shutter size (0.9 x 2.325)</t>
  </si>
  <si>
    <t>Solid core flush door shutter with TW palin</t>
  </si>
  <si>
    <t>Solid core flush door shutter with TW plain</t>
  </si>
  <si>
    <t>Labour for Wrought &amp; Putup p33/156a</t>
  </si>
  <si>
    <t>Labour for Wrought &amp; Putup</t>
  </si>
  <si>
    <t>Labour for Wrought &amp; Putup p31/156a</t>
  </si>
  <si>
    <t>Flush door shutter size 1200x2400 ( Single leaf)</t>
  </si>
  <si>
    <t>shutter size 1200x2400 (Double leaves)=1.1 x 2.325 =</t>
  </si>
  <si>
    <t>Labour for Wrought &amp; Putup (SR P.32,it-156a)</t>
  </si>
  <si>
    <t>Painting Two Coats</t>
  </si>
  <si>
    <t>Rate for 1.82 Sqm</t>
  </si>
  <si>
    <t>Rate for 2.09 Sqm</t>
  </si>
  <si>
    <t>Rate for 1.62 Sqm</t>
  </si>
  <si>
    <t>Rate for 2.56 Sqm</t>
  </si>
  <si>
    <t>Flush door shutter size 1500x2100 ( Double leaf)</t>
  </si>
  <si>
    <r>
      <t>WASHBASIN</t>
    </r>
    <r>
      <rPr>
        <sz val="11"/>
        <color theme="1"/>
        <rFont val="Calibri"/>
        <family val="2"/>
        <scheme val="minor"/>
      </rPr>
      <t xml:space="preserve"> (White Pedastal type)  22"X16" INCLUDING</t>
    </r>
  </si>
  <si>
    <t>Shutter size (1.4 x 2.025)</t>
  </si>
  <si>
    <t>Wash Hand Basin of size 550 x 400 mm with all accessories such as CI brackets, 32mm dia CP waste coupling, Rubber plug and chain, 32mm dia B class GI waste pipe, 15mm dia brass nipples. 15mm CP pillar tap etc.,P-55 it-169 -i</t>
  </si>
  <si>
    <t>deduct rate for 15mm dia GM wheel valve</t>
  </si>
  <si>
    <t>Rate for 2.84 Sqm</t>
  </si>
  <si>
    <t>Flush door shutter size 1500x2400 ( Double leaf)</t>
  </si>
  <si>
    <t>Shutter size (1.4 x 2.325)</t>
  </si>
  <si>
    <t xml:space="preserve">Two legged scaffolding using 15cm dia casurna props </t>
  </si>
  <si>
    <t>15cm dia Casurina post p-20 it-138</t>
  </si>
  <si>
    <t>1 Rmt</t>
  </si>
  <si>
    <t>Country wood planks (silver oak) p-138 it130/78b</t>
  </si>
  <si>
    <t>1 Cum</t>
  </si>
  <si>
    <t>total cost of material used for 10 times</t>
  </si>
  <si>
    <t>Cost per 1 operation</t>
  </si>
  <si>
    <t>Oper</t>
  </si>
  <si>
    <t>15cm dia casurina post</t>
  </si>
  <si>
    <t>Add for coir, nail etc</t>
  </si>
  <si>
    <t>Rate for 6m</t>
  </si>
  <si>
    <t>Rate for intial height of 3m and length of 1m</t>
  </si>
  <si>
    <t xml:space="preserve">For every additional height of 2.5m height </t>
  </si>
  <si>
    <t>m</t>
  </si>
  <si>
    <t>vertical post of casurina post (13cm to 15cm)</t>
  </si>
  <si>
    <t>Flush door shutter size 1800x2400 (Double leaf)</t>
  </si>
  <si>
    <t>Cost of material plank</t>
  </si>
  <si>
    <t>shutter size 1800x2400 (Double leaf)=1.7 x 2.325 =</t>
  </si>
  <si>
    <t>Cost per 10 operation</t>
  </si>
  <si>
    <t>Sundries for coir , nais etc</t>
  </si>
  <si>
    <t>cost for 6 Rmt</t>
  </si>
  <si>
    <t>cost of 1m run ane every additional height of 2.5m</t>
  </si>
  <si>
    <t>For 3m Height</t>
  </si>
  <si>
    <t>5.5m height in addition of 2.5m ht</t>
  </si>
  <si>
    <t>8m height in addition of 2.5m ht</t>
  </si>
  <si>
    <t>10.5m height in addition of 2.5m ht</t>
  </si>
  <si>
    <t>13m height in addition of 2.5m ht</t>
  </si>
  <si>
    <t>Rate for 3.95 Sqm</t>
  </si>
  <si>
    <t>TW single leaf french window</t>
  </si>
  <si>
    <t xml:space="preserve">shutter  for frame of overall height 3.08 x 2.1cm </t>
  </si>
  <si>
    <t>Flush door shutter size 1800x2100 (Double leaf)</t>
  </si>
  <si>
    <t>LABOUR CHARGE for wroght &amp; put up</t>
  </si>
  <si>
    <t>shutter size 1800x2100 (Double leaf)=1.7 x 2.025 =</t>
  </si>
  <si>
    <t>4 mm thicj frosted glass</t>
  </si>
  <si>
    <t>TW Beeding 15 x12 mm</t>
  </si>
  <si>
    <t xml:space="preserve"> 200 mm long x12mm  ALU. TOWERBOLT (8")</t>
  </si>
  <si>
    <t>6" Handles ( 150mm long)</t>
  </si>
  <si>
    <t>TOTAL FOR 5.16 SQM</t>
  </si>
  <si>
    <t>Rate for 3.44 Sqm</t>
  </si>
  <si>
    <t>TW Panelled Swing type ventilater</t>
  </si>
  <si>
    <t>of size 75x 75cm</t>
  </si>
  <si>
    <t>Flush door shutter size 1200x2100 ( Single leaf)</t>
  </si>
  <si>
    <t>shutter size 1200x2100 (single leaf)=1.1 x 2.025 =</t>
  </si>
  <si>
    <t xml:space="preserve">SHUTTER SIZE-0.65X0.65                                                                                 </t>
  </si>
  <si>
    <r>
      <t xml:space="preserve">STYLES -2X0.65 x   7.525 x 3.125                                                 </t>
    </r>
    <r>
      <rPr>
        <b/>
        <sz val="12"/>
        <rFont val="Arial"/>
        <family val="2"/>
      </rPr>
      <t xml:space="preserve">  = 0.052</t>
    </r>
  </si>
  <si>
    <t xml:space="preserve">Top &amp; Intermediate 2X3X7.5255X0.15X0.0375       </t>
  </si>
  <si>
    <t>With Brass fittings</t>
  </si>
  <si>
    <t xml:space="preserve">Providing Colour Marble chips of size 10mm and below using 70.20Kgs of cement and 15 cum of Colour Marble chips for every 10 sqm over the existing plastered surface </t>
  </si>
  <si>
    <t xml:space="preserve"> Cost of Colour Marble chips ( 88.60/0.0354)=2502.82.18 (P-41 it-24 )</t>
  </si>
  <si>
    <t xml:space="preserve">Colour Pigment </t>
  </si>
  <si>
    <t>Supply and fixing of colour matt finish door 15 microns double leaf door Aluminium Door  ( 1.5 x2.1m thick)</t>
  </si>
  <si>
    <t>UPVC instead of Stone ware Pipe</t>
  </si>
  <si>
    <t>Aluminium section ''it-61 a( rev SR-17-18)</t>
  </si>
  <si>
    <t>SUPPLYING AND  LAYING AND</t>
  </si>
  <si>
    <t>Rubber beeding (An-VI -it-63 p-40</t>
  </si>
  <si>
    <t>JOINTING SN8 UPVC PIPE AND SPECIALS</t>
  </si>
  <si>
    <t>Glass 5.5mm plain  it-107</t>
  </si>
  <si>
    <t>Novapan Sheet 12mm Thick</t>
  </si>
  <si>
    <t>Power Grapping p-52 it-173</t>
  </si>
  <si>
    <t>110mm DIA  UPVC PIPE BELOW G.L</t>
  </si>
  <si>
    <t>PVC Felt ( It-65)</t>
  </si>
  <si>
    <t>DOOR STOPPER   It-82</t>
  </si>
  <si>
    <t>Hydraulic DOOR Closer It-67</t>
  </si>
  <si>
    <t>Cost of UPVC SN8 Pipe (TWAD SR 18-19 P-20 1.2 1)</t>
  </si>
  <si>
    <t xml:space="preserve">  SCREWS (75x 10mm)it-108 ii</t>
  </si>
  <si>
    <t>Bolts &amp; Nuts ( 3/4"x 1/4") It-78-b</t>
  </si>
  <si>
    <t>Bolts &amp; Nuts ( 6"x 1/2") it-78-e</t>
  </si>
  <si>
    <t>TOTAL FOR 3.15 SQM</t>
  </si>
  <si>
    <t>JOINTING MATERIALS. (TWAD SR 17-18 11-b)</t>
  </si>
  <si>
    <t>CUTTING CHARGES ( P-32/141)</t>
  </si>
  <si>
    <t>160mm DIA  UPVC PIPE BELOW G.L</t>
  </si>
  <si>
    <t>Supply and fixing of colour matt finish door 15 microns double leaf door Aluminium Door  ( 1.0 x2.1m thick)</t>
  </si>
  <si>
    <t>Cost of UPVC SN8 Pipe (TWAD SR 18-19 P-20 1.2 a /3)</t>
  </si>
  <si>
    <t>Rubber beeding (An-VI -it-63</t>
  </si>
  <si>
    <t xml:space="preserve">  SCREWS (75x 10mm)(An-VI -it-163</t>
  </si>
  <si>
    <t>Bolts &amp; Nuts ( 3/4"x 1/4") It-78-b p-40</t>
  </si>
  <si>
    <t>TOTAL FOR 2.1 SQM</t>
  </si>
  <si>
    <t>Aluminium  Anodised 1.80 x1.35 m</t>
  </si>
  <si>
    <r>
      <t>Supplying, fabricating and fixing inposition A</t>
    </r>
    <r>
      <rPr>
        <b/>
        <sz val="11"/>
        <color indexed="8"/>
        <rFont val="Arial"/>
        <family val="2"/>
      </rPr>
      <t>luminium anodised natural colour matt finish four Track Sliding Window</t>
    </r>
    <r>
      <rPr>
        <sz val="11"/>
        <color indexed="8"/>
        <rFont val="Arial"/>
        <family val="2"/>
      </rPr>
      <t xml:space="preserve"> size 1.80mm x 1.35 mm of with outer frame section with 62x38x2mm at 1.174 kg/m and the louvered with moving arrangements made with aluminium channel of size 60x30x4mm @ 1.274 kg/m ALuminium clips 19.05x17.27/ 11.05x0.075mm @ 0.169kg/m with necessary 4mm thick plain glass panel for louvers including cost of all materials, labour and power required for fabrications, chipping dismantling making holes in RCC column ,slab, masonry and made good to the original condition after fixing etc., complete. The Aluminium surface is to be anodised with matt finish under electrically controlled condition in accordance with ISI specification 1868/1962 for anodic film thickness of notless than 15 Microns,etc., complete.</t>
    </r>
    <r>
      <rPr>
        <b/>
        <sz val="11"/>
        <color indexed="8"/>
        <rFont val="Arial"/>
        <family val="2"/>
      </rPr>
      <t>1.80mm x 1.35 mm</t>
    </r>
  </si>
  <si>
    <t>Aluminium section ''it-61 a( rev SR-18-19)</t>
  </si>
  <si>
    <t>SUPPLY AND FIXING OF GALVANIUM SHEET 0.47MM THICK</t>
  </si>
  <si>
    <t>GALVANIUM SHEET 0.47MM THICK ( qtn)</t>
  </si>
  <si>
    <t>Glass 4 mm thichk plain  it-106</t>
  </si>
  <si>
    <t xml:space="preserve">FITTER I st  CLASS </t>
  </si>
  <si>
    <t xml:space="preserve"> PVC  Roller for sliding ''it-75 ( rev SR-18-19)</t>
  </si>
  <si>
    <t>CARPENTER I ST CLASS</t>
  </si>
  <si>
    <t>Lock  for sliding ''it-70 ( rev SR-18-19)</t>
  </si>
  <si>
    <t>MAZDOOR I ST CLASS</t>
  </si>
  <si>
    <t>Handle" D "type 100mm long ''it-80 c ( rev SR-18-19)</t>
  </si>
  <si>
    <t xml:space="preserve">L.S </t>
  </si>
  <si>
    <t xml:space="preserve">Bolts &amp;  Washers </t>
  </si>
  <si>
    <t xml:space="preserve">Rate For 10 Sqm </t>
  </si>
  <si>
    <t xml:space="preserve">Screws  rayal plugs  and stopper etc </t>
  </si>
  <si>
    <t xml:space="preserve">Rate For 1 Sqm </t>
  </si>
  <si>
    <t xml:space="preserve"> REVISED SR 2017-18 </t>
  </si>
  <si>
    <t>Wall Panelling data as per DPO Thanjavur</t>
  </si>
  <si>
    <t>Aluminium  Anodised 1.35 x1.35 m</t>
  </si>
  <si>
    <t>Country wood reeper (50 x 25 mm p-22 s.no.132)</t>
  </si>
  <si>
    <r>
      <t>Supplying, fabricating and fixing inposition A</t>
    </r>
    <r>
      <rPr>
        <b/>
        <sz val="11"/>
        <color indexed="8"/>
        <rFont val="Arial"/>
        <family val="2"/>
      </rPr>
      <t>luminium anodised natural colour matt finish four Track Sliding Window</t>
    </r>
    <r>
      <rPr>
        <sz val="11"/>
        <color indexed="8"/>
        <rFont val="Arial"/>
        <family val="2"/>
      </rPr>
      <t xml:space="preserve"> size 1.35mm x 1.35 mm of with outer frame section with 62x38x2mm at 1.174 kg/m and the louvered with moving arrangements made with aluminium channel of size 60x30x4mm @ 1.274 kg/m ALuminium clips 19.05x17.27/ 11.05x0.075mm @ 0.169kg/m with necessary 4mm thick plain glass panel for louvers including cost of all materials, labour and power required for fabrications, chipping dismantling making holes in RCC column ,slab, masonry and made good to the original condition after fixing etc., complete. The Aluminium surface is to be anodised with matt finish under electrically controlled condition in accordance with ISI specification 1868/1962 for anodic film thickness of notless than 15 Microns,etc., complete.</t>
    </r>
    <r>
      <rPr>
        <b/>
        <sz val="11"/>
        <color indexed="8"/>
        <rFont val="Arial"/>
        <family val="2"/>
      </rPr>
      <t>1.80mm x 1.35 mm</t>
    </r>
  </si>
  <si>
    <t xml:space="preserve"> 6mm tk MDF Ply wood ( CER No.107-2012-13 DPO Thanjavur)</t>
  </si>
  <si>
    <t xml:space="preserve"> 4mm tk vennar ( CER No.107-2012-13 DPO Thanjavur)</t>
  </si>
  <si>
    <t xml:space="preserve">Melamin Polish </t>
  </si>
  <si>
    <t>labour charges</t>
  </si>
  <si>
    <t xml:space="preserve"> PVC  Roller for sliding ''it-75 ( rev SR-17-18)</t>
  </si>
  <si>
    <t xml:space="preserve">Rate For 9 Sqm </t>
  </si>
  <si>
    <t>Lock  for sliding ''it-70 ( rev SR-17-18)</t>
  </si>
  <si>
    <t>Rate Per Sqm</t>
  </si>
  <si>
    <t>Handle" D "type 100mm long ''it-80 c ( rev SR-17-18)</t>
  </si>
  <si>
    <t xml:space="preserve">Labour Charges </t>
  </si>
  <si>
    <t>FITTER  Ist Class</t>
  </si>
  <si>
    <t xml:space="preserve">DATA </t>
  </si>
  <si>
    <r>
      <t xml:space="preserve">ONE COAT OF WALL PATTY        </t>
    </r>
    <r>
      <rPr>
        <b/>
        <sz val="12"/>
        <rFont val="Arial"/>
        <family val="2"/>
      </rPr>
      <t xml:space="preserve"> CHENNAI CITY</t>
    </r>
  </si>
  <si>
    <t>PATTY  ( Qtn) 40 Kg= Rs .1050/40=26.25</t>
  </si>
  <si>
    <t>Vat 4 % (26.25+1.05 =27.30</t>
  </si>
  <si>
    <t>Painter - I st Class</t>
  </si>
  <si>
    <t>Providing Colour Marble Chips</t>
  </si>
  <si>
    <t xml:space="preserve"> Cost of Colour Marble chips ( 84.4/0.0354)=2384.18 (P-36 it-11 )</t>
  </si>
  <si>
    <t>Colour Pigment</t>
  </si>
  <si>
    <t>Mazon  Ist Class</t>
  </si>
  <si>
    <t xml:space="preserve">THERMOCOAL FALSE CEILING ARRANGEMENTS </t>
  </si>
  <si>
    <t>Cost of Aluminium section</t>
  </si>
  <si>
    <t>Wastage 10% on Aluminium section</t>
  </si>
  <si>
    <t>MS Rod</t>
  </si>
  <si>
    <t>Wastage 5 % on MS Rod</t>
  </si>
  <si>
    <t>Cost of Thermocoal 20mm thick sheet</t>
  </si>
  <si>
    <t xml:space="preserve">Wastage 10 % </t>
  </si>
  <si>
    <t xml:space="preserve">Adjustable Screws </t>
  </si>
  <si>
    <t>MS Hooks</t>
  </si>
  <si>
    <t>Fitter Ist Class</t>
  </si>
  <si>
    <t>Carpenter  Ist Class</t>
  </si>
  <si>
    <t>Mazdoor Ist Class</t>
  </si>
  <si>
    <t>TOTAL FOR 18 SQM</t>
  </si>
  <si>
    <t>RATE PER SQ M</t>
  </si>
  <si>
    <t xml:space="preserve"> Revised  SR 2018-19</t>
  </si>
  <si>
    <t>Aluminium partition wall ( 1/3 Glass 5.5mm &amp; 2/3 novapan sheet 12mm thick</t>
  </si>
  <si>
    <t>Aluminium section 'it- 61 a( SR-16-17)</t>
  </si>
  <si>
    <t xml:space="preserve"> BRASS SCREWS ( 30x6mm)(An-VI -it-162 p-53</t>
  </si>
  <si>
    <t xml:space="preserve"> BRASS SCREWS (75x 10mm)(An-VI -it-163</t>
  </si>
  <si>
    <t xml:space="preserve"> Plug (An-VI -it-166</t>
  </si>
  <si>
    <t>Power Grapping it-173</t>
  </si>
  <si>
    <t>TOTAL FOR 6.615 SQM</t>
  </si>
  <si>
    <t xml:space="preserve">M.S VENTILATOR OF SIZE -1200 X 800mm ( 1 No ) </t>
  </si>
  <si>
    <t xml:space="preserve">ALROUND M.S FLAT OF SIZE 50 X 10mm      = 4.0 M X 3.9 Kg/Met </t>
  </si>
  <si>
    <t>SQUARE BARS OF SIZE 20 x 20mm               =11Nos X 0. 8M 3.14 Kg/Met</t>
  </si>
  <si>
    <t>M.S FLAT OF SIZE 25 X 6mm HORIZONTAL = 1 X 2 X1.200 x 1.2 Kg/Met</t>
  </si>
  <si>
    <t>VERTICAL                                                             = 1 X 3 X 0.80 X 1.2 Kg/Met</t>
  </si>
  <si>
    <t>ADD FOR WELLDING</t>
  </si>
  <si>
    <t xml:space="preserve">M.S VENTILATOR OF SIZE -1000 X 800mm ( 1 No ) </t>
  </si>
  <si>
    <t xml:space="preserve">ALROUND M.S FLAT OF SIZE 50 X 10mm      = 3.6 M X 3.9 Kg/Met </t>
  </si>
  <si>
    <t>SQUARE BARS OF SIZE 20 x 20mm               = 9Nos X 0. 8M 3.14 Kg/Met</t>
  </si>
  <si>
    <t>M.S FLAT OF SIZE 25 X 6mm HORIZONTAL = 1 X 2 X1.000 x 1.2 Kg/Met</t>
  </si>
  <si>
    <t xml:space="preserve">Old RCC Door frame </t>
  </si>
  <si>
    <r>
      <t xml:space="preserve">Satndardised cement Concrtet </t>
    </r>
    <r>
      <rPr>
        <b/>
        <sz val="12"/>
        <rFont val="Helv"/>
      </rPr>
      <t xml:space="preserve"> 1:1.5:3 </t>
    </r>
  </si>
  <si>
    <t xml:space="preserve">Cochin House Data </t>
  </si>
  <si>
    <t>Aluminium window openable 1.8x1.35m (Three leaves)</t>
  </si>
  <si>
    <t xml:space="preserve">Max hinges Qtn </t>
  </si>
  <si>
    <t xml:space="preserve">Rate per Sqm </t>
  </si>
  <si>
    <t>Aluminium window openable 1.35x1.35m (Two leaves)</t>
  </si>
  <si>
    <t>Max hinges</t>
  </si>
  <si>
    <t>TOTAL FOR 1.823 SQM</t>
  </si>
  <si>
    <t>Say Rs. Rate Per m2 =</t>
  </si>
  <si>
    <t>Aluminium window openable 1.35x1.05m  ( Two leaves)</t>
  </si>
  <si>
    <t>Aluminium window openable 1.20x1.35m  ( Two leaves)</t>
  </si>
  <si>
    <t>Max</t>
  </si>
  <si>
    <r>
      <rPr>
        <b/>
        <sz val="12"/>
        <rFont val="Arial"/>
        <family val="2"/>
      </rPr>
      <t>FRENCH WINDOW</t>
    </r>
    <r>
      <rPr>
        <sz val="12"/>
        <rFont val="Arial"/>
        <family val="2"/>
      </rPr>
      <t xml:space="preserve"> FOR DOOR OF SIZE</t>
    </r>
  </si>
  <si>
    <t>1.80 X 2.0M (3 bay openable )</t>
  </si>
  <si>
    <t>SHUTTER</t>
  </si>
  <si>
    <t>TW scantling styles (upto 2M) -3X2X1.90X0.075 x 0.0375</t>
  </si>
  <si>
    <t>TW scantling rails (above 2 M) -3X2X0.50X0.075 x 0.0375</t>
  </si>
  <si>
    <t>3X1.90X0.50</t>
  </si>
  <si>
    <t>4 MM THICK PIN HEADED GLASS</t>
  </si>
  <si>
    <t>3X1.775X0.375</t>
  </si>
  <si>
    <t>TW Decorative Beeding ( 15 x 12mm )</t>
  </si>
  <si>
    <t>3 [ 2 (1.775 + 0.375)]</t>
  </si>
  <si>
    <t xml:space="preserve">Main Data </t>
  </si>
  <si>
    <t>FOR Shutter</t>
  </si>
  <si>
    <t>T.W SCANTLING  upto 2M LONG</t>
  </si>
  <si>
    <t>TW  Beeding ( 15 x 12mm )</t>
  </si>
  <si>
    <t>Brass scrwew</t>
  </si>
  <si>
    <t xml:space="preserve">Total For 2.850 Sqm </t>
  </si>
  <si>
    <t>Providing and laying in position, Standardised concrete mix M - 20 Grade in a accordance with IS 456 - 2000, using 20mm and down graded hard broken stone jelly for all RCC items of works with minimum cement content of 400 kg/m3 and water cement ratio of 0.45, including admixture (Plasticiser/ super plasticiser) in recommended proportions as per IS : 9103 to accelerate, retard setting of concrete, improve workability without impairing strength and durablity with about (5.0 cu.m) 7730 kg. og 20mm machine crushed stone jelly and with about (3.3 cu.m) 5156 kg. of 10 - 12mm machine crushed stone jelly and with about (4.79 cu.m) 7670 kg. of sand,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standard specification and as directed by the departmental officers. The coarse and fine aggregates to be used should comply with the requirements of IS standards. (No separate payment will be made by the departmental for the excess usage of materials)</t>
  </si>
  <si>
    <r>
      <t xml:space="preserve">Brick partition walls 75mm thick </t>
    </r>
    <r>
      <rPr>
        <sz val="14"/>
        <rFont val="Calibri"/>
        <family val="2"/>
        <scheme val="minor"/>
      </rPr>
      <t>using chamber burnt bricks of size 9”x4½”x3” (23x11.4x7.5 cm) in cement mortar 1:4 (One of cement and four of sand) for super structure in the following floors including scaffoldings, curing etc., complete in all respect complying with relevant standard specifications and drawings</t>
    </r>
  </si>
  <si>
    <t>Main Building</t>
  </si>
  <si>
    <t>b) Ground Floor</t>
  </si>
  <si>
    <r>
      <t xml:space="preserve">Brick partition wall in Cement Mortar 1:4 </t>
    </r>
    <r>
      <rPr>
        <sz val="14"/>
        <rFont val="Calibri"/>
        <family val="2"/>
        <scheme val="minor"/>
      </rPr>
      <t xml:space="preserve">(One of cement and four of sand) </t>
    </r>
    <r>
      <rPr>
        <b/>
        <sz val="14"/>
        <rFont val="Calibri"/>
        <family val="2"/>
        <scheme val="minor"/>
      </rPr>
      <t>114mm thick</t>
    </r>
    <r>
      <rPr>
        <sz val="14"/>
        <rFont val="Calibri"/>
        <family val="2"/>
        <scheme val="minor"/>
      </rPr>
      <t xml:space="preserve"> for super structure in the following floors using chamber burnt bricks of size 9”x4½”x3” (23x11.4x7.5 cm) including labour for fixing the doors, windows and ventilator frames in position, fixing of hold fasts, scaffoldings, curing etc., complete in all respect complying with relevant standard specifications and drawings</t>
    </r>
  </si>
  <si>
    <r>
      <rPr>
        <b/>
        <sz val="14"/>
        <rFont val="Calibri"/>
        <family val="2"/>
        <scheme val="minor"/>
      </rPr>
      <t xml:space="preserve">Supplying, laying, fixing and jointing the following GI pipes </t>
    </r>
    <r>
      <rPr>
        <sz val="14"/>
        <rFont val="Calibri"/>
        <family val="2"/>
        <scheme val="minor"/>
      </rPr>
      <t>as per ASTM D-1785 of schedule 40 of wall thickness not less than the specified in IS 4985 suitable for plumbing by threading of wall thickness including the cost of suitable PVC/GI specials/GM specials like elbow, Tee, reducers, plug, union, bends, coupler, nipple/GM gate valve check and wheel valve etc., wherever required above the ground level including the cost of teflon tap etc., fully concealed in walls to the proper gradient and alignment and redoing the chipper portion of masonry etc., all complete and as directed by the departmental officers</t>
    </r>
    <r>
      <rPr>
        <b/>
        <sz val="14"/>
        <rFont val="Calibri"/>
        <family val="2"/>
        <scheme val="minor"/>
      </rPr>
      <t>.</t>
    </r>
  </si>
  <si>
    <t>T.W. double leaf shutters for Pigeon hole rack</t>
  </si>
  <si>
    <t xml:space="preserve">Supplying and fixing B.I.C.W.Meter cupboard with shutter double leaves with 230mmx25mm size </t>
  </si>
  <si>
    <t xml:space="preserve"> M2</t>
  </si>
  <si>
    <t>TW scantling(OVER 2M) -1X5X4.275X0.075X0.0375</t>
  </si>
  <si>
    <t>TW scantling(below 2M) -1X9X2.00X0.075X0.0375</t>
  </si>
  <si>
    <t>Shutter(BWR Plywood)    -  8X4X0.45X0.45</t>
  </si>
  <si>
    <t>Shutter area      - 8X4X0.45X0.45</t>
  </si>
  <si>
    <t>TWO COATS of enamel paint incl. Primer
-  1X4.275X2.60X2.00</t>
  </si>
  <si>
    <t>Observed Data</t>
  </si>
  <si>
    <t>GST at  12.0%</t>
  </si>
  <si>
    <t>Fabrication of Mild steel / RTS grills (without cement slurry wash)</t>
  </si>
  <si>
    <t xml:space="preserve">Two coat of OBD over one coat primer for inner walls </t>
  </si>
  <si>
    <t xml:space="preserve">Painting Primer coat using  approved quality of white cement over the   cement plastered / concrete wall </t>
  </si>
  <si>
    <t xml:space="preserve"> AS PER PWD SR 2019-20</t>
  </si>
  <si>
    <t>SAY Rs.</t>
  </si>
  <si>
    <t>S &amp; F best indian 2/3 Glazed 1/3 Teak wood Panelled door shutter of size 
b)1500mmx2100mm</t>
  </si>
  <si>
    <t>Cuddapah slab 20mm tk</t>
  </si>
  <si>
    <r>
      <t>Supplying and fixing of flush door single leaf door shutters</t>
    </r>
    <r>
      <rPr>
        <sz val="14"/>
        <rFont val="Calibri"/>
        <family val="2"/>
        <scheme val="minor"/>
      </rPr>
      <t xml:space="preserve">  and as directed by the departmental officers (The quality and the BWR plywood should be got approved from the Executive Engineer before use).</t>
    </r>
  </si>
  <si>
    <t>d/f entrance &amp; MD</t>
  </si>
  <si>
    <t>d/f D</t>
  </si>
  <si>
    <t>In terrase</t>
  </si>
  <si>
    <t>Supply and errection of Rotational Moulded Polyethylenewater storage tanks (HDPE Cylinderical vertical type) for outdoor use having capacity of  700 litres</t>
  </si>
  <si>
    <t>Say 20kg/sqm</t>
  </si>
  <si>
    <t>20mm HBG Machine crushed stone jelly    (7730 Kg)</t>
  </si>
  <si>
    <t>10-12mm HBG Machine crushed stone jelly    (5156 Kg)</t>
  </si>
  <si>
    <t>Sand    (7670 Kg)</t>
  </si>
  <si>
    <t>Satndardised cement Concrtet M30 grade 1:1.5:3 without vibrating charges</t>
  </si>
  <si>
    <t>OF 10mm&amp;BELOW (ELLISPATTERN)</t>
  </si>
  <si>
    <t>DOWN FALL PIPE    Type- A  SWR pipe</t>
  </si>
  <si>
    <t>SUPPLY AND FIXING ALUMINUM TOWEL RAIL OF</t>
  </si>
  <si>
    <t>SUPPLING AND FIXING COAT STAND</t>
  </si>
  <si>
    <t>SUPPLING AND FIXING OF PICTURE HOOKS</t>
  </si>
  <si>
    <t>Slabs of 50mm thick (precast slab 50mm Thick)</t>
  </si>
  <si>
    <t>WASHBASIN 22"X16" INCLUDING</t>
  </si>
  <si>
    <t xml:space="preserve">110MM DIA OF PVC SWR PIPE INCLUDING </t>
  </si>
  <si>
    <t xml:space="preserve">75MM DIA OF PVC SWR PIPE INCLUDING </t>
  </si>
  <si>
    <t>Supplying and fixing 4mm thick pin</t>
  </si>
  <si>
    <t>PAINTING TWO COATS OVER NEW           (as per PWD Standard Data)</t>
  </si>
  <si>
    <t>Providing wooden MELAMEN DOOR POLISH</t>
  </si>
  <si>
    <t>TOTAL FOR 5.67 SQM</t>
  </si>
  <si>
    <t>COST OF Vertified TILES  qtn</t>
  </si>
  <si>
    <t>COST OF Eurocon TILES (pwd -p 41/17</t>
  </si>
  <si>
    <t>BASEMENT  WITH  FILLING SAND</t>
  </si>
  <si>
    <t>Wastage as per Barbending Schedule</t>
  </si>
  <si>
    <t>CONSTRUCTION OF  DINING ROOM, PIGEON HOLE RACK WITH LOCKER BOX FOR USAGE OF PRISON STAFF  AT CENTRAL PRISON IN COIMBATORE CITY.</t>
  </si>
  <si>
    <t/>
  </si>
  <si>
    <t>TOTAL FOR 8.978 SQM</t>
  </si>
  <si>
    <t>PVC Water supply</t>
  </si>
  <si>
    <t>deduct rate for 15mm dia GM wheel valve p -53 /145(v)</t>
  </si>
  <si>
    <t>SUPPLY AND FIXING OF E.W.C.   18" SIZE (WHITE)</t>
  </si>
  <si>
    <t>DATA   - 25</t>
  </si>
  <si>
    <t>EARTHING &amp; ELCB</t>
  </si>
  <si>
    <t>Run of 8 SWG GI Wire</t>
  </si>
  <si>
    <t>Supplying and laying of 8 SWG GI wire on walls/below ground level with necessary 'U' nails/ earth work excavation and re- filling etc., including cost of all materials, all complete.</t>
  </si>
  <si>
    <t xml:space="preserve">8 SWG GI wire  (Part- E, 3 -c P-124 ) </t>
  </si>
  <si>
    <t xml:space="preserve"> 'U' nails (SD-74 ,20-21)</t>
  </si>
  <si>
    <t>Tatal for 90 Rmts</t>
  </si>
  <si>
    <t>For 1 Rmt</t>
  </si>
  <si>
    <t xml:space="preserve">Labour charges </t>
  </si>
  <si>
    <t>Wiremen Grade I</t>
  </si>
  <si>
    <t>Helpers</t>
  </si>
  <si>
    <t>Note:This item 30  is to run earth wire from IS:3043 earthing item 32) to be Main switch/ Panel Board/ Machinary</t>
  </si>
  <si>
    <t>DATA   - 37</t>
  </si>
  <si>
    <t>2 x 4 Sqmm Copper PVC insulated unsheathed single core 1 KV grade cable for EB service single phase.</t>
  </si>
  <si>
    <t>4 Sqmm copper PVC insulated unsheathed single core cableP-124 2 d</t>
  </si>
  <si>
    <t>7/20 GI stay wire (SD - 64) 2020-21</t>
  </si>
  <si>
    <t>PVC reel insulater (SD - 64) 2020-21 [6.30]</t>
  </si>
  <si>
    <t>GI wire for fixing reel insulater</t>
  </si>
  <si>
    <t>Sundries for masonry works clamps bolts and nuts etc.,</t>
  </si>
  <si>
    <t>Total for 90 Rmt</t>
  </si>
  <si>
    <t>Rate for 1 Rmt</t>
  </si>
  <si>
    <t>Electrician Maistry</t>
  </si>
  <si>
    <t>Wiremen Grade II</t>
  </si>
  <si>
    <t>Helper</t>
  </si>
  <si>
    <t>BASEMENT  WITH  FILLING GRAVEL</t>
  </si>
  <si>
    <t>Casurina Props 10 to 13 m dia @ 75m c/c cost for 1 
operation 25.20/5=5.040 p-21 it-146/b</t>
  </si>
  <si>
    <t>Supply and Fixing Soild UPVC door Shutter with frame PWD SR Pg.no:49</t>
  </si>
  <si>
    <t>DATA   - 14</t>
  </si>
  <si>
    <t>Run off mains with 2 wires of 4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</si>
  <si>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4 sqmm copper PVC insulated unsheathed single core cable,P-124 it-2-d</t>
  </si>
  <si>
    <t xml:space="preserve"> Rmt</t>
  </si>
  <si>
    <t>PVC rigid conduit pipe 19 mm / 20mm heavy duty with ISI mark</t>
  </si>
  <si>
    <t>Bag</t>
  </si>
  <si>
    <t>2.5 sqmm copper PVC insulated unsheathed single core cable for continuous earth connectionp-124, it- 2 c</t>
  </si>
  <si>
    <t>Total for 90 Metres</t>
  </si>
  <si>
    <t>DATA   - 13</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</si>
  <si>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</si>
  <si>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</si>
  <si>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p-124, it- 2 c</t>
  </si>
  <si>
    <t>Deduct 1.5 Sqmm copper PVC insulated unsheathed S.C. cable</t>
  </si>
  <si>
    <t>Total for 90 metres</t>
  </si>
  <si>
    <t>PAINTING TWO COATS OVER NEW             (as per CER-112/2007-08)</t>
  </si>
  <si>
    <t>9 watts  LED bulb  CER No:41 2019/20</t>
  </si>
  <si>
    <t>18 watts  LED  Tube Light  CER No:41 2019/20</t>
  </si>
  <si>
    <t>Service connection accessories L.T 1100V PVC aluminium armoured under ground cable with ISI mark                                                                            a) 2.0 core 10 sqmm LTUG cable (As per SD 182 P.83 of Elect SR 2020 - 2021 )</t>
  </si>
  <si>
    <t>C.P tap long body half turn tap</t>
  </si>
  <si>
    <t>C.P tap short body half turn tap</t>
  </si>
  <si>
    <t>Grade beam @ vertical in bath area</t>
  </si>
  <si>
    <t>Grade beam @ entrance lobby 3 sides</t>
  </si>
  <si>
    <t>D/F footing C1F1</t>
  </si>
  <si>
    <t>D/F footing C2F2</t>
  </si>
  <si>
    <t>C1F1  footing</t>
  </si>
  <si>
    <t>C2F2 footing</t>
  </si>
  <si>
    <t>For C1F1 Footing</t>
  </si>
  <si>
    <t>For C2F2 Footing</t>
  </si>
  <si>
    <t>Column raising up to grade beam bottom</t>
  </si>
  <si>
    <t>For C1F2 Column</t>
  </si>
  <si>
    <t>For C2F2 Column</t>
  </si>
  <si>
    <t>Front Lobby Beams GB - 2</t>
  </si>
  <si>
    <t>Building Outer Beam GB - 1</t>
  </si>
  <si>
    <t>Toilet Outer Beam GB - 2</t>
  </si>
  <si>
    <t xml:space="preserve">Cross Beam GB - 2 </t>
  </si>
  <si>
    <t>Vertical Direction (Inner to inner)</t>
  </si>
  <si>
    <t>X Direction (outer to outer)</t>
  </si>
  <si>
    <t>Continuous lintel over wall in building</t>
  </si>
  <si>
    <t>B-100 at Lintel level in entrance lobby alround</t>
  </si>
  <si>
    <t>BB-Bed Block Below B-101</t>
  </si>
  <si>
    <t>TD lintel bem</t>
  </si>
  <si>
    <t>B-101 at roof level 0.23x0.38</t>
  </si>
  <si>
    <t>Bath area</t>
  </si>
  <si>
    <t>d/f of C1F1 column</t>
  </si>
  <si>
    <t>d/f of C2F2 column</t>
  </si>
  <si>
    <t>parapet wall  Top</t>
  </si>
  <si>
    <t>Brick pillar in parapet area</t>
  </si>
  <si>
    <t>d/f of brick pillar</t>
  </si>
  <si>
    <t>OHT outer alround</t>
  </si>
  <si>
    <t>OHT top &amp; bottom</t>
  </si>
  <si>
    <t>a) Brass tap</t>
  </si>
  <si>
    <r>
      <t xml:space="preserve">Providing T.W. double leaf shutters for cupboard/ward robes </t>
    </r>
    <r>
      <rPr>
        <sz val="14"/>
        <rFont val="Calibri"/>
        <family val="2"/>
        <scheme val="minor"/>
      </rPr>
      <t>with 9mm thick phenol bonded BWR grade plywood as per IS 303-1989 (General) with IS 5539-1969 (For preservative treatment) and IS 848-1974 (For adhesive) with relevant IS specifications and ITS latest amendment for shutters. The all round frame made up of T.W scantling of  75mmX37.50mm and the styles made up of T.W. scantlings of 75mm X 37.50mm and shutter middle rail (Horizontal) made up of T.W scantling of 150mm 37x50mm including cost of plywood and labour for fixing in position, cost of materials, Aluminium furniture fittings such as 2 Nos. of 3” of Aluminium butt hinges, 1 No of 4" ornamental Handle, lock and key arrangements  (leaver type) (Per Box) of best approved quality and also painting with two coats using synthetic enamel paint and one coat using wood primer with neat finish, with brass screws.</t>
    </r>
    <r>
      <rPr>
        <b/>
        <sz val="14"/>
        <rFont val="Calibri"/>
        <family val="2"/>
        <scheme val="minor"/>
      </rPr>
      <t xml:space="preserve"> </t>
    </r>
  </si>
</sst>
</file>

<file path=xl/styles.xml><?xml version="1.0" encoding="utf-8"?>
<styleSheet xmlns="http://schemas.openxmlformats.org/spreadsheetml/2006/main">
  <numFmts count="18">
    <numFmt numFmtId="5" formatCode="&quot;₹&quot;\ #,##0;&quot;₹&quot;\ \-#,##0"/>
    <numFmt numFmtId="164" formatCode="_(&quot;$&quot;* #,##0.00_);_(&quot;$&quot;* \(#,##0.00\);_(&quot;$&quot;* &quot;-&quot;??_);_(@_)"/>
    <numFmt numFmtId="165" formatCode="_(* #,##0.00_);_(* \(#,##0.00\);_(* &quot;-&quot;??_);_(@_)"/>
    <numFmt numFmtId="166" formatCode="&quot;Rs.&quot;\ #,##0;&quot;Rs.&quot;\ \-#,##0"/>
    <numFmt numFmtId="167" formatCode="0.00_)"/>
    <numFmt numFmtId="168" formatCode="0.000"/>
    <numFmt numFmtId="169" formatCode="0.00000_)"/>
    <numFmt numFmtId="170" formatCode="0_)"/>
    <numFmt numFmtId="171" formatCode="0.0000"/>
    <numFmt numFmtId="172" formatCode="0.0"/>
    <numFmt numFmtId="173" formatCode="0.000_)"/>
    <numFmt numFmtId="174" formatCode="0.0_)"/>
    <numFmt numFmtId="175" formatCode="0.0000_)"/>
    <numFmt numFmtId="176" formatCode="0.000000_)"/>
    <numFmt numFmtId="177" formatCode="0.00000000_)"/>
    <numFmt numFmtId="178" formatCode="0.00;;;@"/>
    <numFmt numFmtId="179" formatCode="0.000;;;@"/>
    <numFmt numFmtId="180" formatCode="0.0000;;;@"/>
  </numFmts>
  <fonts count="135">
    <font>
      <sz val="11"/>
      <color theme="1"/>
      <name val="Calibri"/>
      <family val="2"/>
      <scheme val="minor"/>
    </font>
    <font>
      <sz val="11"/>
      <color theme="1"/>
      <name val="Calibri"/>
      <family val="2"/>
      <scheme val="minor"/>
    </font>
    <font>
      <sz val="12"/>
      <name val="Times New Roman"/>
      <family val="1"/>
    </font>
    <font>
      <sz val="10"/>
      <name val="Arial"/>
      <family val="2"/>
    </font>
    <font>
      <sz val="12"/>
      <name val="Helv"/>
    </font>
    <font>
      <u/>
      <sz val="7.5"/>
      <color indexed="12"/>
      <name val="Arial"/>
      <family val="2"/>
    </font>
    <font>
      <u/>
      <sz val="10"/>
      <color indexed="12"/>
      <name val="Arial"/>
      <family val="2"/>
    </font>
    <font>
      <sz val="10"/>
      <name val="Arial"/>
      <family val="2"/>
    </font>
    <font>
      <b/>
      <sz val="14"/>
      <name val="Calibri"/>
      <family val="2"/>
      <scheme val="minor"/>
    </font>
    <font>
      <sz val="14"/>
      <name val="Calibri"/>
      <family val="2"/>
      <scheme val="minor"/>
    </font>
    <font>
      <b/>
      <u/>
      <sz val="14"/>
      <name val="Calibri"/>
      <family val="2"/>
      <scheme val="minor"/>
    </font>
    <font>
      <sz val="14"/>
      <color theme="1"/>
      <name val="Calibri"/>
      <family val="2"/>
      <scheme val="minor"/>
    </font>
    <font>
      <b/>
      <sz val="14"/>
      <color theme="1"/>
      <name val="Calibri"/>
      <family val="2"/>
      <scheme val="minor"/>
    </font>
    <font>
      <sz val="14"/>
      <color indexed="8"/>
      <name val="Calibri"/>
      <family val="2"/>
      <scheme val="minor"/>
    </font>
    <font>
      <sz val="14"/>
      <color rgb="FFFF0000"/>
      <name val="Calibri"/>
      <family val="2"/>
      <scheme val="minor"/>
    </font>
    <font>
      <b/>
      <sz val="14"/>
      <color rgb="FFFF0000"/>
      <name val="Calibri"/>
      <family val="2"/>
      <scheme val="minor"/>
    </font>
    <font>
      <b/>
      <i/>
      <u/>
      <sz val="14"/>
      <name val="Calibri"/>
      <family val="2"/>
      <scheme val="minor"/>
    </font>
    <font>
      <b/>
      <sz val="14"/>
      <color indexed="8"/>
      <name val="Calibri"/>
      <family val="2"/>
      <scheme val="minor"/>
    </font>
    <font>
      <b/>
      <i/>
      <sz val="14"/>
      <name val="Calibri"/>
      <family val="2"/>
      <scheme val="minor"/>
    </font>
    <font>
      <b/>
      <sz val="11"/>
      <color theme="1"/>
      <name val="Calibri"/>
      <family val="2"/>
      <scheme val="minor"/>
    </font>
    <font>
      <b/>
      <sz val="10"/>
      <name val="Arial"/>
      <family val="2"/>
    </font>
    <font>
      <b/>
      <sz val="14"/>
      <name val="Calibri"/>
      <family val="2"/>
    </font>
    <font>
      <sz val="14"/>
      <name val="Calibri"/>
      <family val="2"/>
    </font>
    <font>
      <sz val="10"/>
      <name val="Calibri"/>
      <family val="2"/>
      <scheme val="minor"/>
    </font>
    <font>
      <sz val="12"/>
      <name val="Arial Narrow"/>
      <family val="2"/>
    </font>
    <font>
      <u/>
      <sz val="12"/>
      <name val="Arial Narrow"/>
      <family val="2"/>
    </font>
    <font>
      <b/>
      <sz val="12"/>
      <name val="Arial Narrow"/>
      <family val="2"/>
    </font>
    <font>
      <sz val="12"/>
      <color theme="0"/>
      <name val="Arial Narrow"/>
      <family val="2"/>
    </font>
    <font>
      <sz val="15"/>
      <name val="Arial"/>
      <family val="2"/>
    </font>
    <font>
      <sz val="13"/>
      <name val="Arial Narrow"/>
      <family val="2"/>
    </font>
    <font>
      <b/>
      <sz val="15"/>
      <name val="Arial Narrow"/>
      <family val="2"/>
    </font>
    <font>
      <b/>
      <sz val="14"/>
      <name val="Arial Narrow"/>
      <family val="2"/>
    </font>
    <font>
      <b/>
      <sz val="15"/>
      <name val="Arial"/>
      <family val="2"/>
    </font>
    <font>
      <b/>
      <sz val="20"/>
      <name val="Calibri"/>
      <family val="2"/>
      <scheme val="minor"/>
    </font>
    <font>
      <i/>
      <sz val="20"/>
      <name val="Calibri"/>
      <family val="2"/>
      <scheme val="minor"/>
    </font>
    <font>
      <sz val="20"/>
      <name val="Calibri"/>
      <family val="2"/>
      <scheme val="minor"/>
    </font>
    <font>
      <b/>
      <sz val="18"/>
      <name val="Calibri"/>
      <family val="2"/>
      <scheme val="minor"/>
    </font>
    <font>
      <sz val="18"/>
      <name val="Calibri"/>
      <family val="2"/>
      <scheme val="minor"/>
    </font>
    <font>
      <b/>
      <sz val="18"/>
      <name val="Calibri"/>
      <family val="2"/>
    </font>
    <font>
      <sz val="18"/>
      <color theme="0"/>
      <name val="Calibri"/>
      <family val="2"/>
      <scheme val="minor"/>
    </font>
    <font>
      <i/>
      <sz val="17"/>
      <name val="Calibri"/>
      <family val="2"/>
      <scheme val="minor"/>
    </font>
    <font>
      <sz val="17"/>
      <name val="Calibri"/>
      <family val="2"/>
      <scheme val="minor"/>
    </font>
    <font>
      <sz val="18"/>
      <name val="Calibri"/>
      <family val="2"/>
    </font>
    <font>
      <sz val="20"/>
      <color theme="0"/>
      <name val="Calibri"/>
      <family val="2"/>
      <scheme val="minor"/>
    </font>
    <font>
      <sz val="18"/>
      <color theme="1"/>
      <name val="Calibri"/>
      <family val="2"/>
      <scheme val="minor"/>
    </font>
    <font>
      <i/>
      <sz val="20"/>
      <color rgb="FFFF0000"/>
      <name val="Calibri"/>
      <family val="2"/>
      <scheme val="minor"/>
    </font>
    <font>
      <sz val="20"/>
      <color rgb="FFFF0000"/>
      <name val="Calibri"/>
      <family val="2"/>
      <scheme val="minor"/>
    </font>
    <font>
      <b/>
      <sz val="19"/>
      <name val="Calibri"/>
      <family val="2"/>
      <scheme val="minor"/>
    </font>
    <font>
      <b/>
      <sz val="17"/>
      <name val="Calibri"/>
      <family val="2"/>
      <scheme val="minor"/>
    </font>
    <font>
      <b/>
      <u/>
      <sz val="16"/>
      <name val="Arial"/>
      <family val="2"/>
    </font>
    <font>
      <b/>
      <sz val="16"/>
      <name val="Arial"/>
      <family val="2"/>
    </font>
    <font>
      <b/>
      <sz val="14"/>
      <name val="Arial"/>
      <family val="2"/>
    </font>
    <font>
      <sz val="14"/>
      <name val="Arial"/>
      <family val="2"/>
    </font>
    <font>
      <b/>
      <sz val="13"/>
      <name val="Arial Narrow"/>
      <family val="2"/>
    </font>
    <font>
      <sz val="16"/>
      <name val="Arial"/>
      <family val="2"/>
    </font>
    <font>
      <sz val="10"/>
      <name val="Helv"/>
    </font>
    <font>
      <b/>
      <sz val="12"/>
      <name val="Helv"/>
    </font>
    <font>
      <b/>
      <sz val="16"/>
      <name val="Helv"/>
      <family val="2"/>
    </font>
    <font>
      <b/>
      <sz val="11"/>
      <name val="Helv"/>
    </font>
    <font>
      <b/>
      <sz val="12"/>
      <name val="Helv"/>
      <family val="2"/>
    </font>
    <font>
      <sz val="12"/>
      <color indexed="10"/>
      <name val="Helv"/>
    </font>
    <font>
      <sz val="12"/>
      <color rgb="FFFF0000"/>
      <name val="Helv"/>
    </font>
    <font>
      <sz val="12"/>
      <color indexed="8"/>
      <name val="Helv"/>
    </font>
    <font>
      <b/>
      <sz val="12"/>
      <color rgb="FFFF0000"/>
      <name val="Helv"/>
    </font>
    <font>
      <sz val="12"/>
      <color indexed="15"/>
      <name val="Helv"/>
    </font>
    <font>
      <sz val="11"/>
      <name val="Helv"/>
    </font>
    <font>
      <b/>
      <sz val="12"/>
      <color indexed="10"/>
      <name val="Helv"/>
    </font>
    <font>
      <sz val="12"/>
      <color rgb="FF7030A0"/>
      <name val="Helv"/>
    </font>
    <font>
      <sz val="12"/>
      <color indexed="14"/>
      <name val="Helv"/>
    </font>
    <font>
      <sz val="12"/>
      <color theme="1"/>
      <name val="Helv"/>
    </font>
    <font>
      <sz val="12"/>
      <color rgb="FFFFFF00"/>
      <name val="Helv"/>
    </font>
    <font>
      <sz val="12"/>
      <color theme="3" tint="0.39997558519241921"/>
      <name val="Helv"/>
    </font>
    <font>
      <sz val="12"/>
      <color indexed="11"/>
      <name val="Helv"/>
    </font>
    <font>
      <sz val="12"/>
      <color indexed="13"/>
      <name val="Helv"/>
    </font>
    <font>
      <sz val="12"/>
      <color theme="9" tint="0.59999389629810485"/>
      <name val="Helv"/>
    </font>
    <font>
      <sz val="12"/>
      <color rgb="FF92D050"/>
      <name val="Helv"/>
    </font>
    <font>
      <b/>
      <sz val="12"/>
      <color indexed="8"/>
      <name val="Helv"/>
    </font>
    <font>
      <sz val="20"/>
      <name val="Helv"/>
    </font>
    <font>
      <b/>
      <sz val="20"/>
      <name val="Helv"/>
    </font>
    <font>
      <b/>
      <sz val="12"/>
      <color theme="0"/>
      <name val="Helv"/>
    </font>
    <font>
      <b/>
      <sz val="12"/>
      <color indexed="13"/>
      <name val="Helv"/>
    </font>
    <font>
      <sz val="12"/>
      <color indexed="12"/>
      <name val="Helv"/>
    </font>
    <font>
      <sz val="12"/>
      <color rgb="FF00B0F0"/>
      <name val="Helv"/>
    </font>
    <font>
      <sz val="12"/>
      <color indexed="16"/>
      <name val="Helv"/>
    </font>
    <font>
      <b/>
      <sz val="15"/>
      <color indexed="12"/>
      <name val="Helv"/>
    </font>
    <font>
      <b/>
      <sz val="15"/>
      <name val="Helv"/>
    </font>
    <font>
      <sz val="12"/>
      <color indexed="57"/>
      <name val="Helv"/>
    </font>
    <font>
      <b/>
      <sz val="12"/>
      <color rgb="FFFFFF00"/>
      <name val="Helv"/>
    </font>
    <font>
      <sz val="12"/>
      <color rgb="FFC00000"/>
      <name val="Helv"/>
    </font>
    <font>
      <b/>
      <sz val="12"/>
      <color indexed="12"/>
      <name val="Helv"/>
    </font>
    <font>
      <b/>
      <sz val="14"/>
      <name val="Helv"/>
    </font>
    <font>
      <sz val="12"/>
      <color theme="5"/>
      <name val="Helv"/>
    </font>
    <font>
      <sz val="16"/>
      <name val="Helv"/>
    </font>
    <font>
      <b/>
      <sz val="16"/>
      <name val="Helv"/>
    </font>
    <font>
      <sz val="16"/>
      <color indexed="16"/>
      <name val="Helv"/>
    </font>
    <font>
      <sz val="16"/>
      <color rgb="FFFFFF00"/>
      <name val="Helv"/>
    </font>
    <font>
      <b/>
      <sz val="16"/>
      <color indexed="13"/>
      <name val="Helv"/>
    </font>
    <font>
      <sz val="12"/>
      <name val="Arial"/>
      <family val="2"/>
    </font>
    <font>
      <sz val="12"/>
      <color theme="7" tint="-0.249977111117893"/>
      <name val="Helv"/>
    </font>
    <font>
      <sz val="13"/>
      <name val="Arial"/>
      <family val="2"/>
    </font>
    <font>
      <b/>
      <sz val="13"/>
      <name val="Arial"/>
      <family val="2"/>
    </font>
    <font>
      <sz val="12"/>
      <color indexed="9"/>
      <name val="Helv"/>
    </font>
    <font>
      <sz val="12"/>
      <color theme="0"/>
      <name val="Helv"/>
    </font>
    <font>
      <sz val="12"/>
      <color theme="8" tint="-0.249977111117893"/>
      <name val="Helv"/>
    </font>
    <font>
      <b/>
      <sz val="12"/>
      <name val="Arial"/>
      <family val="2"/>
    </font>
    <font>
      <sz val="11"/>
      <color indexed="57"/>
      <name val="Helv"/>
    </font>
    <font>
      <sz val="12"/>
      <color rgb="FFFFFF00"/>
      <name val="Arial"/>
      <family val="2"/>
    </font>
    <font>
      <sz val="12"/>
      <color theme="1"/>
      <name val="Arial"/>
      <family val="2"/>
    </font>
    <font>
      <sz val="12"/>
      <color indexed="12"/>
      <name val="Arial"/>
      <family val="2"/>
    </font>
    <font>
      <sz val="12"/>
      <color indexed="10"/>
      <name val="Arial"/>
      <family val="2"/>
    </font>
    <font>
      <sz val="12"/>
      <color indexed="13"/>
      <name val="Arial"/>
      <family val="2"/>
    </font>
    <font>
      <sz val="11"/>
      <color indexed="10"/>
      <name val="Helv"/>
    </font>
    <font>
      <sz val="11"/>
      <color rgb="FFC00000"/>
      <name val="Helv"/>
    </font>
    <font>
      <sz val="11"/>
      <color rgb="FFFFFF00"/>
      <name val="Helv"/>
    </font>
    <font>
      <b/>
      <sz val="12"/>
      <color theme="1"/>
      <name val="Helv"/>
    </font>
    <font>
      <sz val="12"/>
      <color theme="1" tint="4.9989318521683403E-2"/>
      <name val="Helv"/>
    </font>
    <font>
      <b/>
      <sz val="12"/>
      <color theme="1" tint="4.9989318521683403E-2"/>
      <name val="Helv"/>
    </font>
    <font>
      <sz val="12"/>
      <color rgb="FFFF0000"/>
      <name val="Arial"/>
      <family val="2"/>
    </font>
    <font>
      <b/>
      <sz val="12"/>
      <color indexed="14"/>
      <name val="Helv"/>
    </font>
    <font>
      <b/>
      <u/>
      <sz val="13"/>
      <name val="Arial"/>
      <family val="2"/>
    </font>
    <font>
      <vertAlign val="superscript"/>
      <sz val="12"/>
      <name val="Helv"/>
    </font>
    <font>
      <sz val="14"/>
      <color rgb="FFFF0000"/>
      <name val="Arial"/>
      <family val="2"/>
    </font>
    <font>
      <sz val="11"/>
      <name val="Arial"/>
      <family val="2"/>
    </font>
    <font>
      <sz val="12"/>
      <color indexed="17"/>
      <name val="Helv"/>
    </font>
    <font>
      <b/>
      <u/>
      <sz val="12"/>
      <name val="Helv"/>
    </font>
    <font>
      <sz val="13"/>
      <color rgb="FFFFFF00"/>
      <name val="Arial"/>
      <family val="2"/>
    </font>
    <font>
      <sz val="11"/>
      <color indexed="8"/>
      <name val="Arial"/>
      <family val="2"/>
    </font>
    <font>
      <b/>
      <sz val="11"/>
      <color indexed="8"/>
      <name val="Arial"/>
      <family val="2"/>
    </font>
    <font>
      <b/>
      <sz val="12"/>
      <color theme="1"/>
      <name val="Arial"/>
      <family val="2"/>
    </font>
    <font>
      <sz val="13"/>
      <color theme="1"/>
      <name val="Arial"/>
      <family val="2"/>
    </font>
    <font>
      <b/>
      <sz val="13"/>
      <color theme="1"/>
      <name val="Arial"/>
      <family val="2"/>
    </font>
    <font>
      <sz val="14"/>
      <color rgb="FFFFFF00"/>
      <name val="Arial"/>
      <family val="2"/>
    </font>
    <font>
      <b/>
      <sz val="12"/>
      <color theme="0"/>
      <name val="Arial"/>
      <family val="2"/>
    </font>
    <font>
      <b/>
      <u/>
      <sz val="14"/>
      <name val="Arial Narrow"/>
      <family val="2"/>
    </font>
    <font>
      <b/>
      <sz val="12"/>
      <color theme="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indexed="13"/>
        <bgColor indexed="64"/>
      </patternFill>
    </fill>
    <fill>
      <patternFill patternType="solid">
        <fgColor rgb="FF0070C0"/>
        <bgColor indexed="64"/>
      </patternFill>
    </fill>
    <fill>
      <patternFill patternType="solid">
        <fgColor indexed="10"/>
        <bgColor indexed="64"/>
      </patternFill>
    </fill>
    <fill>
      <patternFill patternType="solid">
        <fgColor rgb="FFC00000"/>
        <bgColor indexed="64"/>
      </patternFill>
    </fill>
    <fill>
      <patternFill patternType="solid">
        <fgColor indexed="53"/>
        <bgColor indexed="64"/>
      </patternFill>
    </fill>
    <fill>
      <patternFill patternType="solid">
        <fgColor indexed="9"/>
        <bgColor indexed="64"/>
      </patternFill>
    </fill>
    <fill>
      <patternFill patternType="solid">
        <fgColor indexed="4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double">
        <color indexed="64"/>
      </top>
      <bottom/>
      <diagonal/>
    </border>
    <border>
      <left/>
      <right/>
      <top/>
      <bottom style="double">
        <color indexed="64"/>
      </bottom>
      <diagonal/>
    </border>
    <border>
      <left style="thin">
        <color indexed="64"/>
      </left>
      <right style="double">
        <color indexed="64"/>
      </right>
      <top style="thin">
        <color indexed="64"/>
      </top>
      <bottom style="thin">
        <color indexed="64"/>
      </bottom>
      <diagonal/>
    </border>
  </borders>
  <cellStyleXfs count="105">
    <xf numFmtId="0" fontId="0" fillId="0" borderId="0"/>
    <xf numFmtId="0" fontId="2" fillId="0" borderId="0"/>
    <xf numFmtId="0" fontId="3" fillId="0" borderId="0"/>
    <xf numFmtId="0" fontId="1" fillId="0" borderId="0"/>
    <xf numFmtId="0" fontId="3" fillId="0" borderId="0"/>
    <xf numFmtId="167" fontId="4" fillId="0" borderId="0"/>
    <xf numFmtId="0" fontId="3" fillId="0" borderId="0"/>
    <xf numFmtId="0" fontId="5" fillId="0" borderId="0" applyNumberFormat="0" applyFill="0" applyBorder="0" applyAlignment="0" applyProtection="0">
      <alignment vertical="top"/>
      <protection locked="0"/>
    </xf>
    <xf numFmtId="165"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6" fillId="0" borderId="0" applyNumberFormat="0" applyFill="0" applyBorder="0" applyAlignment="0" applyProtection="0">
      <alignment vertical="top"/>
      <protection locked="0"/>
    </xf>
    <xf numFmtId="166" fontId="4" fillId="0" borderId="0"/>
    <xf numFmtId="166" fontId="4" fillId="0" borderId="0"/>
    <xf numFmtId="166" fontId="4" fillId="0" borderId="0"/>
    <xf numFmtId="0" fontId="3" fillId="0" borderId="0"/>
    <xf numFmtId="0" fontId="3" fillId="0" borderId="0"/>
    <xf numFmtId="0" fontId="3" fillId="0" borderId="0"/>
    <xf numFmtId="0" fontId="3" fillId="0" borderId="0"/>
    <xf numFmtId="5" fontId="4" fillId="0" borderId="0"/>
    <xf numFmtId="0" fontId="2" fillId="0" borderId="0"/>
    <xf numFmtId="0" fontId="2" fillId="0" borderId="0"/>
    <xf numFmtId="0" fontId="3" fillId="0" borderId="0"/>
    <xf numFmtId="0" fontId="3" fillId="0" borderId="0"/>
    <xf numFmtId="0" fontId="3" fillId="0" borderId="0"/>
    <xf numFmtId="0" fontId="3" fillId="0" borderId="0"/>
    <xf numFmtId="0" fontId="7" fillId="0" borderId="0"/>
    <xf numFmtId="0" fontId="2" fillId="0" borderId="0"/>
    <xf numFmtId="5" fontId="4" fillId="0" borderId="0"/>
    <xf numFmtId="5" fontId="4" fillId="0" borderId="0"/>
    <xf numFmtId="5" fontId="4" fillId="0" borderId="0"/>
    <xf numFmtId="5" fontId="4" fillId="0" borderId="0"/>
    <xf numFmtId="166" fontId="4" fillId="0" borderId="0"/>
    <xf numFmtId="166" fontId="4" fillId="0" borderId="0"/>
    <xf numFmtId="166" fontId="4" fillId="0" borderId="0"/>
    <xf numFmtId="5" fontId="4" fillId="0" borderId="0"/>
    <xf numFmtId="166" fontId="4" fillId="0" borderId="0"/>
    <xf numFmtId="5" fontId="4" fillId="0" borderId="0"/>
    <xf numFmtId="166" fontId="4" fillId="0" borderId="0"/>
    <xf numFmtId="5" fontId="4" fillId="0" borderId="0"/>
    <xf numFmtId="166" fontId="4" fillId="0" borderId="0"/>
    <xf numFmtId="0" fontId="7" fillId="0" borderId="0"/>
    <xf numFmtId="5" fontId="4" fillId="0" borderId="0"/>
    <xf numFmtId="5" fontId="4" fillId="0" borderId="0"/>
    <xf numFmtId="166" fontId="4" fillId="0" borderId="0"/>
    <xf numFmtId="0" fontId="3" fillId="0" borderId="0"/>
    <xf numFmtId="0" fontId="2" fillId="0" borderId="0"/>
    <xf numFmtId="167" fontId="4"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169" fontId="4" fillId="0" borderId="0"/>
    <xf numFmtId="169" fontId="4" fillId="0" borderId="0"/>
    <xf numFmtId="166" fontId="4" fillId="0" borderId="0"/>
    <xf numFmtId="0" fontId="1" fillId="0" borderId="0"/>
    <xf numFmtId="5" fontId="4" fillId="0" borderId="0"/>
    <xf numFmtId="0" fontId="2" fillId="0" borderId="0"/>
    <xf numFmtId="168" fontId="4" fillId="0" borderId="0"/>
    <xf numFmtId="0" fontId="3" fillId="0" borderId="0"/>
    <xf numFmtId="167" fontId="4" fillId="0" borderId="0"/>
    <xf numFmtId="168" fontId="4" fillId="0" borderId="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7" fontId="4" fillId="0" borderId="0"/>
    <xf numFmtId="0" fontId="3" fillId="0" borderId="0"/>
    <xf numFmtId="5"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 fillId="0" borderId="0"/>
    <xf numFmtId="0" fontId="1" fillId="0" borderId="0"/>
    <xf numFmtId="175" fontId="4" fillId="0" borderId="0"/>
    <xf numFmtId="166" fontId="97" fillId="0" borderId="0"/>
    <xf numFmtId="166" fontId="97"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cellStyleXfs>
  <cellXfs count="1026">
    <xf numFmtId="0" fontId="0" fillId="0" borderId="0" xfId="0"/>
    <xf numFmtId="0" fontId="9" fillId="0" borderId="0" xfId="1" applyFont="1" applyFill="1" applyBorder="1" applyAlignment="1">
      <alignment vertical="center"/>
    </xf>
    <xf numFmtId="0" fontId="9" fillId="0" borderId="1" xfId="1" applyFont="1" applyFill="1" applyBorder="1" applyAlignment="1">
      <alignment vertical="center"/>
    </xf>
    <xf numFmtId="0" fontId="9" fillId="0" borderId="1" xfId="1" applyFont="1" applyFill="1" applyBorder="1" applyAlignment="1">
      <alignment horizontal="center" vertical="center"/>
    </xf>
    <xf numFmtId="0" fontId="9" fillId="0" borderId="1" xfId="1" applyFont="1" applyFill="1" applyBorder="1" applyAlignment="1">
      <alignment horizontal="center" vertical="center" wrapText="1"/>
    </xf>
    <xf numFmtId="0" fontId="9" fillId="0" borderId="1" xfId="1" applyFont="1" applyFill="1" applyBorder="1" applyAlignment="1">
      <alignment horizontal="left" vertical="center"/>
    </xf>
    <xf numFmtId="0" fontId="11" fillId="0" borderId="1" xfId="1" applyFont="1" applyFill="1" applyBorder="1" applyAlignment="1">
      <alignment horizontal="center" vertical="center"/>
    </xf>
    <xf numFmtId="0" fontId="11" fillId="0" borderId="1" xfId="1" applyFont="1" applyFill="1" applyBorder="1" applyAlignment="1">
      <alignment horizontal="center" vertical="center" wrapText="1"/>
    </xf>
    <xf numFmtId="0" fontId="11" fillId="0" borderId="1" xfId="1" applyFont="1" applyFill="1" applyBorder="1" applyAlignment="1">
      <alignment vertical="center"/>
    </xf>
    <xf numFmtId="0" fontId="11" fillId="0" borderId="0" xfId="1" applyFont="1" applyFill="1" applyBorder="1" applyAlignment="1">
      <alignment vertical="center"/>
    </xf>
    <xf numFmtId="0" fontId="11" fillId="0" borderId="1" xfId="1" applyFont="1" applyFill="1" applyBorder="1" applyAlignment="1">
      <alignment horizontal="left" vertical="center"/>
    </xf>
    <xf numFmtId="0" fontId="8" fillId="0" borderId="1" xfId="1" applyFont="1" applyFill="1" applyBorder="1" applyAlignment="1">
      <alignment vertical="center"/>
    </xf>
    <xf numFmtId="0" fontId="12" fillId="0" borderId="1" xfId="1" applyFont="1" applyFill="1" applyBorder="1" applyAlignment="1">
      <alignment vertical="center"/>
    </xf>
    <xf numFmtId="0" fontId="8" fillId="0" borderId="1" xfId="1" applyFont="1" applyFill="1" applyBorder="1" applyAlignment="1">
      <alignment horizontal="left" vertical="center"/>
    </xf>
    <xf numFmtId="0" fontId="14" fillId="0" borderId="1" xfId="1" applyFont="1" applyFill="1" applyBorder="1" applyAlignment="1">
      <alignment horizontal="center" vertical="center"/>
    </xf>
    <xf numFmtId="0" fontId="14" fillId="0" borderId="0" xfId="1" applyFont="1" applyFill="1" applyBorder="1" applyAlignment="1">
      <alignment vertical="center"/>
    </xf>
    <xf numFmtId="0" fontId="15" fillId="0" borderId="1" xfId="1" applyFont="1" applyFill="1" applyBorder="1" applyAlignment="1">
      <alignment horizontal="center" vertical="center"/>
    </xf>
    <xf numFmtId="0" fontId="12" fillId="0" borderId="1" xfId="1" applyFont="1" applyFill="1" applyBorder="1" applyAlignment="1">
      <alignment horizontal="center" vertical="center"/>
    </xf>
    <xf numFmtId="0" fontId="15" fillId="0" borderId="0" xfId="1" applyFont="1" applyFill="1" applyBorder="1" applyAlignment="1">
      <alignment vertical="center"/>
    </xf>
    <xf numFmtId="0" fontId="9" fillId="0" borderId="1" xfId="1" applyFont="1" applyFill="1" applyBorder="1" applyAlignment="1">
      <alignment vertical="center" wrapText="1"/>
    </xf>
    <xf numFmtId="167" fontId="9" fillId="0" borderId="1" xfId="3" applyNumberFormat="1" applyFont="1" applyFill="1" applyBorder="1" applyAlignment="1" applyProtection="1">
      <alignment horizontal="left" vertical="center"/>
    </xf>
    <xf numFmtId="167" fontId="8" fillId="0" borderId="1" xfId="3" applyNumberFormat="1" applyFont="1" applyFill="1" applyBorder="1" applyAlignment="1" applyProtection="1">
      <alignment horizontal="center" vertical="center" wrapText="1"/>
    </xf>
    <xf numFmtId="167" fontId="11" fillId="0" borderId="1" xfId="3" applyNumberFormat="1" applyFont="1" applyFill="1" applyBorder="1" applyAlignment="1" applyProtection="1">
      <alignment horizontal="left" vertical="center"/>
    </xf>
    <xf numFmtId="0" fontId="16" fillId="0" borderId="1" xfId="1" applyFont="1" applyFill="1" applyBorder="1" applyAlignment="1">
      <alignment horizontal="left" vertical="center"/>
    </xf>
    <xf numFmtId="0" fontId="10" fillId="0" borderId="1" xfId="1" applyFont="1" applyFill="1" applyBorder="1" applyAlignment="1">
      <alignment horizontal="left" vertical="center" wrapText="1"/>
    </xf>
    <xf numFmtId="0" fontId="9" fillId="0" borderId="1" xfId="4" applyFont="1" applyFill="1" applyBorder="1" applyAlignment="1">
      <alignment vertical="center"/>
    </xf>
    <xf numFmtId="0" fontId="9" fillId="0" borderId="1" xfId="4" applyFont="1" applyFill="1" applyBorder="1" applyAlignment="1">
      <alignment horizontal="center" vertical="center"/>
    </xf>
    <xf numFmtId="0" fontId="11" fillId="0" borderId="1" xfId="1" applyFont="1" applyFill="1" applyBorder="1" applyAlignment="1">
      <alignment horizontal="justify" vertical="center" wrapText="1"/>
    </xf>
    <xf numFmtId="1" fontId="11" fillId="0" borderId="1" xfId="1" applyNumberFormat="1" applyFont="1" applyFill="1" applyBorder="1" applyAlignment="1">
      <alignment horizontal="center" vertical="center"/>
    </xf>
    <xf numFmtId="0" fontId="9" fillId="0" borderId="1" xfId="5" applyNumberFormat="1" applyFont="1" applyFill="1" applyBorder="1" applyAlignment="1">
      <alignment horizontal="left" vertical="center"/>
    </xf>
    <xf numFmtId="0" fontId="9" fillId="0" borderId="1" xfId="5" applyNumberFormat="1" applyFont="1" applyFill="1" applyBorder="1" applyAlignment="1">
      <alignment horizontal="center" vertical="center"/>
    </xf>
    <xf numFmtId="1" fontId="9" fillId="0" borderId="1" xfId="5" applyNumberFormat="1" applyFont="1" applyFill="1" applyBorder="1" applyAlignment="1">
      <alignment horizontal="center" vertical="center"/>
    </xf>
    <xf numFmtId="2" fontId="9" fillId="0" borderId="1" xfId="5" applyNumberFormat="1" applyFont="1" applyFill="1" applyBorder="1" applyAlignment="1">
      <alignment horizontal="center" vertical="center"/>
    </xf>
    <xf numFmtId="167" fontId="11" fillId="0" borderId="1" xfId="3" applyNumberFormat="1" applyFont="1" applyFill="1" applyBorder="1" applyAlignment="1" applyProtection="1">
      <alignment horizontal="center" vertical="center" wrapText="1"/>
    </xf>
    <xf numFmtId="0" fontId="8" fillId="0" borderId="0" xfId="1" applyFont="1" applyFill="1" applyBorder="1" applyAlignment="1">
      <alignment vertical="center"/>
    </xf>
    <xf numFmtId="0" fontId="9" fillId="0" borderId="0" xfId="5" applyNumberFormat="1" applyFont="1" applyFill="1" applyBorder="1" applyAlignment="1">
      <alignment vertical="center"/>
    </xf>
    <xf numFmtId="0" fontId="9" fillId="0" borderId="1" xfId="5" applyNumberFormat="1" applyFont="1" applyFill="1" applyBorder="1" applyAlignment="1">
      <alignment vertical="center" wrapText="1"/>
    </xf>
    <xf numFmtId="0" fontId="9" fillId="0" borderId="1" xfId="5" applyNumberFormat="1" applyFont="1" applyFill="1" applyBorder="1" applyAlignment="1">
      <alignment vertical="center"/>
    </xf>
    <xf numFmtId="0" fontId="8" fillId="0" borderId="1" xfId="5" applyNumberFormat="1" applyFont="1" applyFill="1" applyBorder="1" applyAlignment="1">
      <alignment horizontal="center" vertical="center"/>
    </xf>
    <xf numFmtId="0" fontId="16" fillId="0" borderId="1" xfId="1" applyFont="1" applyFill="1" applyBorder="1" applyAlignment="1">
      <alignment horizontal="justify" vertical="center" wrapText="1"/>
    </xf>
    <xf numFmtId="0" fontId="9" fillId="0" borderId="1" xfId="5" applyNumberFormat="1" applyFont="1" applyFill="1" applyBorder="1" applyAlignment="1">
      <alignment horizontal="center" vertical="center" wrapText="1"/>
    </xf>
    <xf numFmtId="0" fontId="8" fillId="0" borderId="1" xfId="5" applyNumberFormat="1" applyFont="1" applyFill="1" applyBorder="1" applyAlignment="1">
      <alignment vertical="center"/>
    </xf>
    <xf numFmtId="0" fontId="10" fillId="0" borderId="1" xfId="5" applyNumberFormat="1" applyFont="1" applyFill="1" applyBorder="1" applyAlignment="1">
      <alignment vertical="center"/>
    </xf>
    <xf numFmtId="0" fontId="11" fillId="0" borderId="0" xfId="5" applyNumberFormat="1" applyFont="1" applyFill="1" applyBorder="1" applyAlignment="1">
      <alignment vertical="center"/>
    </xf>
    <xf numFmtId="0" fontId="16" fillId="0" borderId="1" xfId="5" applyNumberFormat="1" applyFont="1" applyFill="1" applyBorder="1" applyAlignment="1">
      <alignment vertical="center"/>
    </xf>
    <xf numFmtId="0" fontId="9" fillId="0" borderId="0" xfId="1" applyFont="1" applyFill="1" applyBorder="1" applyAlignment="1">
      <alignment horizontal="center" vertical="center"/>
    </xf>
    <xf numFmtId="0" fontId="9" fillId="0" borderId="1" xfId="0" applyNumberFormat="1" applyFont="1" applyFill="1" applyBorder="1" applyAlignment="1">
      <alignment vertical="center" wrapText="1"/>
    </xf>
    <xf numFmtId="1" fontId="9" fillId="0" borderId="1" xfId="0" applyNumberFormat="1" applyFont="1" applyFill="1" applyBorder="1" applyAlignment="1">
      <alignment horizontal="center" vertical="center" wrapText="1"/>
    </xf>
    <xf numFmtId="2" fontId="9" fillId="0" borderId="1" xfId="0" applyNumberFormat="1" applyFont="1" applyFill="1" applyBorder="1" applyAlignment="1">
      <alignment horizontal="center" vertical="center" wrapText="1"/>
    </xf>
    <xf numFmtId="0" fontId="8" fillId="0" borderId="1" xfId="0" applyNumberFormat="1" applyFont="1" applyFill="1" applyBorder="1" applyAlignment="1">
      <alignment vertical="center" wrapText="1"/>
    </xf>
    <xf numFmtId="0" fontId="9" fillId="0" borderId="1" xfId="0" applyNumberFormat="1" applyFont="1" applyFill="1" applyBorder="1" applyAlignment="1">
      <alignment horizontal="center" vertical="center" wrapText="1"/>
    </xf>
    <xf numFmtId="168" fontId="9" fillId="0" borderId="1" xfId="0" applyNumberFormat="1" applyFont="1" applyFill="1" applyBorder="1" applyAlignment="1">
      <alignment horizontal="center" vertical="center" wrapText="1"/>
    </xf>
    <xf numFmtId="167" fontId="9" fillId="0" borderId="1" xfId="47" applyFont="1" applyFill="1" applyBorder="1" applyAlignment="1">
      <alignment vertical="center" wrapText="1"/>
    </xf>
    <xf numFmtId="170" fontId="9" fillId="0" borderId="1" xfId="47" applyNumberFormat="1" applyFont="1" applyFill="1" applyBorder="1" applyAlignment="1">
      <alignment horizontal="center" vertical="center" wrapText="1"/>
    </xf>
    <xf numFmtId="167" fontId="9" fillId="0" borderId="1" xfId="47" applyFont="1" applyFill="1" applyBorder="1" applyAlignment="1">
      <alignment horizontal="center" vertical="center" wrapText="1"/>
    </xf>
    <xf numFmtId="2" fontId="9" fillId="0" borderId="1" xfId="47" applyNumberFormat="1" applyFont="1" applyFill="1" applyBorder="1" applyAlignment="1">
      <alignment horizontal="center" vertical="center" wrapText="1"/>
    </xf>
    <xf numFmtId="0" fontId="9" fillId="0" borderId="1" xfId="16" applyFont="1" applyFill="1" applyBorder="1" applyAlignment="1">
      <alignment vertical="center" wrapText="1"/>
    </xf>
    <xf numFmtId="0" fontId="9" fillId="0" borderId="1" xfId="16" applyFont="1" applyFill="1" applyBorder="1" applyAlignment="1">
      <alignment horizontal="center" vertical="center" wrapText="1"/>
    </xf>
    <xf numFmtId="2" fontId="9" fillId="0" borderId="1" xfId="16" applyNumberFormat="1" applyFont="1" applyFill="1" applyBorder="1" applyAlignment="1">
      <alignment horizontal="center" vertical="center" wrapText="1"/>
    </xf>
    <xf numFmtId="2" fontId="9" fillId="0" borderId="1" xfId="1" applyNumberFormat="1" applyFont="1" applyFill="1" applyBorder="1" applyAlignment="1">
      <alignment horizontal="center" vertical="center"/>
    </xf>
    <xf numFmtId="167" fontId="8" fillId="0" borderId="1" xfId="3" applyNumberFormat="1" applyFont="1" applyFill="1" applyBorder="1" applyAlignment="1" applyProtection="1">
      <alignment horizontal="left" vertical="center"/>
    </xf>
    <xf numFmtId="2" fontId="12" fillId="0" borderId="1" xfId="1" applyNumberFormat="1" applyFont="1" applyFill="1" applyBorder="1" applyAlignment="1">
      <alignment horizontal="center" vertical="center"/>
    </xf>
    <xf numFmtId="2" fontId="11" fillId="0" borderId="1" xfId="1" applyNumberFormat="1" applyFont="1" applyFill="1" applyBorder="1" applyAlignment="1">
      <alignment horizontal="center" vertical="center"/>
    </xf>
    <xf numFmtId="0" fontId="9" fillId="2" borderId="1" xfId="1" applyFont="1" applyFill="1" applyBorder="1" applyAlignment="1">
      <alignment horizontal="center" vertical="center"/>
    </xf>
    <xf numFmtId="0" fontId="9" fillId="3" borderId="1" xfId="1" applyFont="1" applyFill="1" applyBorder="1" applyAlignment="1">
      <alignment horizontal="center" vertical="center"/>
    </xf>
    <xf numFmtId="0" fontId="8" fillId="0" borderId="1" xfId="1" applyFont="1" applyFill="1" applyBorder="1" applyAlignment="1">
      <alignment vertical="center" wrapText="1"/>
    </xf>
    <xf numFmtId="167" fontId="8" fillId="0" borderId="1" xfId="47" applyFont="1" applyFill="1" applyBorder="1" applyAlignment="1">
      <alignment vertical="center" wrapText="1"/>
    </xf>
    <xf numFmtId="2" fontId="8" fillId="0" borderId="1" xfId="0" applyNumberFormat="1" applyFont="1" applyFill="1" applyBorder="1" applyAlignment="1">
      <alignment horizontal="left" vertical="center" wrapText="1"/>
    </xf>
    <xf numFmtId="2" fontId="8"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8" fillId="0" borderId="1" xfId="5" applyNumberFormat="1" applyFont="1" applyFill="1" applyBorder="1" applyAlignment="1">
      <alignment horizontal="left" vertical="center"/>
    </xf>
    <xf numFmtId="167" fontId="9" fillId="0" borderId="1" xfId="47" applyNumberFormat="1" applyFont="1" applyFill="1" applyBorder="1" applyAlignment="1">
      <alignment horizontal="center" vertical="center" wrapText="1"/>
    </xf>
    <xf numFmtId="2" fontId="8" fillId="0" borderId="1" xfId="1" applyNumberFormat="1" applyFont="1" applyFill="1" applyBorder="1" applyAlignment="1">
      <alignment horizontal="center" vertical="center"/>
    </xf>
    <xf numFmtId="167" fontId="9" fillId="0" borderId="1" xfId="0" applyNumberFormat="1" applyFont="1" applyFill="1" applyBorder="1" applyAlignment="1">
      <alignment horizontal="center" vertical="center" wrapText="1"/>
    </xf>
    <xf numFmtId="173" fontId="9" fillId="0" borderId="1" xfId="0"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167" fontId="4" fillId="0" borderId="0" xfId="5"/>
    <xf numFmtId="172" fontId="9" fillId="0" borderId="1" xfId="68" applyNumberFormat="1" applyFont="1" applyBorder="1" applyAlignment="1">
      <alignment horizontal="center" vertical="center" wrapText="1"/>
    </xf>
    <xf numFmtId="167" fontId="9" fillId="0" borderId="1" xfId="5" applyFont="1" applyBorder="1" applyAlignment="1">
      <alignment horizontal="center" vertical="center"/>
    </xf>
    <xf numFmtId="2" fontId="8" fillId="0" borderId="1" xfId="68" applyNumberFormat="1" applyFont="1" applyBorder="1" applyAlignment="1">
      <alignment vertical="center" wrapText="1"/>
    </xf>
    <xf numFmtId="1" fontId="9" fillId="0" borderId="1" xfId="68" applyNumberFormat="1" applyFont="1" applyBorder="1" applyAlignment="1">
      <alignment horizontal="center" vertical="center" wrapText="1"/>
    </xf>
    <xf numFmtId="170" fontId="9" fillId="0" borderId="1" xfId="5" applyNumberFormat="1" applyFont="1" applyBorder="1" applyAlignment="1">
      <alignment horizontal="center" vertical="center"/>
    </xf>
    <xf numFmtId="167" fontId="9" fillId="0" borderId="1" xfId="5" applyFont="1" applyBorder="1" applyAlignment="1">
      <alignment vertical="center" wrapText="1"/>
    </xf>
    <xf numFmtId="1" fontId="9" fillId="0" borderId="1" xfId="5" applyNumberFormat="1" applyFont="1" applyBorder="1" applyAlignment="1">
      <alignment horizontal="center" vertical="center"/>
    </xf>
    <xf numFmtId="167" fontId="8" fillId="0" borderId="1" xfId="5" applyFont="1" applyBorder="1" applyAlignment="1">
      <alignment horizontal="center" vertical="center"/>
    </xf>
    <xf numFmtId="167" fontId="9" fillId="0" borderId="1" xfId="5" applyNumberFormat="1" applyFont="1" applyBorder="1" applyAlignment="1">
      <alignment horizontal="center" vertical="center"/>
    </xf>
    <xf numFmtId="2" fontId="9" fillId="0" borderId="1" xfId="68" applyNumberFormat="1" applyFont="1" applyBorder="1" applyAlignment="1">
      <alignment horizontal="center" vertical="center" wrapText="1"/>
    </xf>
    <xf numFmtId="167" fontId="8" fillId="0" borderId="1" xfId="5" applyFont="1" applyBorder="1" applyAlignment="1">
      <alignment horizontal="justify" vertical="center" wrapText="1"/>
    </xf>
    <xf numFmtId="167" fontId="9" fillId="0" borderId="1" xfId="5" applyFont="1" applyBorder="1" applyAlignment="1">
      <alignment horizontal="justify" vertical="center" wrapText="1"/>
    </xf>
    <xf numFmtId="173" fontId="9" fillId="0" borderId="1" xfId="5" applyNumberFormat="1" applyFont="1" applyBorder="1" applyAlignment="1">
      <alignment horizontal="center" vertical="center"/>
    </xf>
    <xf numFmtId="167" fontId="8" fillId="0" borderId="1" xfId="5" applyNumberFormat="1" applyFont="1" applyBorder="1" applyAlignment="1">
      <alignment horizontal="center" vertical="center"/>
    </xf>
    <xf numFmtId="167" fontId="4" fillId="0" borderId="0" xfId="5" applyBorder="1"/>
    <xf numFmtId="167" fontId="24" fillId="0" borderId="0" xfId="5" applyFont="1" applyFill="1" applyBorder="1" applyAlignment="1">
      <alignment horizontal="center"/>
    </xf>
    <xf numFmtId="167" fontId="25" fillId="0" borderId="0" xfId="5" applyFont="1" applyFill="1" applyBorder="1" applyAlignment="1">
      <alignment horizontal="center" vertical="center"/>
    </xf>
    <xf numFmtId="167" fontId="26" fillId="0" borderId="1" xfId="5" applyFont="1" applyFill="1" applyBorder="1" applyAlignment="1">
      <alignment horizontal="center" vertical="center"/>
    </xf>
    <xf numFmtId="167" fontId="26" fillId="0" borderId="0" xfId="5" applyFont="1" applyFill="1" applyBorder="1" applyAlignment="1">
      <alignment horizontal="center" vertical="center"/>
    </xf>
    <xf numFmtId="167" fontId="26" fillId="0" borderId="0" xfId="5" applyFont="1" applyFill="1" applyBorder="1" applyAlignment="1">
      <alignment horizontal="center"/>
    </xf>
    <xf numFmtId="167" fontId="24" fillId="0" borderId="1" xfId="5" applyFont="1" applyFill="1" applyBorder="1" applyAlignment="1">
      <alignment horizontal="justify" vertical="center"/>
    </xf>
    <xf numFmtId="167" fontId="26" fillId="0" borderId="1" xfId="5" applyFont="1" applyFill="1" applyBorder="1" applyAlignment="1">
      <alignment horizontal="right" vertical="center"/>
    </xf>
    <xf numFmtId="167" fontId="26" fillId="0" borderId="0" xfId="5" applyFont="1" applyFill="1" applyBorder="1" applyAlignment="1">
      <alignment horizontal="center" vertical="center" wrapText="1"/>
    </xf>
    <xf numFmtId="172" fontId="24" fillId="0" borderId="1" xfId="68" applyNumberFormat="1" applyFont="1" applyFill="1" applyBorder="1" applyAlignment="1">
      <alignment horizontal="center" vertical="top" wrapText="1"/>
    </xf>
    <xf numFmtId="2" fontId="27" fillId="0" borderId="1" xfId="68" applyNumberFormat="1" applyFont="1" applyFill="1" applyBorder="1" applyAlignment="1">
      <alignment horizontal="center" vertical="top" wrapText="1"/>
    </xf>
    <xf numFmtId="2" fontId="26" fillId="0" borderId="1" xfId="68" applyNumberFormat="1" applyFont="1" applyFill="1" applyBorder="1" applyAlignment="1">
      <alignment horizontal="justify" vertical="top" wrapText="1"/>
    </xf>
    <xf numFmtId="2" fontId="24" fillId="0" borderId="1" xfId="68" applyNumberFormat="1" applyFont="1" applyFill="1" applyBorder="1" applyAlignment="1">
      <alignment horizontal="right" vertical="top" wrapText="1"/>
    </xf>
    <xf numFmtId="2" fontId="24" fillId="0" borderId="1" xfId="68" applyNumberFormat="1" applyFont="1" applyFill="1" applyBorder="1" applyAlignment="1">
      <alignment horizontal="center" vertical="top" wrapText="1"/>
    </xf>
    <xf numFmtId="2" fontId="27" fillId="0" borderId="1" xfId="68" applyNumberFormat="1" applyFont="1" applyFill="1" applyBorder="1" applyAlignment="1">
      <alignment horizontal="right" vertical="top" wrapText="1"/>
    </xf>
    <xf numFmtId="167" fontId="24" fillId="0" borderId="0" xfId="5" applyFont="1" applyFill="1" applyBorder="1" applyAlignment="1">
      <alignment horizontal="center" vertical="center"/>
    </xf>
    <xf numFmtId="167" fontId="29" fillId="0" borderId="0" xfId="5" applyFont="1" applyFill="1" applyBorder="1" applyAlignment="1">
      <alignment horizontal="center"/>
    </xf>
    <xf numFmtId="168" fontId="24" fillId="0" borderId="1" xfId="68" applyNumberFormat="1" applyFont="1" applyFill="1" applyBorder="1" applyAlignment="1">
      <alignment horizontal="center" vertical="top" wrapText="1"/>
    </xf>
    <xf numFmtId="2" fontId="30" fillId="0" borderId="1" xfId="68" applyNumberFormat="1" applyFont="1" applyFill="1" applyBorder="1" applyAlignment="1">
      <alignment horizontal="right" vertical="top" wrapText="1"/>
    </xf>
    <xf numFmtId="2" fontId="31" fillId="0" borderId="1" xfId="68" applyNumberFormat="1" applyFont="1" applyFill="1" applyBorder="1" applyAlignment="1">
      <alignment horizontal="right" vertical="top" wrapText="1"/>
    </xf>
    <xf numFmtId="167" fontId="24" fillId="0" borderId="0" xfId="5" applyFont="1" applyFill="1" applyBorder="1" applyAlignment="1">
      <alignment horizontal="right"/>
    </xf>
    <xf numFmtId="167" fontId="24" fillId="0" borderId="0" xfId="5" applyFont="1" applyFill="1" applyBorder="1" applyAlignment="1">
      <alignment horizontal="justify"/>
    </xf>
    <xf numFmtId="167" fontId="34" fillId="0" borderId="0" xfId="5" applyFont="1" applyFill="1" applyAlignment="1">
      <alignment vertical="center"/>
    </xf>
    <xf numFmtId="167" fontId="35" fillId="0" borderId="0" xfId="5" applyFont="1" applyFill="1" applyAlignment="1">
      <alignment vertical="center"/>
    </xf>
    <xf numFmtId="167" fontId="35" fillId="0" borderId="0" xfId="5" applyFont="1" applyFill="1" applyAlignment="1">
      <alignment horizontal="center" vertical="center"/>
    </xf>
    <xf numFmtId="167" fontId="34" fillId="0" borderId="0" xfId="5" applyFont="1" applyFill="1" applyAlignment="1">
      <alignment horizontal="center" vertical="center"/>
    </xf>
    <xf numFmtId="2" fontId="35" fillId="0" borderId="2" xfId="67" applyNumberFormat="1" applyFont="1" applyFill="1" applyBorder="1" applyAlignment="1">
      <alignment horizontal="center" vertical="center" wrapText="1"/>
    </xf>
    <xf numFmtId="2" fontId="37" fillId="0" borderId="2" xfId="67" applyNumberFormat="1" applyFont="1" applyFill="1" applyBorder="1" applyAlignment="1">
      <alignment horizontal="center" vertical="center" wrapText="1"/>
    </xf>
    <xf numFmtId="167" fontId="37" fillId="0" borderId="2" xfId="5" applyFont="1" applyFill="1" applyBorder="1" applyAlignment="1">
      <alignment horizontal="right" vertical="center" wrapText="1"/>
    </xf>
    <xf numFmtId="167" fontId="37" fillId="0" borderId="2" xfId="5" applyFont="1" applyFill="1" applyBorder="1" applyAlignment="1">
      <alignment vertical="center" wrapText="1"/>
    </xf>
    <xf numFmtId="173" fontId="37" fillId="0" borderId="2" xfId="67" applyNumberFormat="1" applyFont="1" applyFill="1" applyBorder="1" applyAlignment="1">
      <alignment horizontal="center" vertical="center" wrapText="1"/>
    </xf>
    <xf numFmtId="173" fontId="37" fillId="0" borderId="2" xfId="5" applyNumberFormat="1" applyFont="1" applyFill="1" applyBorder="1" applyAlignment="1">
      <alignment vertical="center" wrapText="1"/>
    </xf>
    <xf numFmtId="167" fontId="37" fillId="0" borderId="10" xfId="5" applyFont="1" applyFill="1" applyBorder="1" applyAlignment="1">
      <alignment vertical="center" wrapText="1"/>
    </xf>
    <xf numFmtId="167" fontId="37" fillId="0" borderId="10" xfId="5" applyFont="1" applyFill="1" applyBorder="1" applyAlignment="1">
      <alignment horizontal="right" vertical="center" wrapText="1"/>
    </xf>
    <xf numFmtId="2" fontId="37" fillId="0" borderId="10" xfId="67" applyNumberFormat="1" applyFont="1" applyFill="1" applyBorder="1" applyAlignment="1">
      <alignment horizontal="center" vertical="center" wrapText="1"/>
    </xf>
    <xf numFmtId="2" fontId="37" fillId="3" borderId="2" xfId="67" applyNumberFormat="1" applyFont="1" applyFill="1" applyBorder="1" applyAlignment="1">
      <alignment vertical="center" wrapText="1"/>
    </xf>
    <xf numFmtId="2" fontId="35" fillId="3" borderId="2" xfId="67" applyNumberFormat="1" applyFont="1" applyFill="1" applyBorder="1" applyAlignment="1">
      <alignment horizontal="center" vertical="center" wrapText="1"/>
    </xf>
    <xf numFmtId="167" fontId="40" fillId="3" borderId="0" xfId="5" applyFont="1" applyFill="1" applyAlignment="1">
      <alignment vertical="center"/>
    </xf>
    <xf numFmtId="167" fontId="41" fillId="3" borderId="0" xfId="5" applyFont="1" applyFill="1" applyAlignment="1">
      <alignment vertical="center"/>
    </xf>
    <xf numFmtId="167" fontId="43" fillId="0" borderId="2" xfId="5" applyFont="1" applyFill="1" applyBorder="1" applyAlignment="1">
      <alignment vertical="center" wrapText="1"/>
    </xf>
    <xf numFmtId="167" fontId="40" fillId="3" borderId="9" xfId="5" applyFont="1" applyFill="1" applyBorder="1" applyAlignment="1">
      <alignment vertical="center"/>
    </xf>
    <xf numFmtId="167" fontId="40" fillId="3" borderId="2" xfId="5" applyFont="1" applyFill="1" applyBorder="1" applyAlignment="1">
      <alignment vertical="center"/>
    </xf>
    <xf numFmtId="167" fontId="41" fillId="3" borderId="2" xfId="5" applyFont="1" applyFill="1" applyBorder="1" applyAlignment="1">
      <alignment vertical="center"/>
    </xf>
    <xf numFmtId="167" fontId="35" fillId="0" borderId="2" xfId="5" applyFont="1" applyFill="1" applyBorder="1" applyAlignment="1">
      <alignment vertical="center"/>
    </xf>
    <xf numFmtId="2" fontId="36" fillId="3" borderId="2" xfId="67" applyNumberFormat="1" applyFont="1" applyFill="1" applyBorder="1" applyAlignment="1">
      <alignment vertical="center" wrapText="1"/>
    </xf>
    <xf numFmtId="167" fontId="45" fillId="0" borderId="0" xfId="5" applyFont="1" applyFill="1" applyAlignment="1">
      <alignment vertical="center"/>
    </xf>
    <xf numFmtId="167" fontId="46" fillId="0" borderId="2" xfId="5" applyFont="1" applyFill="1" applyBorder="1" applyAlignment="1">
      <alignment vertical="center"/>
    </xf>
    <xf numFmtId="2" fontId="41" fillId="3" borderId="2" xfId="67" applyNumberFormat="1" applyFont="1" applyFill="1" applyBorder="1" applyAlignment="1">
      <alignment horizontal="center" vertical="center" wrapText="1"/>
    </xf>
    <xf numFmtId="167" fontId="46" fillId="3" borderId="2" xfId="5" applyFont="1" applyFill="1" applyBorder="1" applyAlignment="1">
      <alignment horizontal="right" vertical="center" wrapText="1"/>
    </xf>
    <xf numFmtId="167" fontId="37" fillId="3" borderId="0" xfId="5" applyFont="1" applyFill="1" applyAlignment="1">
      <alignment vertical="center"/>
    </xf>
    <xf numFmtId="167" fontId="36" fillId="3" borderId="0" xfId="5" applyFont="1" applyFill="1" applyAlignment="1">
      <alignment horizontal="right" vertical="center"/>
    </xf>
    <xf numFmtId="167" fontId="37" fillId="3" borderId="0" xfId="5" applyFont="1" applyFill="1" applyAlignment="1">
      <alignment horizontal="right" vertical="center"/>
    </xf>
    <xf numFmtId="167" fontId="41" fillId="3" borderId="0" xfId="5" applyFont="1" applyFill="1" applyAlignment="1">
      <alignment horizontal="center" vertical="center"/>
    </xf>
    <xf numFmtId="167" fontId="37" fillId="3" borderId="2" xfId="5" applyFont="1" applyFill="1" applyBorder="1" applyAlignment="1">
      <alignment horizontal="right" vertical="center"/>
    </xf>
    <xf numFmtId="167" fontId="37" fillId="3" borderId="0" xfId="5" applyFont="1" applyFill="1" applyBorder="1" applyAlignment="1">
      <alignment horizontal="left" vertical="center"/>
    </xf>
    <xf numFmtId="167" fontId="37" fillId="3" borderId="0" xfId="5" applyFont="1" applyFill="1" applyAlignment="1">
      <alignment vertical="center" wrapText="1"/>
    </xf>
    <xf numFmtId="167" fontId="36" fillId="3" borderId="2" xfId="5" applyFont="1" applyFill="1" applyBorder="1" applyAlignment="1">
      <alignment horizontal="center" vertical="center" wrapText="1"/>
    </xf>
    <xf numFmtId="167" fontId="48" fillId="3" borderId="2" xfId="5" applyFont="1" applyFill="1" applyBorder="1" applyAlignment="1">
      <alignment horizontal="center" vertical="center" wrapText="1"/>
    </xf>
    <xf numFmtId="167" fontId="36" fillId="3" borderId="0" xfId="5" applyFont="1" applyFill="1" applyAlignment="1">
      <alignment vertical="center" wrapText="1"/>
    </xf>
    <xf numFmtId="167" fontId="41" fillId="3" borderId="0" xfId="5" applyFont="1" applyFill="1" applyAlignment="1">
      <alignment horizontal="right" vertical="center"/>
    </xf>
    <xf numFmtId="167" fontId="35" fillId="0" borderId="0" xfId="5" applyFont="1" applyFill="1" applyAlignment="1">
      <alignment horizontal="right" vertical="center"/>
    </xf>
    <xf numFmtId="167" fontId="4" fillId="0" borderId="0" xfId="5" applyAlignment="1">
      <alignment vertical="top"/>
    </xf>
    <xf numFmtId="0" fontId="51" fillId="0" borderId="0" xfId="67" applyFont="1" applyBorder="1" applyAlignment="1">
      <alignment horizontal="center" vertical="top" wrapText="1"/>
    </xf>
    <xf numFmtId="167" fontId="4" fillId="0" borderId="0" xfId="5" applyNumberFormat="1" applyAlignment="1" applyProtection="1">
      <alignment horizontal="left"/>
    </xf>
    <xf numFmtId="167" fontId="4" fillId="0" borderId="0" xfId="5" applyNumberFormat="1" applyAlignment="1" applyProtection="1">
      <alignment horizontal="center"/>
    </xf>
    <xf numFmtId="167" fontId="4" fillId="0" borderId="0" xfId="5" applyAlignment="1"/>
    <xf numFmtId="167" fontId="56" fillId="0" borderId="0" xfId="5" applyNumberFormat="1" applyFont="1" applyAlignment="1" applyProtection="1">
      <alignment horizontal="left"/>
    </xf>
    <xf numFmtId="167" fontId="4" fillId="0" borderId="0" xfId="5" applyAlignment="1">
      <alignment horizontal="left"/>
    </xf>
    <xf numFmtId="173" fontId="4" fillId="0" borderId="0" xfId="5" applyNumberFormat="1"/>
    <xf numFmtId="167" fontId="4" fillId="0" borderId="0" xfId="5" applyAlignment="1">
      <alignment horizontal="center"/>
    </xf>
    <xf numFmtId="167" fontId="57" fillId="0" borderId="0" xfId="5" applyNumberFormat="1" applyFont="1" applyAlignment="1" applyProtection="1"/>
    <xf numFmtId="167" fontId="4" fillId="0" borderId="0" xfId="5" applyNumberFormat="1" applyAlignment="1" applyProtection="1">
      <alignment horizontal="fill"/>
    </xf>
    <xf numFmtId="167" fontId="58" fillId="0" borderId="0" xfId="5" applyNumberFormat="1" applyFont="1" applyAlignment="1" applyProtection="1">
      <alignment horizontal="left"/>
    </xf>
    <xf numFmtId="167" fontId="56" fillId="0" borderId="0" xfId="5" applyNumberFormat="1" applyFont="1" applyAlignment="1" applyProtection="1">
      <alignment horizontal="right"/>
    </xf>
    <xf numFmtId="167" fontId="4" fillId="0" borderId="0" xfId="5" applyNumberFormat="1" applyAlignment="1" applyProtection="1"/>
    <xf numFmtId="167" fontId="56" fillId="0" borderId="0" xfId="5" applyNumberFormat="1" applyFont="1" applyProtection="1"/>
    <xf numFmtId="167" fontId="4" fillId="0" borderId="0" xfId="5" applyNumberFormat="1" applyProtection="1"/>
    <xf numFmtId="167" fontId="59" fillId="0" borderId="0" xfId="5" applyNumberFormat="1" applyFont="1" applyProtection="1"/>
    <xf numFmtId="167" fontId="56" fillId="0" borderId="0" xfId="5" applyNumberFormat="1" applyFont="1" applyAlignment="1" applyProtection="1">
      <alignment horizontal="center"/>
    </xf>
    <xf numFmtId="167" fontId="56" fillId="0" borderId="0" xfId="5" quotePrefix="1" applyNumberFormat="1" applyFont="1" applyAlignment="1" applyProtection="1">
      <alignment horizontal="center"/>
    </xf>
    <xf numFmtId="167" fontId="56" fillId="0" borderId="0" xfId="5" quotePrefix="1" applyFont="1" applyAlignment="1">
      <alignment horizontal="center"/>
    </xf>
    <xf numFmtId="167" fontId="60" fillId="0" borderId="0" xfId="5" applyNumberFormat="1" applyFont="1" applyProtection="1"/>
    <xf numFmtId="167" fontId="4" fillId="0" borderId="0" xfId="5" applyNumberFormat="1" applyFont="1" applyProtection="1"/>
    <xf numFmtId="167" fontId="61" fillId="0" borderId="0" xfId="5" applyNumberFormat="1" applyFont="1" applyProtection="1"/>
    <xf numFmtId="170" fontId="62" fillId="0" borderId="0" xfId="5" applyNumberFormat="1" applyFont="1" applyProtection="1"/>
    <xf numFmtId="167" fontId="62" fillId="0" borderId="0" xfId="5" applyNumberFormat="1" applyFont="1" applyAlignment="1" applyProtection="1">
      <alignment horizontal="left"/>
    </xf>
    <xf numFmtId="167" fontId="62" fillId="0" borderId="0" xfId="5" applyNumberFormat="1" applyFont="1" applyProtection="1"/>
    <xf numFmtId="167" fontId="63" fillId="0" borderId="0" xfId="5" applyNumberFormat="1" applyFont="1" applyProtection="1"/>
    <xf numFmtId="167" fontId="4" fillId="0" borderId="0" xfId="5" applyNumberFormat="1" applyFill="1" applyProtection="1"/>
    <xf numFmtId="167" fontId="4" fillId="0" borderId="0" xfId="5" applyAlignment="1" applyProtection="1">
      <alignment horizontal="left"/>
    </xf>
    <xf numFmtId="167" fontId="64" fillId="0" borderId="0" xfId="5" applyNumberFormat="1" applyFont="1" applyProtection="1"/>
    <xf numFmtId="167" fontId="65" fillId="0" borderId="0" xfId="5" applyNumberFormat="1" applyFont="1" applyAlignment="1" applyProtection="1">
      <alignment horizontal="left"/>
    </xf>
    <xf numFmtId="167" fontId="66" fillId="0" borderId="0" xfId="5" applyNumberFormat="1" applyFont="1" applyProtection="1"/>
    <xf numFmtId="167" fontId="67" fillId="2" borderId="0" xfId="5" applyNumberFormat="1" applyFont="1" applyFill="1" applyProtection="1"/>
    <xf numFmtId="167" fontId="68" fillId="0" borderId="0" xfId="5" applyNumberFormat="1" applyFont="1" applyProtection="1"/>
    <xf numFmtId="167" fontId="4" fillId="0" borderId="0" xfId="5" applyNumberFormat="1" applyFont="1" applyAlignment="1" applyProtection="1">
      <alignment horizontal="left"/>
    </xf>
    <xf numFmtId="170" fontId="4" fillId="0" borderId="0" xfId="5" applyNumberFormat="1" applyAlignment="1" applyProtection="1">
      <alignment horizontal="center"/>
    </xf>
    <xf numFmtId="167" fontId="62" fillId="0" borderId="0" xfId="5" applyFont="1"/>
    <xf numFmtId="167" fontId="4" fillId="6" borderId="0" xfId="5" applyNumberFormat="1" applyFill="1" applyAlignment="1" applyProtection="1">
      <alignment horizontal="left"/>
    </xf>
    <xf numFmtId="167" fontId="69" fillId="6" borderId="0" xfId="5" applyNumberFormat="1" applyFont="1" applyFill="1" applyAlignment="1" applyProtection="1">
      <alignment horizontal="right"/>
    </xf>
    <xf numFmtId="167" fontId="69" fillId="0" borderId="0" xfId="5" applyNumberFormat="1" applyFont="1" applyProtection="1"/>
    <xf numFmtId="167" fontId="60" fillId="0" borderId="0" xfId="5" applyFont="1"/>
    <xf numFmtId="167" fontId="69" fillId="0" borderId="0" xfId="5" applyNumberFormat="1" applyFont="1" applyAlignment="1" applyProtection="1">
      <alignment horizontal="right"/>
    </xf>
    <xf numFmtId="167" fontId="60" fillId="0" borderId="0" xfId="5" applyNumberFormat="1" applyFont="1" applyAlignment="1" applyProtection="1">
      <alignment horizontal="right"/>
    </xf>
    <xf numFmtId="167" fontId="70" fillId="0" borderId="0" xfId="5" applyNumberFormat="1" applyFont="1" applyProtection="1"/>
    <xf numFmtId="167" fontId="61" fillId="0" borderId="0" xfId="5" applyNumberFormat="1" applyFont="1" applyAlignment="1" applyProtection="1">
      <alignment horizontal="fill"/>
    </xf>
    <xf numFmtId="167" fontId="60" fillId="0" borderId="0" xfId="5" applyNumberFormat="1" applyFont="1" applyAlignment="1" applyProtection="1">
      <alignment horizontal="left"/>
    </xf>
    <xf numFmtId="173" fontId="4" fillId="0" borderId="0" xfId="5" applyNumberFormat="1" applyProtection="1"/>
    <xf numFmtId="167" fontId="56" fillId="0" borderId="0" xfId="5" applyFont="1"/>
    <xf numFmtId="174" fontId="4" fillId="0" borderId="0" xfId="5" applyNumberFormat="1" applyAlignment="1" applyProtection="1">
      <alignment horizontal="center"/>
    </xf>
    <xf numFmtId="167" fontId="70" fillId="0" borderId="0" xfId="5" applyNumberFormat="1" applyFont="1" applyAlignment="1" applyProtection="1">
      <alignment horizontal="left"/>
    </xf>
    <xf numFmtId="167" fontId="4" fillId="0" borderId="0" xfId="5" quotePrefix="1"/>
    <xf numFmtId="167" fontId="61" fillId="7" borderId="0" xfId="5" applyNumberFormat="1" applyFont="1" applyFill="1" applyProtection="1"/>
    <xf numFmtId="173" fontId="4" fillId="0" borderId="0" xfId="5" applyNumberFormat="1" applyAlignment="1" applyProtection="1">
      <alignment horizontal="center"/>
    </xf>
    <xf numFmtId="174" fontId="4" fillId="0" borderId="0" xfId="5" applyNumberFormat="1" applyAlignment="1" applyProtection="1">
      <alignment horizontal="left"/>
    </xf>
    <xf numFmtId="173" fontId="4" fillId="0" borderId="0" xfId="5" applyNumberFormat="1" applyAlignment="1" applyProtection="1">
      <alignment horizontal="left"/>
    </xf>
    <xf numFmtId="167" fontId="56" fillId="0" borderId="0" xfId="5" applyFont="1" applyAlignment="1">
      <alignment horizontal="left"/>
    </xf>
    <xf numFmtId="167" fontId="56" fillId="0" borderId="0" xfId="5" applyNumberFormat="1" applyFont="1" applyAlignment="1" applyProtection="1">
      <alignment horizontal="left" wrapText="1"/>
    </xf>
    <xf numFmtId="167" fontId="56" fillId="0" borderId="0" xfId="5" applyNumberFormat="1" applyFont="1" applyAlignment="1" applyProtection="1">
      <alignment horizontal="fill"/>
    </xf>
    <xf numFmtId="167" fontId="4" fillId="0" borderId="0" xfId="5" applyNumberFormat="1" applyAlignment="1" applyProtection="1">
      <alignment horizontal="left" wrapText="1"/>
    </xf>
    <xf numFmtId="174" fontId="4" fillId="0" borderId="0" xfId="5" applyNumberFormat="1" applyAlignment="1">
      <alignment horizontal="center" vertical="top"/>
    </xf>
    <xf numFmtId="173" fontId="4" fillId="0" borderId="0" xfId="5" applyNumberFormat="1" applyAlignment="1">
      <alignment horizontal="center" vertical="top"/>
    </xf>
    <xf numFmtId="174" fontId="4" fillId="0" borderId="0" xfId="5" applyNumberFormat="1" applyFont="1" applyAlignment="1">
      <alignment horizontal="center"/>
    </xf>
    <xf numFmtId="167" fontId="4" fillId="0" borderId="0" xfId="5" applyNumberFormat="1" applyAlignment="1" applyProtection="1">
      <alignment horizontal="left" vertical="top" wrapText="1"/>
    </xf>
    <xf numFmtId="173" fontId="4" fillId="0" borderId="0" xfId="5" applyNumberFormat="1" applyFont="1" applyAlignment="1">
      <alignment horizontal="center"/>
    </xf>
    <xf numFmtId="167" fontId="71" fillId="0" borderId="0" xfId="5" applyNumberFormat="1" applyFont="1" applyProtection="1"/>
    <xf numFmtId="167" fontId="4" fillId="3" borderId="0" xfId="5" applyFill="1"/>
    <xf numFmtId="167" fontId="4" fillId="3" borderId="0" xfId="5" applyNumberFormat="1" applyFont="1" applyFill="1" applyProtection="1"/>
    <xf numFmtId="167" fontId="4" fillId="3" borderId="0" xfId="5" applyNumberFormat="1" applyFill="1" applyAlignment="1" applyProtection="1">
      <alignment horizontal="left"/>
    </xf>
    <xf numFmtId="167" fontId="61" fillId="3" borderId="0" xfId="5" applyFont="1" applyFill="1"/>
    <xf numFmtId="167" fontId="61" fillId="3" borderId="0" xfId="5" applyNumberFormat="1" applyFont="1" applyFill="1" applyProtection="1"/>
    <xf numFmtId="167" fontId="4" fillId="0" borderId="0" xfId="5" applyNumberFormat="1" applyFont="1" applyAlignment="1" applyProtection="1">
      <alignment horizontal="fill"/>
    </xf>
    <xf numFmtId="167" fontId="4" fillId="8" borderId="0" xfId="5" applyNumberFormat="1" applyFill="1" applyAlignment="1" applyProtection="1">
      <alignment horizontal="left"/>
    </xf>
    <xf numFmtId="167" fontId="72" fillId="3" borderId="0" xfId="5" applyNumberFormat="1" applyFont="1" applyFill="1" applyProtection="1"/>
    <xf numFmtId="170" fontId="56" fillId="0" borderId="0" xfId="5" applyNumberFormat="1" applyFont="1" applyAlignment="1" applyProtection="1">
      <alignment horizontal="center"/>
    </xf>
    <xf numFmtId="167" fontId="56" fillId="0" borderId="0" xfId="5" applyNumberFormat="1" applyFont="1" applyAlignment="1" applyProtection="1"/>
    <xf numFmtId="167" fontId="56" fillId="0" borderId="0" xfId="5" applyFont="1" applyAlignment="1"/>
    <xf numFmtId="174" fontId="62" fillId="0" borderId="0" xfId="5" applyNumberFormat="1" applyFont="1"/>
    <xf numFmtId="167" fontId="4" fillId="0" borderId="0" xfId="5" applyNumberFormat="1" applyFont="1" applyAlignment="1" applyProtection="1">
      <alignment horizontal="center"/>
    </xf>
    <xf numFmtId="167" fontId="72" fillId="4" borderId="0" xfId="5" applyNumberFormat="1" applyFont="1" applyFill="1" applyProtection="1"/>
    <xf numFmtId="167" fontId="61" fillId="0" borderId="0" xfId="5" applyFont="1"/>
    <xf numFmtId="169" fontId="4" fillId="0" borderId="0" xfId="5" applyNumberFormat="1" applyProtection="1"/>
    <xf numFmtId="175" fontId="4" fillId="0" borderId="0" xfId="5" applyNumberFormat="1" applyProtection="1"/>
    <xf numFmtId="167" fontId="4" fillId="2" borderId="0" xfId="5" applyNumberFormat="1" applyFill="1" applyAlignment="1" applyProtection="1">
      <alignment horizontal="left"/>
    </xf>
    <xf numFmtId="167" fontId="70" fillId="2" borderId="0" xfId="5" applyNumberFormat="1" applyFont="1" applyFill="1" applyAlignment="1" applyProtection="1">
      <alignment horizontal="left"/>
    </xf>
    <xf numFmtId="167" fontId="73" fillId="0" borderId="0" xfId="5" applyNumberFormat="1" applyFont="1" applyProtection="1"/>
    <xf numFmtId="167" fontId="62" fillId="0" borderId="0" xfId="5" applyNumberFormat="1" applyFont="1" applyAlignment="1" applyProtection="1">
      <alignment horizontal="left" wrapText="1"/>
    </xf>
    <xf numFmtId="167" fontId="70" fillId="0" borderId="0" xfId="5" applyFont="1"/>
    <xf numFmtId="167" fontId="74" fillId="0" borderId="0" xfId="5" applyNumberFormat="1" applyFont="1" applyAlignment="1" applyProtection="1">
      <alignment horizontal="left"/>
    </xf>
    <xf numFmtId="167" fontId="74" fillId="0" borderId="0" xfId="5" applyFont="1"/>
    <xf numFmtId="167" fontId="4" fillId="3" borderId="0" xfId="5" applyNumberFormat="1" applyFont="1" applyFill="1" applyAlignment="1" applyProtection="1">
      <alignment horizontal="left"/>
    </xf>
    <xf numFmtId="167" fontId="4" fillId="0" borderId="0" xfId="5" applyAlignment="1">
      <alignment horizontal="right"/>
    </xf>
    <xf numFmtId="167" fontId="4" fillId="3" borderId="0" xfId="5" applyFont="1" applyFill="1"/>
    <xf numFmtId="167" fontId="63" fillId="4" borderId="0" xfId="5" applyNumberFormat="1" applyFont="1" applyFill="1" applyAlignment="1" applyProtection="1">
      <alignment horizontal="left"/>
    </xf>
    <xf numFmtId="167" fontId="75" fillId="2" borderId="0" xfId="5" applyNumberFormat="1" applyFont="1" applyFill="1" applyAlignment="1" applyProtection="1">
      <alignment horizontal="left"/>
    </xf>
    <xf numFmtId="167" fontId="75" fillId="0" borderId="0" xfId="5" applyNumberFormat="1" applyFont="1" applyProtection="1"/>
    <xf numFmtId="167" fontId="75" fillId="0" borderId="0" xfId="5" applyNumberFormat="1" applyFont="1" applyAlignment="1" applyProtection="1">
      <alignment horizontal="left"/>
    </xf>
    <xf numFmtId="167" fontId="76" fillId="0" borderId="0" xfId="5" applyNumberFormat="1" applyFont="1" applyAlignment="1" applyProtection="1">
      <alignment horizontal="left"/>
    </xf>
    <xf numFmtId="167" fontId="77" fillId="0" borderId="0" xfId="5" applyFont="1"/>
    <xf numFmtId="167" fontId="71" fillId="2" borderId="0" xfId="5" applyNumberFormat="1" applyFont="1" applyFill="1" applyProtection="1"/>
    <xf numFmtId="167" fontId="78" fillId="0" borderId="0" xfId="5" applyFont="1"/>
    <xf numFmtId="175" fontId="4" fillId="0" borderId="0" xfId="5" applyNumberFormat="1"/>
    <xf numFmtId="167" fontId="70" fillId="2" borderId="0" xfId="5" applyNumberFormat="1" applyFont="1" applyFill="1" applyProtection="1"/>
    <xf numFmtId="170" fontId="62" fillId="0" borderId="0" xfId="5" applyNumberFormat="1" applyFont="1" applyAlignment="1" applyProtection="1">
      <alignment vertical="center" wrapText="1"/>
    </xf>
    <xf numFmtId="167" fontId="61" fillId="0" borderId="0" xfId="5" applyNumberFormat="1" applyFont="1" applyAlignment="1" applyProtection="1">
      <alignment horizontal="right"/>
    </xf>
    <xf numFmtId="167" fontId="79" fillId="0" borderId="0" xfId="5" applyNumberFormat="1" applyFont="1" applyProtection="1"/>
    <xf numFmtId="174" fontId="4" fillId="0" borderId="0" xfId="5" applyNumberFormat="1" applyAlignment="1">
      <alignment horizontal="center"/>
    </xf>
    <xf numFmtId="167" fontId="70" fillId="4" borderId="0" xfId="5" applyNumberFormat="1" applyFont="1" applyFill="1" applyProtection="1"/>
    <xf numFmtId="167" fontId="62" fillId="4" borderId="0" xfId="5" applyNumberFormat="1" applyFont="1" applyFill="1" applyAlignment="1" applyProtection="1">
      <alignment horizontal="left"/>
    </xf>
    <xf numFmtId="167" fontId="4" fillId="4" borderId="0" xfId="5" applyFill="1"/>
    <xf numFmtId="167" fontId="70" fillId="4" borderId="0" xfId="5" applyFont="1" applyFill="1"/>
    <xf numFmtId="167" fontId="81" fillId="0" borderId="0" xfId="5" applyFont="1"/>
    <xf numFmtId="167" fontId="4" fillId="0" borderId="0" xfId="5" applyNumberFormat="1" applyAlignment="1" applyProtection="1">
      <alignment horizontal="right"/>
    </xf>
    <xf numFmtId="167" fontId="4" fillId="0" borderId="0" xfId="5" applyFont="1"/>
    <xf numFmtId="167" fontId="61" fillId="0" borderId="0" xfId="5" applyNumberFormat="1" applyFont="1" applyAlignment="1" applyProtection="1">
      <alignment horizontal="left"/>
    </xf>
    <xf numFmtId="170" fontId="75" fillId="0" borderId="0" xfId="5" applyNumberFormat="1" applyFont="1" applyAlignment="1" applyProtection="1">
      <alignment horizontal="left" wrapText="1"/>
    </xf>
    <xf numFmtId="167" fontId="75" fillId="0" borderId="0" xfId="5" applyFont="1"/>
    <xf numFmtId="170" fontId="75" fillId="0" borderId="0" xfId="5" applyNumberFormat="1" applyFont="1" applyAlignment="1" applyProtection="1">
      <alignment horizontal="left"/>
    </xf>
    <xf numFmtId="173" fontId="4" fillId="0" borderId="0" xfId="5" applyNumberFormat="1" applyAlignment="1">
      <alignment horizontal="right"/>
    </xf>
    <xf numFmtId="167" fontId="56" fillId="0" borderId="0" xfId="5" applyFont="1" applyAlignment="1">
      <alignment wrapText="1"/>
    </xf>
    <xf numFmtId="167" fontId="4" fillId="0" borderId="0" xfId="5" applyAlignment="1">
      <alignment vertical="top" wrapText="1"/>
    </xf>
    <xf numFmtId="167" fontId="62" fillId="0" borderId="0" xfId="5" applyNumberFormat="1" applyFont="1" applyAlignment="1" applyProtection="1">
      <alignment horizontal="center"/>
    </xf>
    <xf numFmtId="167" fontId="75" fillId="4" borderId="0" xfId="5" applyNumberFormat="1" applyFont="1" applyFill="1" applyProtection="1"/>
    <xf numFmtId="167" fontId="73" fillId="4" borderId="0" xfId="5" applyNumberFormat="1" applyFont="1" applyFill="1" applyProtection="1"/>
    <xf numFmtId="170" fontId="4" fillId="0" borderId="0" xfId="5" applyNumberFormat="1" applyProtection="1"/>
    <xf numFmtId="175" fontId="4" fillId="0" borderId="0" xfId="5" quotePrefix="1" applyNumberFormat="1" applyProtection="1"/>
    <xf numFmtId="167" fontId="4" fillId="0" borderId="0" xfId="5" quotePrefix="1" applyNumberFormat="1" applyProtection="1"/>
    <xf numFmtId="167" fontId="82" fillId="4" borderId="0" xfId="5" applyNumberFormat="1" applyFont="1" applyFill="1" applyProtection="1"/>
    <xf numFmtId="174" fontId="4" fillId="0" borderId="0" xfId="5" applyNumberFormat="1" applyAlignment="1" applyProtection="1">
      <alignment horizontal="center" vertical="top" wrapText="1"/>
    </xf>
    <xf numFmtId="167" fontId="4" fillId="0" borderId="0" xfId="5" applyNumberFormat="1" applyAlignment="1" applyProtection="1">
      <alignment horizontal="justify" vertical="top" wrapText="1"/>
    </xf>
    <xf numFmtId="169" fontId="4" fillId="0" borderId="0" xfId="5" applyNumberFormat="1" applyAlignment="1" applyProtection="1">
      <alignment horizontal="left"/>
    </xf>
    <xf numFmtId="176" fontId="83" fillId="9" borderId="0" xfId="5" applyNumberFormat="1" applyFont="1" applyFill="1" applyProtection="1"/>
    <xf numFmtId="167" fontId="83" fillId="9" borderId="0" xfId="5" applyNumberFormat="1" applyFont="1" applyFill="1" applyAlignment="1" applyProtection="1"/>
    <xf numFmtId="167" fontId="83" fillId="9" borderId="0" xfId="5" applyNumberFormat="1" applyFont="1" applyFill="1" applyAlignment="1" applyProtection="1">
      <alignment horizontal="left"/>
    </xf>
    <xf numFmtId="167" fontId="83" fillId="9" borderId="0" xfId="5" applyNumberFormat="1" applyFont="1" applyFill="1" applyProtection="1"/>
    <xf numFmtId="176" fontId="4" fillId="0" borderId="0" xfId="5" applyNumberFormat="1" applyProtection="1"/>
    <xf numFmtId="169" fontId="4" fillId="0" borderId="0" xfId="5" applyNumberFormat="1" applyAlignment="1" applyProtection="1">
      <alignment horizontal="fill"/>
    </xf>
    <xf numFmtId="167" fontId="84" fillId="2" borderId="0" xfId="5" applyFont="1" applyFill="1"/>
    <xf numFmtId="167" fontId="85" fillId="2" borderId="0" xfId="5" applyFont="1" applyFill="1"/>
    <xf numFmtId="167" fontId="85" fillId="2" borderId="0" xfId="5" applyFont="1" applyFill="1" applyAlignment="1">
      <alignment horizontal="left"/>
    </xf>
    <xf numFmtId="167" fontId="83" fillId="9" borderId="0" xfId="5" applyFont="1" applyFill="1"/>
    <xf numFmtId="173" fontId="83" fillId="9" borderId="0" xfId="5" applyNumberFormat="1" applyFont="1" applyFill="1" applyProtection="1"/>
    <xf numFmtId="173" fontId="4" fillId="0" borderId="0" xfId="5" applyNumberFormat="1" applyAlignment="1" applyProtection="1">
      <alignment horizontal="fill"/>
    </xf>
    <xf numFmtId="175" fontId="4" fillId="0" borderId="0" xfId="5" applyNumberFormat="1" applyFont="1"/>
    <xf numFmtId="167" fontId="4" fillId="0" borderId="0" xfId="5" applyFont="1" applyAlignment="1"/>
    <xf numFmtId="167" fontId="4" fillId="0" borderId="0" xfId="5" applyFont="1" applyAlignment="1">
      <alignment horizontal="left"/>
    </xf>
    <xf numFmtId="169" fontId="4" fillId="0" borderId="0" xfId="5" applyNumberFormat="1" applyFont="1"/>
    <xf numFmtId="173" fontId="4" fillId="0" borderId="0" xfId="5" applyNumberFormat="1" applyFont="1"/>
    <xf numFmtId="167" fontId="4" fillId="0" borderId="0" xfId="5" quotePrefix="1" applyFont="1"/>
    <xf numFmtId="167" fontId="86" fillId="4" borderId="0" xfId="5" applyNumberFormat="1" applyFont="1" applyFill="1" applyProtection="1"/>
    <xf numFmtId="167" fontId="87" fillId="0" borderId="0" xfId="5" applyFont="1"/>
    <xf numFmtId="167" fontId="70" fillId="8" borderId="0" xfId="5" applyNumberFormat="1" applyFont="1" applyFill="1" applyAlignment="1" applyProtection="1">
      <alignment horizontal="left"/>
    </xf>
    <xf numFmtId="2" fontId="20" fillId="0" borderId="2" xfId="68" applyNumberFormat="1" applyFont="1" applyBorder="1" applyAlignment="1">
      <alignment vertical="top" wrapText="1"/>
    </xf>
    <xf numFmtId="167" fontId="4" fillId="2" borderId="0" xfId="5" applyNumberFormat="1" applyFont="1" applyFill="1" applyProtection="1"/>
    <xf numFmtId="167" fontId="88" fillId="4" borderId="0" xfId="5" applyNumberFormat="1" applyFont="1" applyFill="1" applyProtection="1"/>
    <xf numFmtId="167" fontId="89" fillId="0" borderId="0" xfId="5" applyNumberFormat="1" applyFont="1" applyProtection="1"/>
    <xf numFmtId="167" fontId="87" fillId="0" borderId="0" xfId="5" applyNumberFormat="1" applyFont="1" applyProtection="1"/>
    <xf numFmtId="167" fontId="90" fillId="0" borderId="0" xfId="5" applyFont="1"/>
    <xf numFmtId="173" fontId="56" fillId="0" borderId="0" xfId="5" applyNumberFormat="1" applyFont="1" applyAlignment="1">
      <alignment horizontal="right"/>
    </xf>
    <xf numFmtId="167" fontId="83" fillId="5" borderId="0" xfId="5" applyFont="1" applyFill="1"/>
    <xf numFmtId="167" fontId="83" fillId="5" borderId="0" xfId="5" applyFont="1" applyFill="1" applyAlignment="1"/>
    <xf numFmtId="167" fontId="91" fillId="0" borderId="0" xfId="5" applyNumberFormat="1" applyFont="1" applyProtection="1"/>
    <xf numFmtId="167" fontId="92" fillId="0" borderId="0" xfId="5" applyFont="1"/>
    <xf numFmtId="167" fontId="92" fillId="0" borderId="0" xfId="5" applyFont="1" applyAlignment="1"/>
    <xf numFmtId="167" fontId="93" fillId="0" borderId="0" xfId="5" applyFont="1"/>
    <xf numFmtId="167" fontId="92" fillId="0" borderId="0" xfId="5" applyFont="1" applyAlignment="1">
      <alignment horizontal="center"/>
    </xf>
    <xf numFmtId="167" fontId="94" fillId="3" borderId="0" xfId="5" applyFont="1" applyFill="1"/>
    <xf numFmtId="167" fontId="94" fillId="3" borderId="0" xfId="5" applyFont="1" applyFill="1" applyAlignment="1"/>
    <xf numFmtId="167" fontId="92" fillId="3" borderId="0" xfId="5" applyNumberFormat="1" applyFont="1" applyFill="1" applyProtection="1"/>
    <xf numFmtId="167" fontId="92" fillId="3" borderId="0" xfId="5" applyNumberFormat="1" applyFont="1" applyFill="1" applyAlignment="1" applyProtection="1"/>
    <xf numFmtId="167" fontId="95" fillId="3" borderId="0" xfId="5" applyNumberFormat="1" applyFont="1" applyFill="1" applyAlignment="1" applyProtection="1">
      <alignment horizontal="left"/>
    </xf>
    <xf numFmtId="167" fontId="95" fillId="3" borderId="0" xfId="5" applyNumberFormat="1" applyFont="1" applyFill="1" applyAlignment="1" applyProtection="1">
      <alignment horizontal="right"/>
    </xf>
    <xf numFmtId="167" fontId="92" fillId="0" borderId="0" xfId="5" applyNumberFormat="1" applyFont="1" applyAlignment="1" applyProtection="1">
      <alignment horizontal="center"/>
    </xf>
    <xf numFmtId="167" fontId="92" fillId="0" borderId="0" xfId="5" applyNumberFormat="1" applyFont="1" applyProtection="1"/>
    <xf numFmtId="167" fontId="66" fillId="0" borderId="0" xfId="5" applyNumberFormat="1" applyFont="1" applyAlignment="1" applyProtection="1">
      <alignment horizontal="right"/>
    </xf>
    <xf numFmtId="167" fontId="92" fillId="0" borderId="0" xfId="5" applyNumberFormat="1" applyFont="1" applyAlignment="1" applyProtection="1"/>
    <xf numFmtId="167" fontId="92" fillId="0" borderId="0" xfId="5" applyNumberFormat="1" applyFont="1" applyAlignment="1" applyProtection="1">
      <alignment horizontal="left"/>
    </xf>
    <xf numFmtId="173" fontId="92" fillId="0" borderId="0" xfId="5" applyNumberFormat="1" applyFont="1" applyProtection="1"/>
    <xf numFmtId="167" fontId="92" fillId="0" borderId="0" xfId="5" applyNumberFormat="1" applyFont="1" applyAlignment="1" applyProtection="1">
      <alignment horizontal="fill"/>
    </xf>
    <xf numFmtId="167" fontId="93" fillId="0" borderId="0" xfId="5" applyNumberFormat="1" applyFont="1" applyAlignment="1" applyProtection="1">
      <alignment horizontal="left"/>
    </xf>
    <xf numFmtId="167" fontId="93" fillId="0" borderId="0" xfId="5" applyNumberFormat="1" applyFont="1" applyProtection="1"/>
    <xf numFmtId="167" fontId="4" fillId="4" borderId="0" xfId="5" applyNumberFormat="1" applyFont="1" applyFill="1" applyProtection="1"/>
    <xf numFmtId="167" fontId="56" fillId="8" borderId="0" xfId="5" applyNumberFormat="1" applyFont="1" applyFill="1" applyAlignment="1" applyProtection="1">
      <alignment horizontal="left"/>
    </xf>
    <xf numFmtId="167" fontId="61" fillId="8" borderId="0" xfId="5" applyNumberFormat="1" applyFont="1" applyFill="1" applyAlignment="1" applyProtection="1">
      <alignment horizontal="left"/>
    </xf>
    <xf numFmtId="169" fontId="4" fillId="0" borderId="0" xfId="5" applyNumberFormat="1" applyAlignment="1" applyProtection="1"/>
    <xf numFmtId="167" fontId="97" fillId="0" borderId="0" xfId="5" applyNumberFormat="1" applyFont="1" applyProtection="1"/>
    <xf numFmtId="169" fontId="97" fillId="0" borderId="0" xfId="5" applyNumberFormat="1" applyFont="1" applyAlignment="1" applyProtection="1"/>
    <xf numFmtId="167" fontId="97" fillId="0" borderId="0" xfId="5" applyNumberFormat="1" applyFont="1" applyAlignment="1" applyProtection="1">
      <alignment horizontal="left"/>
    </xf>
    <xf numFmtId="167" fontId="97" fillId="0" borderId="0" xfId="5" applyNumberFormat="1" applyFont="1" applyAlignment="1" applyProtection="1">
      <alignment horizontal="center"/>
    </xf>
    <xf numFmtId="169" fontId="4" fillId="0" borderId="0" xfId="5" applyNumberFormat="1" applyAlignment="1"/>
    <xf numFmtId="167" fontId="4" fillId="8" borderId="0" xfId="5" applyFill="1"/>
    <xf numFmtId="167" fontId="56" fillId="0" borderId="0" xfId="5" applyFont="1" applyAlignment="1">
      <alignment horizontal="right"/>
    </xf>
    <xf numFmtId="167" fontId="98" fillId="0" borderId="0" xfId="5" applyFont="1"/>
    <xf numFmtId="167" fontId="4" fillId="2" borderId="0" xfId="5" applyFill="1"/>
    <xf numFmtId="167" fontId="90" fillId="0" borderId="0" xfId="5" applyNumberFormat="1" applyFont="1" applyAlignment="1">
      <alignment horizontal="center"/>
    </xf>
    <xf numFmtId="167" fontId="4" fillId="0" borderId="0" xfId="5" applyNumberFormat="1"/>
    <xf numFmtId="167" fontId="4" fillId="0" borderId="0" xfId="5" applyNumberFormat="1" applyAlignment="1">
      <alignment horizontal="center"/>
    </xf>
    <xf numFmtId="167" fontId="4" fillId="0" borderId="8" xfId="5" applyBorder="1"/>
    <xf numFmtId="167" fontId="99" fillId="0" borderId="0" xfId="5" applyNumberFormat="1" applyFont="1"/>
    <xf numFmtId="167" fontId="4" fillId="0" borderId="6" xfId="5" applyBorder="1"/>
    <xf numFmtId="175" fontId="99" fillId="0" borderId="0" xfId="5" applyNumberFormat="1" applyFont="1" applyProtection="1"/>
    <xf numFmtId="167" fontId="99" fillId="0" borderId="0" xfId="5" applyNumberFormat="1" applyFont="1" applyAlignment="1" applyProtection="1"/>
    <xf numFmtId="167" fontId="100" fillId="0" borderId="0" xfId="5" applyNumberFormat="1" applyFont="1" applyAlignment="1" applyProtection="1">
      <alignment horizontal="center"/>
    </xf>
    <xf numFmtId="167" fontId="99" fillId="0" borderId="0" xfId="5" applyNumberFormat="1" applyFont="1" applyProtection="1"/>
    <xf numFmtId="167" fontId="99" fillId="0" borderId="0" xfId="5" applyNumberFormat="1" applyFont="1" applyAlignment="1" applyProtection="1">
      <alignment horizontal="left"/>
    </xf>
    <xf numFmtId="167" fontId="99" fillId="0" borderId="0" xfId="5" applyNumberFormat="1" applyFont="1" applyAlignment="1">
      <alignment horizontal="center"/>
    </xf>
    <xf numFmtId="167" fontId="99" fillId="0" borderId="0" xfId="5" applyNumberFormat="1" applyFont="1" applyAlignment="1"/>
    <xf numFmtId="167" fontId="100" fillId="0" borderId="0" xfId="5" applyNumberFormat="1" applyFont="1" applyProtection="1"/>
    <xf numFmtId="167" fontId="4" fillId="0" borderId="11" xfId="5" applyBorder="1"/>
    <xf numFmtId="167" fontId="100" fillId="0" borderId="0" xfId="5" applyNumberFormat="1" applyFont="1"/>
    <xf numFmtId="167" fontId="99" fillId="0" borderId="0" xfId="5" applyNumberFormat="1" applyFont="1" applyAlignment="1" applyProtection="1">
      <alignment horizontal="right"/>
    </xf>
    <xf numFmtId="167" fontId="99" fillId="0" borderId="0" xfId="5" applyNumberFormat="1" applyFont="1" applyAlignment="1">
      <alignment horizontal="left"/>
    </xf>
    <xf numFmtId="167" fontId="99" fillId="0" borderId="0" xfId="5" applyNumberFormat="1" applyFont="1" applyAlignment="1" applyProtection="1">
      <alignment horizontal="fill"/>
    </xf>
    <xf numFmtId="170" fontId="101" fillId="0" borderId="7" xfId="5" applyNumberFormat="1" applyFont="1" applyBorder="1" applyAlignment="1" applyProtection="1">
      <alignment horizontal="center"/>
    </xf>
    <xf numFmtId="167" fontId="4" fillId="0" borderId="3" xfId="5" applyNumberFormat="1" applyBorder="1" applyAlignment="1" applyProtection="1"/>
    <xf numFmtId="167" fontId="4" fillId="0" borderId="3" xfId="5" applyNumberFormat="1" applyBorder="1" applyAlignment="1" applyProtection="1">
      <alignment horizontal="left"/>
    </xf>
    <xf numFmtId="167" fontId="4" fillId="0" borderId="3" xfId="5" applyBorder="1"/>
    <xf numFmtId="167" fontId="4" fillId="0" borderId="3" xfId="5" applyBorder="1" applyAlignment="1">
      <alignment horizontal="left"/>
    </xf>
    <xf numFmtId="167" fontId="4" fillId="0" borderId="5" xfId="5" applyBorder="1"/>
    <xf numFmtId="167" fontId="4" fillId="0" borderId="0" xfId="5" applyBorder="1" applyAlignment="1"/>
    <xf numFmtId="167" fontId="4" fillId="0" borderId="0" xfId="5" applyNumberFormat="1" applyBorder="1" applyAlignment="1" applyProtection="1">
      <alignment horizontal="left"/>
    </xf>
    <xf numFmtId="167" fontId="4" fillId="0" borderId="0" xfId="5" applyBorder="1" applyAlignment="1">
      <alignment horizontal="left"/>
    </xf>
    <xf numFmtId="167" fontId="4" fillId="0" borderId="0" xfId="5" applyNumberFormat="1" applyBorder="1" applyAlignment="1" applyProtection="1">
      <alignment horizontal="fill"/>
    </xf>
    <xf numFmtId="167" fontId="4" fillId="0" borderId="5" xfId="5" applyNumberFormat="1" applyBorder="1" applyProtection="1"/>
    <xf numFmtId="167" fontId="4" fillId="0" borderId="0" xfId="5" applyNumberFormat="1" applyBorder="1" applyAlignment="1" applyProtection="1"/>
    <xf numFmtId="167" fontId="70" fillId="0" borderId="0" xfId="5" applyNumberFormat="1" applyFont="1" applyBorder="1" applyProtection="1"/>
    <xf numFmtId="167" fontId="4" fillId="0" borderId="0" xfId="5" applyNumberFormat="1" applyBorder="1" applyProtection="1"/>
    <xf numFmtId="167" fontId="70" fillId="8" borderId="0" xfId="5" applyNumberFormat="1" applyFont="1" applyFill="1" applyBorder="1" applyProtection="1"/>
    <xf numFmtId="167" fontId="4" fillId="0" borderId="0" xfId="5" applyNumberFormat="1" applyBorder="1" applyAlignment="1" applyProtection="1">
      <alignment horizontal="right"/>
    </xf>
    <xf numFmtId="167" fontId="56" fillId="0" borderId="0" xfId="5" applyNumberFormat="1" applyFont="1" applyBorder="1" applyAlignment="1" applyProtection="1">
      <alignment horizontal="center"/>
    </xf>
    <xf numFmtId="167" fontId="56" fillId="0" borderId="0" xfId="5" applyFont="1" applyBorder="1"/>
    <xf numFmtId="167" fontId="56" fillId="0" borderId="0" xfId="5" applyFont="1" applyBorder="1" applyAlignment="1">
      <alignment horizontal="left"/>
    </xf>
    <xf numFmtId="167" fontId="56" fillId="0" borderId="0" xfId="5" applyNumberFormat="1" applyFont="1" applyBorder="1" applyProtection="1"/>
    <xf numFmtId="167" fontId="4" fillId="0" borderId="12" xfId="5" applyBorder="1"/>
    <xf numFmtId="167" fontId="4" fillId="0" borderId="4" xfId="5" applyBorder="1" applyAlignment="1"/>
    <xf numFmtId="167" fontId="4" fillId="0" borderId="4" xfId="5" applyBorder="1"/>
    <xf numFmtId="167" fontId="4" fillId="0" borderId="4" xfId="5" applyBorder="1" applyAlignment="1">
      <alignment horizontal="left"/>
    </xf>
    <xf numFmtId="167" fontId="4" fillId="0" borderId="4" xfId="5" applyNumberFormat="1" applyBorder="1" applyAlignment="1" applyProtection="1">
      <alignment horizontal="fill"/>
    </xf>
    <xf numFmtId="167" fontId="101" fillId="0" borderId="7" xfId="5" applyNumberFormat="1" applyFont="1" applyBorder="1" applyAlignment="1" applyProtection="1">
      <alignment horizontal="center"/>
    </xf>
    <xf numFmtId="173" fontId="4" fillId="0" borderId="5" xfId="5" applyNumberFormat="1" applyBorder="1" applyProtection="1"/>
    <xf numFmtId="173" fontId="4" fillId="0" borderId="12" xfId="5" applyNumberFormat="1" applyBorder="1" applyProtection="1"/>
    <xf numFmtId="167" fontId="56" fillId="0" borderId="4" xfId="5" applyNumberFormat="1" applyFont="1" applyBorder="1" applyAlignment="1" applyProtection="1">
      <alignment horizontal="center"/>
    </xf>
    <xf numFmtId="167" fontId="56" fillId="0" borderId="4" xfId="5" applyFont="1" applyBorder="1"/>
    <xf numFmtId="167" fontId="56" fillId="0" borderId="4" xfId="5" applyFont="1" applyBorder="1" applyAlignment="1">
      <alignment horizontal="left"/>
    </xf>
    <xf numFmtId="167" fontId="56" fillId="0" borderId="4" xfId="5" applyNumberFormat="1" applyFont="1" applyBorder="1" applyProtection="1"/>
    <xf numFmtId="167" fontId="59" fillId="0" borderId="0" xfId="5" applyFont="1"/>
    <xf numFmtId="167" fontId="87" fillId="0" borderId="0" xfId="5" applyNumberFormat="1" applyFont="1" applyAlignment="1" applyProtection="1">
      <alignment horizontal="left"/>
    </xf>
    <xf numFmtId="167" fontId="4" fillId="0" borderId="0" xfId="5" applyNumberFormat="1" applyFont="1" applyAlignment="1" applyProtection="1"/>
    <xf numFmtId="170" fontId="4" fillId="0" borderId="0" xfId="5" applyNumberFormat="1" applyAlignment="1">
      <alignment horizontal="center"/>
    </xf>
    <xf numFmtId="174" fontId="4" fillId="0" borderId="0" xfId="5" applyNumberFormat="1"/>
    <xf numFmtId="167" fontId="4" fillId="0" borderId="0" xfId="5" applyAlignment="1">
      <alignment wrapText="1"/>
    </xf>
    <xf numFmtId="167" fontId="4" fillId="0" borderId="0" xfId="5" applyNumberFormat="1" applyAlignment="1" applyProtection="1">
      <alignment vertical="center"/>
    </xf>
    <xf numFmtId="167" fontId="4" fillId="0" borderId="0" xfId="5" applyNumberFormat="1" applyFont="1" applyAlignment="1" applyProtection="1">
      <alignment horizontal="left" wrapText="1"/>
    </xf>
    <xf numFmtId="167" fontId="4" fillId="0" borderId="0" xfId="5" applyNumberFormat="1" applyAlignment="1" applyProtection="1">
      <alignment horizontal="left" vertical="center"/>
    </xf>
    <xf numFmtId="167" fontId="4" fillId="0" borderId="0" xfId="5" applyNumberFormat="1" applyFont="1" applyAlignment="1" applyProtection="1">
      <alignment vertical="center"/>
    </xf>
    <xf numFmtId="167" fontId="102" fillId="8" borderId="0" xfId="5" applyNumberFormat="1" applyFont="1" applyFill="1" applyProtection="1"/>
    <xf numFmtId="167" fontId="102" fillId="2" borderId="0" xfId="5" applyNumberFormat="1" applyFont="1" applyFill="1" applyProtection="1"/>
    <xf numFmtId="167" fontId="73" fillId="4" borderId="0" xfId="5" applyNumberFormat="1" applyFont="1" applyFill="1" applyAlignment="1" applyProtection="1">
      <alignment vertical="center"/>
    </xf>
    <xf numFmtId="167" fontId="73" fillId="4" borderId="0" xfId="5" applyNumberFormat="1" applyFont="1" applyFill="1" applyAlignment="1" applyProtection="1">
      <alignment horizontal="left"/>
    </xf>
    <xf numFmtId="167" fontId="61" fillId="4" borderId="0" xfId="5" applyNumberFormat="1" applyFont="1" applyFill="1" applyAlignment="1" applyProtection="1">
      <alignment horizontal="left"/>
    </xf>
    <xf numFmtId="167" fontId="88" fillId="0" borderId="0" xfId="5" applyNumberFormat="1" applyFont="1" applyProtection="1"/>
    <xf numFmtId="167" fontId="56" fillId="0" borderId="13" xfId="5" applyNumberFormat="1" applyFont="1" applyBorder="1" applyProtection="1"/>
    <xf numFmtId="167" fontId="4" fillId="0" borderId="14" xfId="5" applyNumberFormat="1" applyBorder="1" applyAlignment="1" applyProtection="1">
      <alignment horizontal="fill"/>
    </xf>
    <xf numFmtId="167" fontId="59" fillId="0" borderId="0" xfId="5" applyNumberFormat="1" applyFont="1" applyAlignment="1" applyProtection="1">
      <alignment horizontal="left"/>
    </xf>
    <xf numFmtId="167" fontId="70" fillId="8" borderId="0" xfId="5" applyNumberFormat="1" applyFont="1" applyFill="1" applyProtection="1"/>
    <xf numFmtId="167" fontId="73" fillId="8" borderId="0" xfId="5" applyNumberFormat="1" applyFont="1" applyFill="1" applyProtection="1"/>
    <xf numFmtId="167" fontId="73" fillId="8" borderId="0" xfId="5" applyFont="1" applyFill="1"/>
    <xf numFmtId="167" fontId="81" fillId="4" borderId="0" xfId="5" applyNumberFormat="1" applyFont="1" applyFill="1" applyProtection="1"/>
    <xf numFmtId="174" fontId="4" fillId="0" borderId="0" xfId="5" applyNumberFormat="1" applyAlignment="1" applyProtection="1">
      <alignment horizontal="center" vertical="top"/>
    </xf>
    <xf numFmtId="167" fontId="68" fillId="0" borderId="0" xfId="5" applyNumberFormat="1" applyFont="1" applyAlignment="1" applyProtection="1">
      <alignment horizontal="right" vertical="center"/>
    </xf>
    <xf numFmtId="2" fontId="99" fillId="0" borderId="2" xfId="67" applyNumberFormat="1" applyFont="1" applyBorder="1" applyAlignment="1">
      <alignment vertical="top" wrapText="1"/>
    </xf>
    <xf numFmtId="167" fontId="4" fillId="0" borderId="0" xfId="5" applyNumberFormat="1" applyFill="1" applyBorder="1" applyAlignment="1" applyProtection="1">
      <alignment horizontal="left"/>
    </xf>
    <xf numFmtId="174" fontId="4" fillId="0" borderId="0" xfId="5" applyNumberFormat="1" applyAlignment="1">
      <alignment horizontal="center" vertical="top" wrapText="1"/>
    </xf>
    <xf numFmtId="167" fontId="56" fillId="0" borderId="0" xfId="5" applyNumberFormat="1" applyFont="1" applyAlignment="1" applyProtection="1">
      <alignment horizontal="left" vertical="top" wrapText="1"/>
    </xf>
    <xf numFmtId="167" fontId="88" fillId="4" borderId="0" xfId="5" applyFont="1" applyFill="1"/>
    <xf numFmtId="167" fontId="68" fillId="0" borderId="0" xfId="5" applyFont="1"/>
    <xf numFmtId="167" fontId="4" fillId="0" borderId="0" xfId="5" applyBorder="1" applyAlignment="1">
      <alignment horizontal="left" vertical="top"/>
    </xf>
    <xf numFmtId="167" fontId="4" fillId="0" borderId="0" xfId="5" applyFont="1" applyBorder="1" applyAlignment="1">
      <alignment horizontal="right" vertical="top"/>
    </xf>
    <xf numFmtId="167" fontId="4" fillId="4" borderId="0" xfId="5" applyFont="1" applyFill="1"/>
    <xf numFmtId="167" fontId="61" fillId="4" borderId="0" xfId="5" applyFont="1" applyFill="1"/>
    <xf numFmtId="167" fontId="56" fillId="0" borderId="0" xfId="5" applyFont="1" applyAlignment="1">
      <alignment horizontal="left" vertical="top" wrapText="1"/>
    </xf>
    <xf numFmtId="167" fontId="56" fillId="8" borderId="0" xfId="5" applyFont="1" applyFill="1" applyAlignment="1">
      <alignment wrapText="1"/>
    </xf>
    <xf numFmtId="173" fontId="60" fillId="0" borderId="0" xfId="5" applyNumberFormat="1" applyFont="1"/>
    <xf numFmtId="167" fontId="56" fillId="0" borderId="0" xfId="5" applyFont="1" applyAlignment="1">
      <alignment horizontal="right" vertical="top"/>
    </xf>
    <xf numFmtId="167" fontId="4" fillId="0" borderId="0" xfId="5" applyFont="1" applyAlignment="1">
      <alignment vertical="top" wrapText="1"/>
    </xf>
    <xf numFmtId="167" fontId="4" fillId="4" borderId="0" xfId="5" quotePrefix="1" applyFill="1"/>
    <xf numFmtId="167" fontId="56" fillId="0" borderId="0" xfId="5" applyFont="1" applyAlignment="1">
      <alignment horizontal="center"/>
    </xf>
    <xf numFmtId="167" fontId="56" fillId="0" borderId="0" xfId="5" applyFont="1" applyAlignment="1">
      <alignment horizontal="left" wrapText="1"/>
    </xf>
    <xf numFmtId="167" fontId="4" fillId="0" borderId="0" xfId="5" applyAlignment="1">
      <alignment horizontal="left" wrapText="1"/>
    </xf>
    <xf numFmtId="167" fontId="70" fillId="2" borderId="0" xfId="5" applyFont="1" applyFill="1"/>
    <xf numFmtId="167" fontId="70" fillId="0" borderId="0" xfId="5" applyNumberFormat="1" applyFont="1" applyAlignment="1" applyProtection="1">
      <alignment horizontal="right"/>
    </xf>
    <xf numFmtId="167" fontId="4" fillId="4" borderId="0" xfId="5" applyFill="1" applyAlignment="1">
      <alignment wrapText="1"/>
    </xf>
    <xf numFmtId="167" fontId="4" fillId="0" borderId="0" xfId="5" quotePrefix="1" applyNumberFormat="1" applyAlignment="1" applyProtection="1">
      <alignment horizontal="fill"/>
    </xf>
    <xf numFmtId="167" fontId="4" fillId="4" borderId="0" xfId="5" applyNumberFormat="1" applyFill="1" applyAlignment="1" applyProtection="1">
      <alignment horizontal="left"/>
    </xf>
    <xf numFmtId="173" fontId="4" fillId="0" borderId="0" xfId="5" applyNumberFormat="1" applyFont="1" applyProtection="1"/>
    <xf numFmtId="167" fontId="4" fillId="0" borderId="0" xfId="5" quotePrefix="1" applyNumberFormat="1" applyFont="1" applyAlignment="1" applyProtection="1">
      <alignment horizontal="fill"/>
    </xf>
    <xf numFmtId="167" fontId="56" fillId="0" borderId="0" xfId="5" quotePrefix="1" applyNumberFormat="1" applyFont="1" applyProtection="1"/>
    <xf numFmtId="167" fontId="4" fillId="0" borderId="0" xfId="5" quotePrefix="1" applyNumberFormat="1" applyFont="1" applyProtection="1"/>
    <xf numFmtId="167" fontId="75" fillId="4" borderId="0" xfId="5" applyFont="1" applyFill="1"/>
    <xf numFmtId="174" fontId="56" fillId="0" borderId="0" xfId="5" applyNumberFormat="1" applyFont="1"/>
    <xf numFmtId="167" fontId="4" fillId="0" borderId="0" xfId="5" applyFont="1" applyAlignment="1">
      <alignment horizontal="fill"/>
    </xf>
    <xf numFmtId="167" fontId="4" fillId="0" borderId="0" xfId="5" quotePrefix="1" applyFont="1" applyAlignment="1">
      <alignment horizontal="fill"/>
    </xf>
    <xf numFmtId="167" fontId="4" fillId="0" borderId="0" xfId="5" applyNumberFormat="1" applyFont="1"/>
    <xf numFmtId="175" fontId="56" fillId="0" borderId="0" xfId="5" applyNumberFormat="1" applyFont="1"/>
    <xf numFmtId="175" fontId="56" fillId="0" borderId="0" xfId="5" applyNumberFormat="1" applyFont="1" applyAlignment="1">
      <alignment horizontal="right"/>
    </xf>
    <xf numFmtId="167" fontId="103" fillId="0" borderId="0" xfId="5" applyFont="1"/>
    <xf numFmtId="167" fontId="104" fillId="0" borderId="0" xfId="5" applyFont="1" applyAlignment="1">
      <alignment horizontal="left" vertical="top"/>
    </xf>
    <xf numFmtId="174" fontId="65" fillId="0" borderId="0" xfId="5" applyNumberFormat="1" applyFont="1" applyAlignment="1" applyProtection="1">
      <alignment horizontal="center"/>
    </xf>
    <xf numFmtId="167" fontId="65" fillId="0" borderId="0" xfId="5" applyFont="1" applyAlignment="1"/>
    <xf numFmtId="167" fontId="65" fillId="0" borderId="0" xfId="5" applyFont="1"/>
    <xf numFmtId="167" fontId="65" fillId="0" borderId="0" xfId="5" applyFont="1" applyAlignment="1">
      <alignment horizontal="left"/>
    </xf>
    <xf numFmtId="167" fontId="65" fillId="0" borderId="0" xfId="5" applyNumberFormat="1" applyFont="1" applyAlignment="1" applyProtection="1">
      <alignment horizontal="fill"/>
    </xf>
    <xf numFmtId="167" fontId="4" fillId="0" borderId="0" xfId="5" applyFont="1" applyAlignment="1">
      <alignment wrapText="1"/>
    </xf>
    <xf numFmtId="167" fontId="82" fillId="3" borderId="0" xfId="5" applyFont="1" applyFill="1"/>
    <xf numFmtId="169" fontId="65" fillId="0" borderId="0" xfId="5" applyNumberFormat="1" applyFont="1" applyProtection="1"/>
    <xf numFmtId="169" fontId="65" fillId="0" borderId="0" xfId="5" applyNumberFormat="1" applyFont="1" applyAlignment="1" applyProtection="1">
      <alignment horizontal="left"/>
    </xf>
    <xf numFmtId="176" fontId="65" fillId="0" borderId="0" xfId="5" applyNumberFormat="1" applyFont="1" applyProtection="1"/>
    <xf numFmtId="167" fontId="65" fillId="0" borderId="0" xfId="5" applyNumberFormat="1" applyFont="1" applyAlignment="1" applyProtection="1"/>
    <xf numFmtId="167" fontId="65" fillId="0" borderId="0" xfId="5" applyNumberFormat="1" applyFont="1" applyProtection="1"/>
    <xf numFmtId="167" fontId="105" fillId="4" borderId="0" xfId="5" applyNumberFormat="1" applyFont="1" applyFill="1" applyProtection="1"/>
    <xf numFmtId="167" fontId="65" fillId="4" borderId="0" xfId="5" applyNumberFormat="1" applyFont="1" applyFill="1" applyAlignment="1" applyProtection="1">
      <alignment horizontal="left"/>
    </xf>
    <xf numFmtId="167" fontId="65" fillId="0" borderId="0" xfId="5" applyNumberFormat="1" applyFont="1" applyAlignment="1" applyProtection="1">
      <alignment horizontal="center"/>
    </xf>
    <xf numFmtId="167" fontId="68" fillId="8" borderId="0" xfId="5" applyFont="1" applyFill="1"/>
    <xf numFmtId="167" fontId="58" fillId="0" borderId="0" xfId="5" applyFont="1"/>
    <xf numFmtId="167" fontId="58" fillId="0" borderId="0" xfId="5" applyFont="1" applyAlignment="1">
      <alignment horizontal="left"/>
    </xf>
    <xf numFmtId="167" fontId="58" fillId="0" borderId="0" xfId="5" applyNumberFormat="1" applyFont="1" applyAlignment="1" applyProtection="1">
      <alignment horizontal="fill"/>
    </xf>
    <xf numFmtId="167" fontId="58" fillId="0" borderId="0" xfId="5" applyNumberFormat="1" applyFont="1" applyAlignment="1" applyProtection="1">
      <alignment horizontal="center"/>
    </xf>
    <xf numFmtId="167" fontId="58" fillId="0" borderId="0" xfId="5" applyNumberFormat="1" applyFont="1" applyProtection="1"/>
    <xf numFmtId="2" fontId="4" fillId="0" borderId="0" xfId="5" applyNumberFormat="1"/>
    <xf numFmtId="167" fontId="20" fillId="0" borderId="0" xfId="5" applyFont="1" applyAlignment="1">
      <alignment horizontal="right"/>
    </xf>
    <xf numFmtId="2" fontId="56" fillId="0" borderId="0" xfId="5" applyNumberFormat="1" applyFont="1"/>
    <xf numFmtId="167" fontId="97" fillId="0" borderId="0" xfId="5" applyFont="1"/>
    <xf numFmtId="167" fontId="97" fillId="0" borderId="0" xfId="5" applyFont="1" applyAlignment="1"/>
    <xf numFmtId="167" fontId="104" fillId="0" borderId="4" xfId="5" applyFont="1" applyBorder="1"/>
    <xf numFmtId="167" fontId="97" fillId="0" borderId="0" xfId="5" applyFont="1" applyAlignment="1">
      <alignment horizontal="center"/>
    </xf>
    <xf numFmtId="167" fontId="97" fillId="0" borderId="0" xfId="5" applyFont="1" applyAlignment="1">
      <alignment horizontal="right"/>
    </xf>
    <xf numFmtId="167" fontId="104" fillId="0" borderId="0" xfId="5" applyFont="1" applyAlignment="1">
      <alignment horizontal="right"/>
    </xf>
    <xf numFmtId="167" fontId="104" fillId="0" borderId="0" xfId="5" applyFont="1"/>
    <xf numFmtId="167" fontId="97" fillId="0" borderId="0" xfId="5" applyNumberFormat="1" applyFont="1" applyAlignment="1" applyProtection="1"/>
    <xf numFmtId="167" fontId="97" fillId="0" borderId="0" xfId="5" applyNumberFormat="1" applyFont="1" applyAlignment="1" applyProtection="1">
      <alignment horizontal="fill"/>
    </xf>
    <xf numFmtId="167" fontId="97" fillId="4" borderId="0" xfId="5" applyNumberFormat="1" applyFont="1" applyFill="1" applyAlignment="1" applyProtection="1">
      <alignment horizontal="left"/>
    </xf>
    <xf numFmtId="167" fontId="104" fillId="0" borderId="0" xfId="5" applyFont="1" applyAlignment="1">
      <alignment horizontal="center"/>
    </xf>
    <xf numFmtId="167" fontId="104" fillId="0" borderId="0" xfId="5" applyNumberFormat="1" applyFont="1" applyAlignment="1" applyProtection="1">
      <alignment horizontal="right"/>
    </xf>
    <xf numFmtId="167" fontId="97" fillId="0" borderId="0" xfId="5" applyNumberFormat="1" applyFont="1" applyAlignment="1" applyProtection="1">
      <alignment horizontal="right"/>
    </xf>
    <xf numFmtId="167" fontId="104" fillId="0" borderId="0" xfId="5" applyNumberFormat="1" applyFont="1" applyAlignment="1" applyProtection="1">
      <alignment horizontal="fill"/>
    </xf>
    <xf numFmtId="167" fontId="104" fillId="0" borderId="0" xfId="5" applyNumberFormat="1" applyFont="1" applyAlignment="1" applyProtection="1">
      <alignment horizontal="left"/>
    </xf>
    <xf numFmtId="167" fontId="104" fillId="0" borderId="0" xfId="5" applyNumberFormat="1" applyFont="1" applyProtection="1"/>
    <xf numFmtId="174" fontId="97" fillId="0" borderId="0" xfId="5" applyNumberFormat="1" applyFont="1" applyAlignment="1" applyProtection="1">
      <alignment horizontal="center"/>
    </xf>
    <xf numFmtId="167" fontId="97" fillId="0" borderId="0" xfId="5" applyNumberFormat="1" applyFont="1" applyAlignment="1" applyProtection="1">
      <alignment horizontal="left" wrapText="1"/>
    </xf>
    <xf numFmtId="170" fontId="97" fillId="0" borderId="0" xfId="5" applyNumberFormat="1" applyFont="1" applyAlignment="1">
      <alignment horizontal="center"/>
    </xf>
    <xf numFmtId="173" fontId="97" fillId="0" borderId="0" xfId="5" applyNumberFormat="1" applyFont="1"/>
    <xf numFmtId="173" fontId="97" fillId="0" borderId="0" xfId="5" applyNumberFormat="1" applyFont="1" applyAlignment="1" applyProtection="1">
      <alignment horizontal="center"/>
    </xf>
    <xf numFmtId="167" fontId="97" fillId="0" borderId="7" xfId="5" applyFont="1" applyBorder="1"/>
    <xf numFmtId="167" fontId="97" fillId="0" borderId="3" xfId="5" applyFont="1" applyBorder="1"/>
    <xf numFmtId="174" fontId="97" fillId="0" borderId="5" xfId="5" applyNumberFormat="1" applyFont="1" applyBorder="1" applyAlignment="1" applyProtection="1">
      <alignment horizontal="center"/>
    </xf>
    <xf numFmtId="167" fontId="104" fillId="0" borderId="0" xfId="5" applyFont="1" applyBorder="1" applyAlignment="1"/>
    <xf numFmtId="167" fontId="97" fillId="0" borderId="0" xfId="5" applyFont="1" applyBorder="1"/>
    <xf numFmtId="167" fontId="97" fillId="0" borderId="0" xfId="5" applyFont="1" applyBorder="1" applyAlignment="1">
      <alignment horizontal="center"/>
    </xf>
    <xf numFmtId="167" fontId="97" fillId="0" borderId="5" xfId="5" applyFont="1" applyBorder="1"/>
    <xf numFmtId="167" fontId="97" fillId="0" borderId="0" xfId="5" applyFont="1" applyBorder="1" applyAlignment="1"/>
    <xf numFmtId="167" fontId="106" fillId="2" borderId="0" xfId="5" applyFont="1" applyFill="1" applyBorder="1"/>
    <xf numFmtId="167" fontId="106" fillId="10" borderId="0" xfId="5" applyFont="1" applyFill="1" applyBorder="1"/>
    <xf numFmtId="167" fontId="97" fillId="0" borderId="0" xfId="5" applyFont="1" applyBorder="1" applyAlignment="1">
      <alignment horizontal="right"/>
    </xf>
    <xf numFmtId="169" fontId="97" fillId="0" borderId="0" xfId="5" applyNumberFormat="1" applyFont="1" applyProtection="1"/>
    <xf numFmtId="167" fontId="52" fillId="0" borderId="0" xfId="5" applyFont="1" applyBorder="1" applyAlignment="1">
      <alignment horizontal="fill"/>
    </xf>
    <xf numFmtId="169" fontId="4" fillId="0" borderId="0" xfId="5" applyNumberFormat="1"/>
    <xf numFmtId="167" fontId="104" fillId="0" borderId="0" xfId="5" applyFont="1" applyBorder="1"/>
    <xf numFmtId="169" fontId="97" fillId="0" borderId="0" xfId="5" applyNumberFormat="1" applyFont="1" applyAlignment="1" applyProtection="1">
      <alignment horizontal="center"/>
    </xf>
    <xf numFmtId="167" fontId="97" fillId="0" borderId="12" xfId="5" applyFont="1" applyBorder="1"/>
    <xf numFmtId="167" fontId="97" fillId="0" borderId="4" xfId="5" applyFont="1" applyBorder="1" applyAlignment="1"/>
    <xf numFmtId="167" fontId="97" fillId="0" borderId="4" xfId="5" applyFont="1" applyBorder="1"/>
    <xf numFmtId="167" fontId="97" fillId="0" borderId="4" xfId="5" applyFont="1" applyBorder="1" applyAlignment="1">
      <alignment horizontal="center"/>
    </xf>
    <xf numFmtId="167" fontId="52" fillId="0" borderId="4" xfId="5" applyFont="1" applyBorder="1" applyAlignment="1">
      <alignment horizontal="fill"/>
    </xf>
    <xf numFmtId="173" fontId="97" fillId="0" borderId="0" xfId="5" applyNumberFormat="1" applyFont="1" applyProtection="1"/>
    <xf numFmtId="173" fontId="97" fillId="0" borderId="0" xfId="5" applyNumberFormat="1" applyFont="1" applyAlignment="1"/>
    <xf numFmtId="177" fontId="56" fillId="0" borderId="0" xfId="5" applyNumberFormat="1" applyFont="1"/>
    <xf numFmtId="169" fontId="56" fillId="0" borderId="0" xfId="5" applyNumberFormat="1" applyFont="1"/>
    <xf numFmtId="167" fontId="56" fillId="0" borderId="0" xfId="5" quotePrefix="1" applyFont="1"/>
    <xf numFmtId="176" fontId="97" fillId="0" borderId="0" xfId="5" applyNumberFormat="1" applyFont="1"/>
    <xf numFmtId="175" fontId="97" fillId="0" borderId="0" xfId="5" applyNumberFormat="1" applyFont="1" applyProtection="1"/>
    <xf numFmtId="167" fontId="97" fillId="4" borderId="0" xfId="5" applyNumberFormat="1" applyFont="1" applyFill="1" applyProtection="1"/>
    <xf numFmtId="167" fontId="107" fillId="0" borderId="0" xfId="5" applyFont="1"/>
    <xf numFmtId="167" fontId="108" fillId="4" borderId="0" xfId="5" applyFont="1" applyFill="1"/>
    <xf numFmtId="167" fontId="109" fillId="0" borderId="0" xfId="5" applyNumberFormat="1" applyFont="1" applyProtection="1"/>
    <xf numFmtId="167" fontId="97" fillId="0" borderId="0" xfId="5" applyFont="1" applyAlignment="1">
      <alignment horizontal="left"/>
    </xf>
    <xf numFmtId="169" fontId="97" fillId="0" borderId="0" xfId="5" applyNumberFormat="1" applyFont="1" applyAlignment="1" applyProtection="1">
      <alignment horizontal="left"/>
    </xf>
    <xf numFmtId="175" fontId="97" fillId="0" borderId="0" xfId="5" applyNumberFormat="1" applyFont="1"/>
    <xf numFmtId="169" fontId="97" fillId="0" borderId="0" xfId="5" applyNumberFormat="1" applyFont="1"/>
    <xf numFmtId="176" fontId="97" fillId="0" borderId="0" xfId="5" applyNumberFormat="1" applyFont="1" applyProtection="1"/>
    <xf numFmtId="167" fontId="97" fillId="4" borderId="0" xfId="5" applyNumberFormat="1" applyFont="1" applyFill="1" applyAlignment="1" applyProtection="1">
      <alignment horizontal="left" wrapText="1"/>
    </xf>
    <xf numFmtId="167" fontId="106" fillId="2" borderId="0" xfId="5" applyNumberFormat="1" applyFont="1" applyFill="1" applyProtection="1"/>
    <xf numFmtId="167" fontId="104" fillId="0" borderId="0" xfId="5" applyFont="1" applyAlignment="1">
      <alignment horizontal="left"/>
    </xf>
    <xf numFmtId="167" fontId="104" fillId="0" borderId="0" xfId="5" applyNumberFormat="1" applyFont="1" applyAlignment="1" applyProtection="1">
      <alignment horizontal="center"/>
    </xf>
    <xf numFmtId="167" fontId="106" fillId="4" borderId="0" xfId="5" applyFont="1" applyFill="1"/>
    <xf numFmtId="167" fontId="104" fillId="0" borderId="0" xfId="5" applyFont="1" applyAlignment="1">
      <alignment vertical="top" wrapText="1"/>
    </xf>
    <xf numFmtId="167" fontId="97" fillId="0" borderId="0" xfId="5" applyFont="1" applyAlignment="1">
      <alignment vertical="top" wrapText="1"/>
    </xf>
    <xf numFmtId="167" fontId="108" fillId="8" borderId="0" xfId="5" applyFont="1" applyFill="1"/>
    <xf numFmtId="167" fontId="108" fillId="0" borderId="0" xfId="5" applyFont="1"/>
    <xf numFmtId="175" fontId="97" fillId="0" borderId="0" xfId="5" applyNumberFormat="1" applyFont="1" applyBorder="1" applyAlignment="1"/>
    <xf numFmtId="175" fontId="97" fillId="0" borderId="0" xfId="5" applyNumberFormat="1" applyFont="1" applyBorder="1"/>
    <xf numFmtId="167" fontId="97" fillId="0" borderId="0" xfId="5" applyFont="1" applyFill="1" applyBorder="1"/>
    <xf numFmtId="167" fontId="97" fillId="0" borderId="0" xfId="5" applyFont="1" applyFill="1" applyBorder="1" applyAlignment="1"/>
    <xf numFmtId="167" fontId="111" fillId="0" borderId="0" xfId="5" applyNumberFormat="1" applyFont="1" applyAlignment="1" applyProtection="1">
      <alignment horizontal="left"/>
    </xf>
    <xf numFmtId="167" fontId="69" fillId="0" borderId="0" xfId="5" applyFont="1" applyAlignment="1"/>
    <xf numFmtId="167" fontId="69" fillId="0" borderId="0" xfId="5" applyNumberFormat="1" applyFont="1" applyAlignment="1" applyProtection="1">
      <alignment horizontal="left"/>
    </xf>
    <xf numFmtId="169" fontId="69" fillId="0" borderId="0" xfId="5" applyNumberFormat="1" applyFont="1"/>
    <xf numFmtId="167" fontId="69" fillId="0" borderId="0" xfId="5" applyFont="1" applyAlignment="1">
      <alignment horizontal="left"/>
    </xf>
    <xf numFmtId="167" fontId="69" fillId="0" borderId="0" xfId="5" applyFont="1"/>
    <xf numFmtId="167" fontId="112" fillId="4" borderId="0" xfId="5" applyNumberFormat="1" applyFont="1" applyFill="1" applyProtection="1"/>
    <xf numFmtId="169" fontId="69" fillId="0" borderId="0" xfId="5" applyNumberFormat="1" applyFont="1" applyAlignment="1" applyProtection="1">
      <alignment horizontal="left"/>
    </xf>
    <xf numFmtId="167" fontId="113" fillId="0" borderId="0" xfId="5" applyNumberFormat="1" applyFont="1" applyProtection="1"/>
    <xf numFmtId="167" fontId="114" fillId="0" borderId="0" xfId="5" applyFont="1"/>
    <xf numFmtId="167" fontId="65" fillId="0" borderId="0" xfId="5" applyNumberFormat="1" applyFont="1" applyAlignment="1" applyProtection="1">
      <alignment horizontal="right"/>
    </xf>
    <xf numFmtId="167" fontId="115" fillId="0" borderId="0" xfId="5" applyFont="1"/>
    <xf numFmtId="167" fontId="116" fillId="0" borderId="0" xfId="5" applyFont="1"/>
    <xf numFmtId="167" fontId="73" fillId="4" borderId="0" xfId="5" applyFont="1" applyFill="1"/>
    <xf numFmtId="173" fontId="4" fillId="0" borderId="0" xfId="5" applyNumberFormat="1" applyAlignment="1"/>
    <xf numFmtId="167" fontId="51" fillId="0" borderId="0" xfId="5" applyNumberFormat="1" applyFont="1" applyAlignment="1" applyProtection="1">
      <alignment horizontal="left"/>
    </xf>
    <xf numFmtId="173" fontId="104" fillId="0" borderId="0" xfId="5" applyNumberFormat="1" applyFont="1" applyAlignment="1">
      <alignment horizontal="right"/>
    </xf>
    <xf numFmtId="175" fontId="104" fillId="0" borderId="0" xfId="5" applyNumberFormat="1" applyFont="1" applyAlignment="1">
      <alignment horizontal="right"/>
    </xf>
    <xf numFmtId="167" fontId="4" fillId="0" borderId="0" xfId="5" applyFont="1" applyAlignment="1">
      <alignment horizontal="right"/>
    </xf>
    <xf numFmtId="169" fontId="97" fillId="0" borderId="0" xfId="5" applyNumberFormat="1" applyFont="1" applyAlignment="1">
      <alignment horizontal="right"/>
    </xf>
    <xf numFmtId="169" fontId="104" fillId="0" borderId="0" xfId="5" applyNumberFormat="1" applyFont="1" applyAlignment="1" applyProtection="1">
      <alignment horizontal="right"/>
    </xf>
    <xf numFmtId="175" fontId="4" fillId="0" borderId="0" xfId="5" applyNumberFormat="1" applyAlignment="1">
      <alignment horizontal="right"/>
    </xf>
    <xf numFmtId="175" fontId="97" fillId="0" borderId="0" xfId="5" applyNumberFormat="1" applyFont="1" applyAlignment="1" applyProtection="1">
      <alignment horizontal="right"/>
    </xf>
    <xf numFmtId="175" fontId="104" fillId="0" borderId="0" xfId="5" applyNumberFormat="1" applyFont="1" applyAlignment="1" applyProtection="1">
      <alignment horizontal="right"/>
    </xf>
    <xf numFmtId="167" fontId="97" fillId="3" borderId="0" xfId="5" applyNumberFormat="1" applyFont="1" applyFill="1" applyAlignment="1" applyProtection="1">
      <alignment horizontal="left"/>
    </xf>
    <xf numFmtId="167" fontId="117" fillId="0" borderId="0" xfId="5" applyNumberFormat="1" applyFont="1" applyProtection="1"/>
    <xf numFmtId="167" fontId="97" fillId="0" borderId="0" xfId="5" quotePrefix="1" applyNumberFormat="1" applyFont="1" applyAlignment="1" applyProtection="1">
      <alignment horizontal="left"/>
    </xf>
    <xf numFmtId="167" fontId="97" fillId="8" borderId="0" xfId="5" applyNumberFormat="1" applyFont="1" applyFill="1" applyAlignment="1" applyProtection="1">
      <alignment horizontal="left"/>
    </xf>
    <xf numFmtId="176" fontId="97" fillId="0" borderId="0" xfId="5" applyNumberFormat="1" applyFont="1" applyAlignment="1">
      <alignment horizontal="right"/>
    </xf>
    <xf numFmtId="173" fontId="56" fillId="0" borderId="0" xfId="5" applyNumberFormat="1" applyFont="1"/>
    <xf numFmtId="167" fontId="4" fillId="4" borderId="0" xfId="5" applyNumberFormat="1" applyFill="1" applyAlignment="1" applyProtection="1">
      <alignment horizontal="left" wrapText="1"/>
    </xf>
    <xf numFmtId="167" fontId="108" fillId="0" borderId="0" xfId="5" applyNumberFormat="1" applyFont="1" applyProtection="1"/>
    <xf numFmtId="167" fontId="87" fillId="4" borderId="0" xfId="5" applyFont="1" applyFill="1"/>
    <xf numFmtId="167" fontId="56" fillId="4" borderId="0" xfId="5" applyFont="1" applyFill="1"/>
    <xf numFmtId="167" fontId="63" fillId="0" borderId="0" xfId="5" applyFont="1"/>
    <xf numFmtId="167" fontId="106" fillId="4" borderId="0" xfId="5" applyNumberFormat="1" applyFont="1" applyFill="1" applyProtection="1"/>
    <xf numFmtId="173" fontId="97" fillId="0" borderId="0" xfId="5" applyNumberFormat="1" applyFont="1" applyAlignment="1" applyProtection="1">
      <alignment horizontal="right"/>
    </xf>
    <xf numFmtId="167" fontId="118" fillId="8" borderId="0" xfId="5" applyNumberFormat="1" applyFont="1" applyFill="1" applyAlignment="1" applyProtection="1">
      <alignment horizontal="right"/>
    </xf>
    <xf numFmtId="167" fontId="118" fillId="0" borderId="0" xfId="5" applyNumberFormat="1" applyFont="1" applyAlignment="1" applyProtection="1">
      <alignment horizontal="right"/>
    </xf>
    <xf numFmtId="170" fontId="56" fillId="0" borderId="0" xfId="5" applyNumberFormat="1" applyFont="1" applyAlignment="1">
      <alignment vertical="center"/>
    </xf>
    <xf numFmtId="2" fontId="99" fillId="0" borderId="0" xfId="67" applyNumberFormat="1" applyFont="1" applyBorder="1" applyAlignment="1">
      <alignment vertical="top" wrapText="1"/>
    </xf>
    <xf numFmtId="167" fontId="81" fillId="11" borderId="0" xfId="5" applyFont="1" applyFill="1"/>
    <xf numFmtId="167" fontId="4" fillId="0" borderId="0" xfId="5" applyAlignment="1">
      <alignment horizontal="fill"/>
    </xf>
    <xf numFmtId="167" fontId="52" fillId="0" borderId="0" xfId="5" applyFont="1"/>
    <xf numFmtId="167" fontId="52" fillId="0" borderId="0" xfId="5" applyFont="1" applyAlignment="1"/>
    <xf numFmtId="167" fontId="52" fillId="0" borderId="0" xfId="5" applyFont="1" applyAlignment="1">
      <alignment horizontal="left"/>
    </xf>
    <xf numFmtId="167" fontId="99" fillId="0" borderId="0" xfId="5" applyFont="1"/>
    <xf numFmtId="167" fontId="121" fillId="0" borderId="0" xfId="5" applyFont="1"/>
    <xf numFmtId="167" fontId="51" fillId="0" borderId="0" xfId="5" applyFont="1"/>
    <xf numFmtId="167" fontId="122" fillId="0" borderId="0" xfId="5" applyFont="1"/>
    <xf numFmtId="173" fontId="52" fillId="0" borderId="0" xfId="5" applyNumberFormat="1" applyFont="1"/>
    <xf numFmtId="173" fontId="121" fillId="0" borderId="0" xfId="5" applyNumberFormat="1" applyFont="1"/>
    <xf numFmtId="167" fontId="121" fillId="0" borderId="0" xfId="5" applyFont="1" applyAlignment="1"/>
    <xf numFmtId="167" fontId="61" fillId="0" borderId="0" xfId="5" applyNumberFormat="1" applyFont="1" applyAlignment="1" applyProtection="1">
      <alignment vertical="center"/>
    </xf>
    <xf numFmtId="167" fontId="123" fillId="4" borderId="0" xfId="5" applyNumberFormat="1" applyFont="1" applyFill="1" applyProtection="1"/>
    <xf numFmtId="167" fontId="73" fillId="0" borderId="0" xfId="5" applyNumberFormat="1" applyFont="1" applyAlignment="1" applyProtection="1">
      <alignment vertical="center"/>
    </xf>
    <xf numFmtId="167" fontId="124" fillId="0" borderId="0" xfId="5" applyFont="1"/>
    <xf numFmtId="167" fontId="100" fillId="0" borderId="0" xfId="5" applyNumberFormat="1" applyFont="1" applyAlignment="1"/>
    <xf numFmtId="167" fontId="100" fillId="0" borderId="0" xfId="5" applyNumberFormat="1" applyFont="1" applyAlignment="1">
      <alignment horizontal="center"/>
    </xf>
    <xf numFmtId="167" fontId="99" fillId="0" borderId="0" xfId="5" applyNumberFormat="1" applyFont="1" applyAlignment="1" applyProtection="1">
      <alignment horizontal="left" wrapText="1"/>
    </xf>
    <xf numFmtId="175" fontId="99" fillId="0" borderId="0" xfId="5" applyNumberFormat="1" applyFont="1" applyAlignment="1" applyProtection="1">
      <alignment horizontal="right"/>
    </xf>
    <xf numFmtId="167" fontId="56" fillId="0" borderId="0" xfId="5" applyNumberFormat="1" applyFont="1" applyAlignment="1" applyProtection="1">
      <alignment horizontal="center" wrapText="1"/>
    </xf>
    <xf numFmtId="167" fontId="52" fillId="0" borderId="0" xfId="5" applyNumberFormat="1" applyFont="1"/>
    <xf numFmtId="167" fontId="52" fillId="0" borderId="0" xfId="5" applyNumberFormat="1" applyFont="1" applyAlignment="1"/>
    <xf numFmtId="167" fontId="52" fillId="0" borderId="0" xfId="5" applyNumberFormat="1" applyFont="1" applyProtection="1"/>
    <xf numFmtId="167" fontId="52" fillId="0" borderId="0" xfId="5" applyNumberFormat="1" applyFont="1" applyAlignment="1">
      <alignment horizontal="left"/>
    </xf>
    <xf numFmtId="0" fontId="4" fillId="0" borderId="0" xfId="5" applyNumberFormat="1"/>
    <xf numFmtId="175" fontId="125" fillId="2" borderId="0" xfId="5" applyNumberFormat="1" applyFont="1" applyFill="1" applyProtection="1"/>
    <xf numFmtId="167" fontId="56" fillId="0" borderId="0" xfId="5" applyNumberFormat="1" applyFont="1"/>
    <xf numFmtId="167" fontId="56" fillId="0" borderId="0" xfId="5" applyNumberFormat="1" applyFont="1" applyAlignment="1"/>
    <xf numFmtId="167" fontId="56" fillId="0" borderId="0" xfId="5" applyNumberFormat="1" applyFont="1" applyAlignment="1">
      <alignment horizontal="left"/>
    </xf>
    <xf numFmtId="0" fontId="126" fillId="10" borderId="0" xfId="5" applyNumberFormat="1" applyFont="1" applyFill="1" applyBorder="1" applyAlignment="1">
      <alignment vertical="top" wrapText="1"/>
    </xf>
    <xf numFmtId="0" fontId="19" fillId="0" borderId="0" xfId="5" applyNumberFormat="1" applyFont="1"/>
    <xf numFmtId="167" fontId="107" fillId="0" borderId="0" xfId="5" applyNumberFormat="1" applyFont="1" applyAlignment="1"/>
    <xf numFmtId="167" fontId="107" fillId="0" borderId="0" xfId="5" applyNumberFormat="1" applyFont="1"/>
    <xf numFmtId="167" fontId="107" fillId="0" borderId="0" xfId="5" applyNumberFormat="1" applyFont="1" applyAlignment="1" applyProtection="1">
      <alignment horizontal="left"/>
    </xf>
    <xf numFmtId="2" fontId="19" fillId="0" borderId="0" xfId="5" applyNumberFormat="1" applyFont="1"/>
    <xf numFmtId="0" fontId="4" fillId="0" borderId="0" xfId="5" applyNumberFormat="1" applyBorder="1"/>
    <xf numFmtId="0" fontId="19" fillId="0" borderId="0" xfId="5" applyNumberFormat="1" applyFont="1" applyBorder="1"/>
    <xf numFmtId="167" fontId="107" fillId="0" borderId="0" xfId="5" applyNumberFormat="1" applyFont="1" applyBorder="1"/>
    <xf numFmtId="167" fontId="107" fillId="0" borderId="0" xfId="5" applyNumberFormat="1" applyFont="1" applyBorder="1" applyAlignment="1" applyProtection="1">
      <alignment horizontal="left"/>
    </xf>
    <xf numFmtId="167" fontId="117" fillId="0" borderId="0" xfId="5" applyNumberFormat="1" applyFont="1" applyBorder="1"/>
    <xf numFmtId="167" fontId="107" fillId="0" borderId="0" xfId="5" applyNumberFormat="1" applyFont="1" applyBorder="1" applyAlignment="1"/>
    <xf numFmtId="0" fontId="4" fillId="0" borderId="0" xfId="5" applyNumberFormat="1" applyBorder="1" applyAlignment="1">
      <alignment wrapText="1"/>
    </xf>
    <xf numFmtId="0" fontId="19" fillId="0" borderId="0" xfId="5" applyNumberFormat="1" applyFont="1" applyBorder="1" applyAlignment="1">
      <alignment horizontal="right"/>
    </xf>
    <xf numFmtId="167" fontId="128" fillId="0" borderId="0" xfId="5" applyNumberFormat="1" applyFont="1" applyBorder="1"/>
    <xf numFmtId="0" fontId="12" fillId="0" borderId="0" xfId="5" applyNumberFormat="1" applyFont="1"/>
    <xf numFmtId="167" fontId="128" fillId="0" borderId="0" xfId="5" applyNumberFormat="1" applyFont="1" applyAlignment="1" applyProtection="1">
      <alignment horizontal="left"/>
    </xf>
    <xf numFmtId="167" fontId="107" fillId="0" borderId="0" xfId="5" applyNumberFormat="1" applyFont="1" applyAlignment="1">
      <alignment horizontal="left"/>
    </xf>
    <xf numFmtId="167" fontId="129" fillId="0" borderId="0" xfId="5" applyNumberFormat="1" applyFont="1" applyAlignment="1"/>
    <xf numFmtId="167" fontId="130" fillId="0" borderId="0" xfId="5" applyNumberFormat="1" applyFont="1" applyAlignment="1"/>
    <xf numFmtId="167" fontId="61" fillId="0" borderId="0" xfId="5" applyFont="1" applyAlignment="1">
      <alignment wrapText="1"/>
    </xf>
    <xf numFmtId="167" fontId="117" fillId="0" borderId="0" xfId="5" applyNumberFormat="1" applyFont="1"/>
    <xf numFmtId="173" fontId="107" fillId="0" borderId="0" xfId="5" applyNumberFormat="1" applyFont="1"/>
    <xf numFmtId="167" fontId="107" fillId="0" borderId="0" xfId="5" applyNumberFormat="1" applyFont="1" applyAlignment="1">
      <alignment horizontal="right"/>
    </xf>
    <xf numFmtId="167" fontId="128" fillId="0" borderId="0" xfId="5" applyNumberFormat="1" applyFont="1"/>
    <xf numFmtId="167" fontId="19" fillId="0" borderId="0" xfId="5" applyNumberFormat="1" applyFont="1"/>
    <xf numFmtId="167" fontId="19" fillId="0" borderId="0" xfId="5" applyNumberFormat="1" applyFont="1" applyAlignment="1">
      <alignment horizontal="left"/>
    </xf>
    <xf numFmtId="167" fontId="4" fillId="0" borderId="0" xfId="5" applyNumberFormat="1" applyAlignment="1"/>
    <xf numFmtId="167" fontId="4" fillId="0" borderId="0" xfId="5" applyNumberFormat="1" applyAlignment="1">
      <alignment horizontal="left"/>
    </xf>
    <xf numFmtId="167" fontId="19" fillId="0" borderId="0" xfId="5" applyNumberFormat="1" applyFont="1" applyAlignment="1" applyProtection="1">
      <alignment horizontal="left"/>
    </xf>
    <xf numFmtId="167" fontId="4" fillId="0" borderId="0" xfId="5" applyNumberFormat="1" applyBorder="1" applyAlignment="1">
      <alignment horizontal="left"/>
    </xf>
    <xf numFmtId="167" fontId="4" fillId="0" borderId="0" xfId="5" applyNumberFormat="1" applyBorder="1" applyAlignment="1">
      <alignment horizontal="left" vertical="top"/>
    </xf>
    <xf numFmtId="167" fontId="56" fillId="0" borderId="0" xfId="5" applyNumberFormat="1" applyFont="1" applyAlignment="1">
      <alignment horizontal="right"/>
    </xf>
    <xf numFmtId="0" fontId="19" fillId="0" borderId="0" xfId="5" applyNumberFormat="1" applyFont="1" applyAlignment="1">
      <alignment horizontal="center"/>
    </xf>
    <xf numFmtId="167" fontId="125" fillId="2" borderId="0" xfId="5" applyNumberFormat="1" applyFont="1" applyFill="1" applyAlignment="1" applyProtection="1"/>
    <xf numFmtId="167" fontId="125" fillId="2" borderId="0" xfId="5" applyNumberFormat="1" applyFont="1" applyFill="1" applyAlignment="1" applyProtection="1">
      <alignment horizontal="left"/>
    </xf>
    <xf numFmtId="167" fontId="131" fillId="2" borderId="0" xfId="5" applyNumberFormat="1" applyFont="1" applyFill="1" applyAlignment="1"/>
    <xf numFmtId="167" fontId="131" fillId="2" borderId="0" xfId="5" applyNumberFormat="1" applyFont="1" applyFill="1"/>
    <xf numFmtId="167" fontId="125" fillId="2" borderId="0" xfId="5" applyNumberFormat="1" applyFont="1" applyFill="1"/>
    <xf numFmtId="167" fontId="125" fillId="2" borderId="0" xfId="5" applyNumberFormat="1" applyFont="1" applyFill="1" applyAlignment="1" applyProtection="1">
      <alignment horizontal="right"/>
    </xf>
    <xf numFmtId="167" fontId="4" fillId="8" borderId="0" xfId="5" applyFont="1" applyFill="1"/>
    <xf numFmtId="167" fontId="102" fillId="0" borderId="0" xfId="5" applyFont="1"/>
    <xf numFmtId="167" fontId="97" fillId="0" borderId="0" xfId="5" applyNumberFormat="1" applyFont="1"/>
    <xf numFmtId="167" fontId="97" fillId="0" borderId="0" xfId="5" applyNumberFormat="1" applyFont="1" applyAlignment="1"/>
    <xf numFmtId="167" fontId="97" fillId="0" borderId="0" xfId="5" applyNumberFormat="1" applyFont="1" applyAlignment="1">
      <alignment horizontal="center"/>
    </xf>
    <xf numFmtId="167" fontId="97" fillId="0" borderId="0" xfId="5" applyNumberFormat="1" applyFont="1" applyAlignment="1">
      <alignment horizontal="right"/>
    </xf>
    <xf numFmtId="175" fontId="19" fillId="0" borderId="0" xfId="5" applyNumberFormat="1" applyFont="1" applyAlignment="1">
      <alignment vertical="top"/>
    </xf>
    <xf numFmtId="175" fontId="132" fillId="0" borderId="0" xfId="5" applyNumberFormat="1" applyFont="1" applyAlignment="1">
      <alignment horizontal="right"/>
    </xf>
    <xf numFmtId="175" fontId="97" fillId="0" borderId="0" xfId="5" applyNumberFormat="1" applyFont="1" applyAlignment="1">
      <alignment horizontal="center"/>
    </xf>
    <xf numFmtId="167" fontId="104" fillId="0" borderId="0" xfId="5" applyNumberFormat="1" applyFont="1" applyAlignment="1">
      <alignment vertical="top"/>
    </xf>
    <xf numFmtId="167" fontId="9" fillId="0" borderId="1" xfId="3" applyNumberFormat="1" applyFont="1" applyFill="1" applyBorder="1" applyAlignment="1" applyProtection="1">
      <alignment horizontal="center" vertical="center" wrapText="1"/>
    </xf>
    <xf numFmtId="2" fontId="9" fillId="0" borderId="1" xfId="1" applyNumberFormat="1" applyFont="1" applyFill="1" applyBorder="1" applyAlignment="1">
      <alignment horizontal="center" vertical="center" wrapText="1"/>
    </xf>
    <xf numFmtId="0" fontId="11" fillId="0" borderId="1" xfId="5" applyNumberFormat="1" applyFont="1" applyFill="1" applyBorder="1" applyAlignment="1">
      <alignment horizontal="center" vertical="center" wrapText="1"/>
    </xf>
    <xf numFmtId="2" fontId="9" fillId="0" borderId="1" xfId="5" applyNumberFormat="1" applyFont="1" applyFill="1" applyBorder="1" applyAlignment="1">
      <alignment horizontal="center" vertical="center" wrapText="1"/>
    </xf>
    <xf numFmtId="168" fontId="11" fillId="0" borderId="1" xfId="1" applyNumberFormat="1" applyFont="1" applyFill="1" applyBorder="1" applyAlignment="1">
      <alignment horizontal="center" vertical="center"/>
    </xf>
    <xf numFmtId="171" fontId="9" fillId="0" borderId="1" xfId="1" applyNumberFormat="1" applyFont="1" applyFill="1" applyBorder="1" applyAlignment="1">
      <alignment horizontal="center" vertical="center"/>
    </xf>
    <xf numFmtId="168" fontId="12" fillId="0" borderId="1" xfId="1" applyNumberFormat="1" applyFont="1" applyFill="1" applyBorder="1" applyAlignment="1">
      <alignment horizontal="center" vertical="center"/>
    </xf>
    <xf numFmtId="2" fontId="18" fillId="0" borderId="1" xfId="1" applyNumberFormat="1" applyFont="1" applyFill="1" applyBorder="1" applyAlignment="1">
      <alignment horizontal="center" vertical="center"/>
    </xf>
    <xf numFmtId="167" fontId="37" fillId="0" borderId="2" xfId="67" applyNumberFormat="1" applyFont="1" applyFill="1" applyBorder="1" applyAlignment="1">
      <alignment horizontal="center" vertical="center" wrapText="1"/>
    </xf>
    <xf numFmtId="167" fontId="35" fillId="0" borderId="2" xfId="67" applyNumberFormat="1" applyFont="1" applyFill="1" applyBorder="1" applyAlignment="1">
      <alignment horizontal="center" vertical="center" wrapText="1"/>
    </xf>
    <xf numFmtId="167" fontId="37" fillId="0" borderId="10" xfId="67" applyNumberFormat="1" applyFont="1" applyFill="1" applyBorder="1" applyAlignment="1">
      <alignment horizontal="center" vertical="center" wrapText="1"/>
    </xf>
    <xf numFmtId="167" fontId="35" fillId="3" borderId="2" xfId="67" applyNumberFormat="1" applyFont="1" applyFill="1" applyBorder="1" applyAlignment="1">
      <alignment horizontal="center" vertical="center" wrapText="1"/>
    </xf>
    <xf numFmtId="167" fontId="36" fillId="3" borderId="2" xfId="5" applyNumberFormat="1" applyFont="1" applyFill="1" applyBorder="1" applyAlignment="1">
      <alignment horizontal="center" vertical="center" wrapText="1"/>
    </xf>
    <xf numFmtId="167" fontId="48" fillId="3" borderId="2" xfId="5" applyNumberFormat="1" applyFont="1" applyFill="1" applyBorder="1" applyAlignment="1">
      <alignment horizontal="center" vertical="center" wrapText="1"/>
    </xf>
    <xf numFmtId="167" fontId="35" fillId="0" borderId="0" xfId="5" applyNumberFormat="1" applyFont="1" applyFill="1" applyAlignment="1">
      <alignment vertical="center"/>
    </xf>
    <xf numFmtId="167" fontId="34" fillId="0" borderId="0" xfId="5" applyNumberFormat="1" applyFont="1" applyFill="1" applyAlignment="1">
      <alignment vertical="center"/>
    </xf>
    <xf numFmtId="2" fontId="8" fillId="2" borderId="1" xfId="1" applyNumberFormat="1" applyFont="1" applyFill="1" applyBorder="1" applyAlignment="1">
      <alignment horizontal="center" vertical="center"/>
    </xf>
    <xf numFmtId="0" fontId="9" fillId="2" borderId="0" xfId="1" applyFont="1" applyFill="1" applyBorder="1" applyAlignment="1">
      <alignment vertical="center"/>
    </xf>
    <xf numFmtId="2" fontId="43" fillId="0" borderId="0" xfId="67" applyNumberFormat="1" applyFont="1" applyFill="1" applyBorder="1" applyAlignment="1">
      <alignment horizontal="center" vertical="center" wrapText="1"/>
    </xf>
    <xf numFmtId="167" fontId="43" fillId="0" borderId="0" xfId="5" applyFont="1" applyFill="1" applyBorder="1" applyAlignment="1">
      <alignment vertical="center" wrapText="1"/>
    </xf>
    <xf numFmtId="2" fontId="8" fillId="3" borderId="1" xfId="1" applyNumberFormat="1" applyFont="1" applyFill="1" applyBorder="1" applyAlignment="1">
      <alignment horizontal="center" vertical="center"/>
    </xf>
    <xf numFmtId="2" fontId="9" fillId="3" borderId="1" xfId="1" applyNumberFormat="1" applyFont="1" applyFill="1" applyBorder="1" applyAlignment="1">
      <alignment horizontal="center" vertical="center"/>
    </xf>
    <xf numFmtId="0" fontId="9" fillId="3" borderId="0" xfId="1" applyFont="1" applyFill="1" applyBorder="1" applyAlignment="1">
      <alignment vertical="center"/>
    </xf>
    <xf numFmtId="0" fontId="9" fillId="3" borderId="1" xfId="5" applyNumberFormat="1" applyFont="1" applyFill="1" applyBorder="1" applyAlignment="1">
      <alignment horizontal="left" vertical="center"/>
    </xf>
    <xf numFmtId="0" fontId="9" fillId="3" borderId="1" xfId="5" applyNumberFormat="1" applyFont="1" applyFill="1" applyBorder="1" applyAlignment="1">
      <alignment horizontal="center" vertical="center"/>
    </xf>
    <xf numFmtId="167" fontId="26" fillId="0" borderId="1" xfId="5" applyFont="1" applyFill="1" applyBorder="1" applyAlignment="1">
      <alignment horizontal="center" vertical="center" wrapText="1"/>
    </xf>
    <xf numFmtId="167" fontId="4" fillId="0" borderId="0" xfId="5" applyAlignment="1">
      <alignment vertical="top"/>
    </xf>
    <xf numFmtId="178" fontId="4" fillId="0" borderId="0" xfId="5" applyNumberFormat="1" applyFill="1" applyAlignment="1">
      <alignment vertical="center"/>
    </xf>
    <xf numFmtId="178" fontId="56" fillId="0" borderId="0" xfId="5" applyNumberFormat="1" applyFont="1" applyFill="1" applyAlignment="1">
      <alignment horizontal="center" vertical="center"/>
    </xf>
    <xf numFmtId="178" fontId="56" fillId="0" borderId="0" xfId="5" applyNumberFormat="1" applyFont="1" applyFill="1" applyAlignment="1">
      <alignment horizontal="left" vertical="center" wrapText="1"/>
    </xf>
    <xf numFmtId="178" fontId="4" fillId="0" borderId="0" xfId="5" applyNumberFormat="1" applyFill="1" applyAlignment="1">
      <alignment horizontal="center" vertical="center"/>
    </xf>
    <xf numFmtId="178" fontId="4" fillId="0" borderId="0" xfId="5" applyNumberFormat="1" applyFill="1" applyAlignment="1">
      <alignment horizontal="left" vertical="center" wrapText="1"/>
    </xf>
    <xf numFmtId="179" fontId="4" fillId="0" borderId="0" xfId="5" applyNumberFormat="1" applyFill="1" applyAlignment="1">
      <alignment horizontal="center" vertical="center"/>
    </xf>
    <xf numFmtId="178" fontId="4" fillId="0" borderId="0" xfId="5" applyNumberFormat="1" applyFill="1" applyAlignment="1">
      <alignment horizontal="left" vertical="center"/>
    </xf>
    <xf numFmtId="180" fontId="4" fillId="0" borderId="0" xfId="5" applyNumberFormat="1" applyFill="1" applyAlignment="1">
      <alignment horizontal="center" vertical="center"/>
    </xf>
    <xf numFmtId="178" fontId="4" fillId="0" borderId="0" xfId="5" applyNumberFormat="1" applyFill="1" applyAlignment="1">
      <alignment vertical="center" wrapText="1"/>
    </xf>
    <xf numFmtId="180" fontId="4" fillId="0" borderId="0" xfId="5" applyNumberFormat="1" applyFill="1" applyAlignment="1">
      <alignment vertical="center"/>
    </xf>
    <xf numFmtId="2" fontId="4" fillId="0" borderId="0" xfId="5" applyNumberFormat="1" applyFill="1" applyAlignment="1">
      <alignment horizontal="center" vertical="center"/>
    </xf>
    <xf numFmtId="0" fontId="9" fillId="3" borderId="1" xfId="5" applyNumberFormat="1" applyFont="1" applyFill="1" applyBorder="1" applyAlignment="1">
      <alignment vertical="center" wrapText="1"/>
    </xf>
    <xf numFmtId="0" fontId="8" fillId="3" borderId="1" xfId="5" applyNumberFormat="1" applyFont="1" applyFill="1" applyBorder="1" applyAlignment="1">
      <alignment horizontal="center" vertical="center"/>
    </xf>
    <xf numFmtId="0" fontId="9" fillId="3" borderId="0" xfId="5" applyNumberFormat="1" applyFont="1" applyFill="1" applyBorder="1" applyAlignment="1">
      <alignment vertical="center"/>
    </xf>
    <xf numFmtId="0" fontId="9" fillId="3" borderId="1" xfId="5" applyNumberFormat="1" applyFont="1" applyFill="1" applyBorder="1" applyAlignment="1">
      <alignment vertical="center"/>
    </xf>
    <xf numFmtId="2" fontId="9" fillId="3" borderId="1" xfId="5" applyNumberFormat="1" applyFont="1" applyFill="1" applyBorder="1" applyAlignment="1">
      <alignment horizontal="center" vertical="center"/>
    </xf>
    <xf numFmtId="0" fontId="18" fillId="3" borderId="1" xfId="5" applyNumberFormat="1" applyFont="1" applyFill="1" applyBorder="1" applyAlignment="1">
      <alignment vertical="center" wrapText="1"/>
    </xf>
    <xf numFmtId="0" fontId="18" fillId="3" borderId="0" xfId="5" applyNumberFormat="1" applyFont="1" applyFill="1" applyBorder="1" applyAlignment="1">
      <alignment vertical="center"/>
    </xf>
    <xf numFmtId="167" fontId="14" fillId="3" borderId="1" xfId="3" applyNumberFormat="1" applyFont="1" applyFill="1" applyBorder="1" applyAlignment="1" applyProtection="1">
      <alignment horizontal="center" vertical="center" wrapText="1"/>
    </xf>
    <xf numFmtId="2" fontId="15" fillId="3" borderId="1" xfId="1" applyNumberFormat="1" applyFont="1" applyFill="1" applyBorder="1" applyAlignment="1">
      <alignment horizontal="center" vertical="center"/>
    </xf>
    <xf numFmtId="167" fontId="9" fillId="3" borderId="1" xfId="3" applyNumberFormat="1" applyFont="1" applyFill="1" applyBorder="1" applyAlignment="1" applyProtection="1">
      <alignment horizontal="center" vertical="center" wrapText="1"/>
    </xf>
    <xf numFmtId="167" fontId="9" fillId="3" borderId="1" xfId="3" applyNumberFormat="1" applyFont="1" applyFill="1" applyBorder="1" applyAlignment="1" applyProtection="1">
      <alignment horizontal="left" vertical="center"/>
    </xf>
    <xf numFmtId="0" fontId="16" fillId="3" borderId="1" xfId="5" applyNumberFormat="1" applyFont="1" applyFill="1" applyBorder="1" applyAlignment="1">
      <alignment horizontal="left" vertical="center" wrapText="1"/>
    </xf>
    <xf numFmtId="0" fontId="8" fillId="3" borderId="1" xfId="5" applyNumberFormat="1" applyFont="1" applyFill="1" applyBorder="1" applyAlignment="1">
      <alignment horizontal="center" vertical="center" wrapText="1"/>
    </xf>
    <xf numFmtId="172" fontId="24" fillId="3" borderId="1" xfId="68" applyNumberFormat="1" applyFont="1" applyFill="1" applyBorder="1" applyAlignment="1">
      <alignment horizontal="center" vertical="top" wrapText="1"/>
    </xf>
    <xf numFmtId="2" fontId="27" fillId="3" borderId="1" xfId="68" applyNumberFormat="1" applyFont="1" applyFill="1" applyBorder="1" applyAlignment="1">
      <alignment horizontal="center" vertical="top" wrapText="1"/>
    </xf>
    <xf numFmtId="2" fontId="26" fillId="3" borderId="1" xfId="68" applyNumberFormat="1" applyFont="1" applyFill="1" applyBorder="1" applyAlignment="1">
      <alignment horizontal="justify" vertical="top" wrapText="1"/>
    </xf>
    <xf numFmtId="2" fontId="24" fillId="3" borderId="1" xfId="68" applyNumberFormat="1" applyFont="1" applyFill="1" applyBorder="1" applyAlignment="1">
      <alignment horizontal="right" vertical="top" wrapText="1"/>
    </xf>
    <xf numFmtId="2" fontId="24" fillId="3" borderId="1" xfId="68" applyNumberFormat="1" applyFont="1" applyFill="1" applyBorder="1" applyAlignment="1">
      <alignment horizontal="center" vertical="top" wrapText="1"/>
    </xf>
    <xf numFmtId="167" fontId="29" fillId="3" borderId="0" xfId="5" applyFont="1" applyFill="1" applyBorder="1" applyAlignment="1">
      <alignment horizontal="center"/>
    </xf>
    <xf numFmtId="167" fontId="24" fillId="3" borderId="0" xfId="5" applyFont="1" applyFill="1" applyBorder="1" applyAlignment="1">
      <alignment horizontal="center" vertical="center"/>
    </xf>
    <xf numFmtId="2" fontId="26" fillId="0" borderId="1" xfId="5" applyNumberFormat="1" applyFont="1" applyFill="1" applyBorder="1" applyAlignment="1">
      <alignment horizontal="center" vertical="top"/>
    </xf>
    <xf numFmtId="2" fontId="24" fillId="0" borderId="0" xfId="5" applyNumberFormat="1" applyFont="1" applyFill="1" applyBorder="1" applyAlignment="1">
      <alignment horizontal="center" vertical="top"/>
    </xf>
    <xf numFmtId="167" fontId="40" fillId="3" borderId="0" xfId="5" applyNumberFormat="1" applyFont="1" applyFill="1" applyAlignment="1">
      <alignment vertical="center"/>
    </xf>
    <xf numFmtId="167" fontId="24" fillId="3" borderId="0" xfId="5" applyFont="1" applyFill="1" applyBorder="1" applyAlignment="1">
      <alignment horizontal="center"/>
    </xf>
    <xf numFmtId="167" fontId="37" fillId="3" borderId="2" xfId="5" applyNumberFormat="1" applyFont="1" applyFill="1" applyBorder="1" applyAlignment="1">
      <alignment vertical="center" wrapText="1"/>
    </xf>
    <xf numFmtId="167" fontId="34" fillId="3" borderId="0" xfId="5" applyFont="1" applyFill="1" applyAlignment="1">
      <alignment vertical="center"/>
    </xf>
    <xf numFmtId="167" fontId="35" fillId="3" borderId="0" xfId="5" applyFont="1" applyFill="1" applyAlignment="1">
      <alignment vertical="center"/>
    </xf>
    <xf numFmtId="0" fontId="52" fillId="0" borderId="1" xfId="68" applyFont="1" applyBorder="1" applyAlignment="1">
      <alignment horizontal="center" vertical="center" wrapText="1"/>
    </xf>
    <xf numFmtId="2" fontId="28" fillId="0" borderId="1" xfId="68" applyNumberFormat="1" applyFont="1" applyBorder="1" applyAlignment="1">
      <alignment vertical="center" wrapText="1"/>
    </xf>
    <xf numFmtId="167" fontId="29" fillId="0" borderId="1" xfId="5" applyFont="1" applyBorder="1" applyAlignment="1">
      <alignment horizontal="center" vertical="center"/>
    </xf>
    <xf numFmtId="167" fontId="53" fillId="0" borderId="1" xfId="5" applyFont="1" applyBorder="1" applyAlignment="1">
      <alignment horizontal="center" vertical="center"/>
    </xf>
    <xf numFmtId="2" fontId="32" fillId="0" borderId="1" xfId="68" applyNumberFormat="1" applyFont="1" applyBorder="1" applyAlignment="1">
      <alignment vertical="center" wrapText="1"/>
    </xf>
    <xf numFmtId="2" fontId="52" fillId="0" borderId="1" xfId="68" applyNumberFormat="1" applyFont="1" applyBorder="1" applyAlignment="1">
      <alignment horizontal="center" vertical="center" wrapText="1"/>
    </xf>
    <xf numFmtId="2" fontId="50" fillId="0" borderId="1" xfId="68" applyNumberFormat="1" applyFont="1" applyBorder="1" applyAlignment="1">
      <alignment vertical="center" wrapText="1"/>
    </xf>
    <xf numFmtId="0" fontId="51" fillId="0" borderId="1" xfId="68" applyFont="1" applyBorder="1" applyAlignment="1">
      <alignment horizontal="left" vertical="center" wrapText="1"/>
    </xf>
    <xf numFmtId="2" fontId="54" fillId="0" borderId="1" xfId="68" applyNumberFormat="1" applyFont="1" applyBorder="1" applyAlignment="1">
      <alignment vertical="center" wrapText="1"/>
    </xf>
    <xf numFmtId="172" fontId="28" fillId="0" borderId="1" xfId="68" applyNumberFormat="1" applyFont="1" applyBorder="1" applyAlignment="1">
      <alignment vertical="center" wrapText="1"/>
    </xf>
    <xf numFmtId="167" fontId="4" fillId="0" borderId="1" xfId="5" applyBorder="1" applyAlignment="1">
      <alignment vertical="center"/>
    </xf>
    <xf numFmtId="167" fontId="4" fillId="0" borderId="1" xfId="5" applyFont="1" applyBorder="1" applyAlignment="1">
      <alignment vertical="center"/>
    </xf>
    <xf numFmtId="167" fontId="37" fillId="3" borderId="10" xfId="5" applyNumberFormat="1" applyFont="1" applyFill="1" applyBorder="1" applyAlignment="1">
      <alignment vertical="center" wrapText="1"/>
    </xf>
    <xf numFmtId="167" fontId="34" fillId="3" borderId="0" xfId="5" applyNumberFormat="1" applyFont="1" applyFill="1" applyAlignment="1">
      <alignment vertical="center"/>
    </xf>
    <xf numFmtId="167" fontId="35" fillId="3" borderId="0" xfId="5" applyNumberFormat="1" applyFont="1" applyFill="1" applyAlignment="1">
      <alignment vertical="center"/>
    </xf>
    <xf numFmtId="2" fontId="43" fillId="0" borderId="9" xfId="67" applyNumberFormat="1" applyFont="1" applyFill="1" applyBorder="1" applyAlignment="1">
      <alignment horizontal="center" vertical="center" wrapText="1"/>
    </xf>
    <xf numFmtId="167" fontId="36" fillId="0" borderId="1" xfId="5" applyNumberFormat="1" applyFont="1" applyFill="1" applyBorder="1" applyAlignment="1">
      <alignment horizontal="center" vertical="center" wrapText="1"/>
    </xf>
    <xf numFmtId="167" fontId="36" fillId="3" borderId="1" xfId="5" applyNumberFormat="1" applyFont="1" applyFill="1" applyBorder="1" applyAlignment="1">
      <alignment horizontal="center" vertical="center" wrapText="1"/>
    </xf>
    <xf numFmtId="167" fontId="35" fillId="0" borderId="1" xfId="67" applyNumberFormat="1" applyFont="1" applyFill="1" applyBorder="1" applyAlignment="1">
      <alignment horizontal="center" vertical="center" wrapText="1"/>
    </xf>
    <xf numFmtId="2" fontId="35" fillId="0" borderId="1" xfId="67" applyNumberFormat="1" applyFont="1" applyFill="1" applyBorder="1" applyAlignment="1">
      <alignment horizontal="center" vertical="center" wrapText="1"/>
    </xf>
    <xf numFmtId="167" fontId="33" fillId="3" borderId="1" xfId="5" applyNumberFormat="1" applyFont="1" applyFill="1" applyBorder="1" applyAlignment="1">
      <alignment horizontal="center" vertical="center" wrapText="1"/>
    </xf>
    <xf numFmtId="172" fontId="37" fillId="0" borderId="1" xfId="67" applyNumberFormat="1" applyFont="1" applyFill="1" applyBorder="1" applyAlignment="1">
      <alignment vertical="center" wrapText="1"/>
    </xf>
    <xf numFmtId="2" fontId="37" fillId="0" borderId="1" xfId="67" applyNumberFormat="1" applyFont="1" applyFill="1" applyBorder="1" applyAlignment="1">
      <alignment vertical="center" wrapText="1"/>
    </xf>
    <xf numFmtId="9" fontId="37" fillId="0" borderId="1" xfId="65" applyFont="1" applyFill="1" applyBorder="1" applyAlignment="1">
      <alignment horizontal="right" vertical="center" wrapText="1"/>
    </xf>
    <xf numFmtId="2" fontId="37" fillId="0" borderId="1" xfId="67" applyNumberFormat="1" applyFont="1" applyFill="1" applyBorder="1" applyAlignment="1">
      <alignment horizontal="center" vertical="center" wrapText="1"/>
    </xf>
    <xf numFmtId="167" fontId="37" fillId="0" borderId="1" xfId="5" applyFont="1" applyFill="1" applyBorder="1" applyAlignment="1">
      <alignment horizontal="right" vertical="center" wrapText="1"/>
    </xf>
    <xf numFmtId="167" fontId="39" fillId="0" borderId="1" xfId="67" applyNumberFormat="1" applyFont="1" applyFill="1" applyBorder="1" applyAlignment="1">
      <alignment horizontal="center" vertical="center" wrapText="1"/>
    </xf>
    <xf numFmtId="2" fontId="39" fillId="0" borderId="1" xfId="67" applyNumberFormat="1" applyFont="1" applyFill="1" applyBorder="1" applyAlignment="1">
      <alignment horizontal="center" vertical="center" wrapText="1"/>
    </xf>
    <xf numFmtId="167" fontId="39" fillId="3" borderId="1" xfId="5" applyNumberFormat="1" applyFont="1" applyFill="1" applyBorder="1" applyAlignment="1">
      <alignment vertical="center" wrapText="1"/>
    </xf>
    <xf numFmtId="167" fontId="39" fillId="0" borderId="1" xfId="5" applyFont="1" applyFill="1" applyBorder="1" applyAlignment="1">
      <alignment vertical="center" wrapText="1"/>
    </xf>
    <xf numFmtId="167" fontId="37" fillId="0" borderId="1" xfId="5" applyFont="1" applyFill="1" applyBorder="1" applyAlignment="1">
      <alignment vertical="center" wrapText="1"/>
    </xf>
    <xf numFmtId="167" fontId="37" fillId="0" borderId="1" xfId="67" applyNumberFormat="1" applyFont="1" applyFill="1" applyBorder="1" applyAlignment="1">
      <alignment horizontal="center" vertical="center" wrapText="1"/>
    </xf>
    <xf numFmtId="167" fontId="37" fillId="3" borderId="1" xfId="5" applyNumberFormat="1" applyFont="1" applyFill="1" applyBorder="1" applyAlignment="1">
      <alignment vertical="center" wrapText="1"/>
    </xf>
    <xf numFmtId="2" fontId="37" fillId="3" borderId="1" xfId="67" applyNumberFormat="1" applyFont="1" applyFill="1" applyBorder="1" applyAlignment="1">
      <alignment vertical="center" wrapText="1"/>
    </xf>
    <xf numFmtId="172" fontId="37" fillId="3" borderId="1" xfId="67" applyNumberFormat="1" applyFont="1" applyFill="1" applyBorder="1" applyAlignment="1">
      <alignment vertical="center" wrapText="1"/>
    </xf>
    <xf numFmtId="2" fontId="36" fillId="3" borderId="1" xfId="67" applyNumberFormat="1" applyFont="1" applyFill="1" applyBorder="1" applyAlignment="1">
      <alignment vertical="center" wrapText="1"/>
    </xf>
    <xf numFmtId="167" fontId="35" fillId="3" borderId="1" xfId="5" applyFont="1" applyFill="1" applyBorder="1" applyAlignment="1">
      <alignment horizontal="right" vertical="center" wrapText="1"/>
    </xf>
    <xf numFmtId="2" fontId="35" fillId="3" borderId="1" xfId="67" applyNumberFormat="1" applyFont="1" applyFill="1" applyBorder="1" applyAlignment="1">
      <alignment horizontal="center" vertical="center" wrapText="1"/>
    </xf>
    <xf numFmtId="167" fontId="35" fillId="3" borderId="1" xfId="5" applyFont="1" applyFill="1" applyBorder="1" applyAlignment="1">
      <alignment vertical="center" wrapText="1"/>
    </xf>
    <xf numFmtId="172" fontId="44" fillId="0" borderId="1" xfId="67" applyNumberFormat="1" applyFont="1" applyFill="1" applyBorder="1" applyAlignment="1">
      <alignment vertical="center" wrapText="1"/>
    </xf>
    <xf numFmtId="2" fontId="44" fillId="0" borderId="1" xfId="67" applyNumberFormat="1" applyFont="1" applyFill="1" applyBorder="1" applyAlignment="1">
      <alignment vertical="center" wrapText="1"/>
    </xf>
    <xf numFmtId="167" fontId="44" fillId="0" borderId="1" xfId="5" applyFont="1" applyFill="1" applyBorder="1" applyAlignment="1">
      <alignment horizontal="right" vertical="center" wrapText="1"/>
    </xf>
    <xf numFmtId="2" fontId="44" fillId="0" borderId="1" xfId="67" applyNumberFormat="1" applyFont="1" applyFill="1" applyBorder="1" applyAlignment="1">
      <alignment horizontal="center" vertical="center" wrapText="1"/>
    </xf>
    <xf numFmtId="2" fontId="37" fillId="3" borderId="1" xfId="67" applyNumberFormat="1" applyFont="1" applyFill="1" applyBorder="1" applyAlignment="1">
      <alignment horizontal="right" vertical="center" wrapText="1"/>
    </xf>
    <xf numFmtId="167" fontId="37" fillId="3" borderId="1" xfId="5" applyFont="1" applyFill="1" applyBorder="1" applyAlignment="1">
      <alignment vertical="center" wrapText="1"/>
    </xf>
    <xf numFmtId="2" fontId="36" fillId="0" borderId="1" xfId="67" applyNumberFormat="1" applyFont="1" applyFill="1" applyBorder="1" applyAlignment="1">
      <alignment vertical="center" wrapText="1"/>
    </xf>
    <xf numFmtId="173" fontId="37" fillId="0" borderId="1" xfId="5" applyNumberFormat="1" applyFont="1" applyFill="1" applyBorder="1" applyAlignment="1">
      <alignment vertical="center" wrapText="1"/>
    </xf>
    <xf numFmtId="173" fontId="37" fillId="3" borderId="1" xfId="5" applyNumberFormat="1" applyFont="1" applyFill="1" applyBorder="1" applyAlignment="1">
      <alignment vertical="center" wrapText="1"/>
    </xf>
    <xf numFmtId="172" fontId="37" fillId="0" borderId="1" xfId="5" applyNumberFormat="1" applyFont="1" applyFill="1" applyBorder="1" applyAlignment="1">
      <alignment vertical="center" wrapText="1"/>
    </xf>
    <xf numFmtId="167" fontId="37" fillId="3" borderId="1" xfId="67" applyNumberFormat="1" applyFont="1" applyFill="1" applyBorder="1" applyAlignment="1">
      <alignment horizontal="center" vertical="center" wrapText="1"/>
    </xf>
    <xf numFmtId="167" fontId="37" fillId="3" borderId="1" xfId="5" applyFont="1" applyFill="1" applyBorder="1" applyAlignment="1">
      <alignment vertical="center"/>
    </xf>
    <xf numFmtId="167" fontId="37" fillId="3" borderId="1" xfId="5" applyFont="1" applyFill="1" applyBorder="1" applyAlignment="1">
      <alignment horizontal="right" vertical="center" wrapText="1"/>
    </xf>
    <xf numFmtId="2" fontId="37" fillId="3" borderId="1" xfId="67" applyNumberFormat="1" applyFont="1" applyFill="1" applyBorder="1" applyAlignment="1">
      <alignment horizontal="center" vertical="center" wrapText="1"/>
    </xf>
    <xf numFmtId="1" fontId="37" fillId="3" borderId="1" xfId="67" applyNumberFormat="1" applyFont="1" applyFill="1" applyBorder="1" applyAlignment="1">
      <alignment vertical="center" wrapText="1"/>
    </xf>
    <xf numFmtId="172" fontId="37" fillId="0" borderId="1" xfId="67" applyNumberFormat="1" applyFont="1" applyFill="1" applyBorder="1" applyAlignment="1">
      <alignment horizontal="right" vertical="center" wrapText="1"/>
    </xf>
    <xf numFmtId="167" fontId="33" fillId="0" borderId="1" xfId="5" applyFont="1" applyFill="1" applyBorder="1" applyAlignment="1">
      <alignment horizontal="left" vertical="center" wrapText="1"/>
    </xf>
    <xf numFmtId="2" fontId="47" fillId="0" borderId="1" xfId="67" applyNumberFormat="1" applyFont="1" applyFill="1" applyBorder="1" applyAlignment="1">
      <alignment vertical="center" wrapText="1"/>
    </xf>
    <xf numFmtId="1" fontId="37" fillId="0" borderId="1" xfId="67" applyNumberFormat="1" applyFont="1" applyFill="1" applyBorder="1" applyAlignment="1">
      <alignment horizontal="right" vertical="center" wrapText="1"/>
    </xf>
    <xf numFmtId="172" fontId="37" fillId="3" borderId="1" xfId="67" applyNumberFormat="1" applyFont="1" applyFill="1" applyBorder="1" applyAlignment="1">
      <alignment horizontal="right" vertical="center" wrapText="1"/>
    </xf>
    <xf numFmtId="1" fontId="37" fillId="0" borderId="1" xfId="67" applyNumberFormat="1" applyFont="1" applyFill="1" applyBorder="1" applyAlignment="1">
      <alignment horizontal="center" vertical="center" wrapText="1"/>
    </xf>
    <xf numFmtId="167" fontId="37" fillId="0" borderId="1" xfId="5" applyFont="1" applyFill="1" applyBorder="1" applyAlignment="1">
      <alignment horizontal="center" vertical="center" wrapText="1"/>
    </xf>
    <xf numFmtId="167" fontId="35" fillId="3" borderId="1" xfId="5" applyFont="1" applyFill="1" applyBorder="1" applyAlignment="1">
      <alignment horizontal="center" vertical="center" wrapText="1"/>
    </xf>
    <xf numFmtId="2" fontId="37" fillId="0" borderId="1" xfId="65" applyNumberFormat="1" applyFont="1" applyFill="1" applyBorder="1" applyAlignment="1">
      <alignment horizontal="right" vertical="center" wrapText="1"/>
    </xf>
    <xf numFmtId="2" fontId="36" fillId="3" borderId="1" xfId="67" applyNumberFormat="1" applyFont="1" applyFill="1" applyBorder="1" applyAlignment="1">
      <alignment horizontal="center" vertical="center" wrapText="1"/>
    </xf>
    <xf numFmtId="167" fontId="36" fillId="0" borderId="1" xfId="5" applyFont="1" applyFill="1" applyBorder="1" applyAlignment="1">
      <alignment horizontal="right" vertical="center" wrapText="1"/>
    </xf>
    <xf numFmtId="167" fontId="4" fillId="0" borderId="0" xfId="5" applyBorder="1" applyAlignment="1">
      <alignment vertical="top"/>
    </xf>
    <xf numFmtId="2" fontId="28" fillId="0" borderId="0" xfId="68" applyNumberFormat="1" applyFont="1" applyBorder="1" applyAlignment="1">
      <alignment vertical="top" wrapText="1"/>
    </xf>
    <xf numFmtId="2" fontId="32" fillId="0" borderId="0" xfId="68" applyNumberFormat="1" applyFont="1" applyBorder="1" applyAlignment="1">
      <alignment vertical="top" wrapText="1"/>
    </xf>
    <xf numFmtId="0" fontId="51" fillId="0" borderId="1" xfId="68" applyFont="1" applyBorder="1" applyAlignment="1">
      <alignment vertical="center" wrapText="1"/>
    </xf>
    <xf numFmtId="0" fontId="9" fillId="2" borderId="1" xfId="0" applyNumberFormat="1" applyFont="1" applyFill="1" applyBorder="1" applyAlignment="1">
      <alignment vertical="center" wrapText="1"/>
    </xf>
    <xf numFmtId="0" fontId="9" fillId="2" borderId="1" xfId="0" applyNumberFormat="1" applyFont="1" applyFill="1" applyBorder="1" applyAlignment="1">
      <alignment horizontal="center" vertical="center" wrapText="1"/>
    </xf>
    <xf numFmtId="2" fontId="9" fillId="2" borderId="1" xfId="0" applyNumberFormat="1" applyFont="1" applyFill="1" applyBorder="1" applyAlignment="1">
      <alignment horizontal="center" vertical="center" wrapText="1"/>
    </xf>
    <xf numFmtId="167" fontId="4" fillId="0" borderId="0" xfId="5" applyFill="1" applyAlignment="1">
      <alignment horizontal="center" vertical="center"/>
    </xf>
    <xf numFmtId="170" fontId="4" fillId="0" borderId="0" xfId="5" applyNumberFormat="1" applyFill="1" applyAlignment="1">
      <alignment horizontal="center" vertical="center"/>
    </xf>
    <xf numFmtId="2" fontId="4" fillId="0" borderId="0" xfId="5" applyNumberFormat="1" applyFill="1" applyAlignment="1">
      <alignment horizontal="left" vertical="center" wrapText="1"/>
    </xf>
    <xf numFmtId="175" fontId="4" fillId="0" borderId="0" xfId="5" applyNumberFormat="1" applyFill="1" applyAlignment="1">
      <alignment horizontal="center" vertical="center"/>
    </xf>
    <xf numFmtId="167" fontId="4" fillId="0" borderId="0" xfId="5" applyFill="1" applyAlignment="1">
      <alignment horizontal="left" vertical="center" wrapText="1"/>
    </xf>
    <xf numFmtId="173" fontId="4" fillId="0" borderId="0" xfId="5" applyNumberFormat="1" applyFill="1" applyAlignment="1">
      <alignment horizontal="center" vertical="center"/>
    </xf>
    <xf numFmtId="2" fontId="12" fillId="3" borderId="1" xfId="1" applyNumberFormat="1" applyFont="1" applyFill="1" applyBorder="1" applyAlignment="1">
      <alignment horizontal="center" vertical="center"/>
    </xf>
    <xf numFmtId="0" fontId="11" fillId="3" borderId="1" xfId="1" applyFont="1" applyFill="1" applyBorder="1" applyAlignment="1">
      <alignment horizontal="center" vertical="center" wrapText="1"/>
    </xf>
    <xf numFmtId="2" fontId="11" fillId="3" borderId="1" xfId="1" applyNumberFormat="1" applyFont="1" applyFill="1" applyBorder="1" applyAlignment="1">
      <alignment horizontal="center" vertical="center"/>
    </xf>
    <xf numFmtId="0" fontId="11" fillId="3" borderId="1" xfId="1" applyFont="1" applyFill="1" applyBorder="1" applyAlignment="1">
      <alignment horizontal="left" vertical="center"/>
    </xf>
    <xf numFmtId="0" fontId="11" fillId="3" borderId="1" xfId="1" applyFont="1" applyFill="1" applyBorder="1" applyAlignment="1">
      <alignment horizontal="center" vertical="center"/>
    </xf>
    <xf numFmtId="2" fontId="9" fillId="2" borderId="1" xfId="5" applyNumberFormat="1" applyFont="1" applyFill="1" applyBorder="1" applyAlignment="1">
      <alignment horizontal="center" vertical="center"/>
    </xf>
    <xf numFmtId="2" fontId="9" fillId="2" borderId="1" xfId="0" applyNumberFormat="1" applyFont="1" applyFill="1" applyBorder="1" applyAlignment="1">
      <alignment vertical="center" wrapText="1"/>
    </xf>
    <xf numFmtId="0" fontId="9" fillId="2" borderId="1" xfId="5" applyNumberFormat="1" applyFont="1" applyFill="1" applyBorder="1" applyAlignment="1">
      <alignment horizontal="left" vertical="center"/>
    </xf>
    <xf numFmtId="0" fontId="9" fillId="2" borderId="1" xfId="5" applyNumberFormat="1" applyFont="1" applyFill="1" applyBorder="1" applyAlignment="1">
      <alignment horizontal="center" vertical="center"/>
    </xf>
    <xf numFmtId="1" fontId="9" fillId="2" borderId="1" xfId="5" applyNumberFormat="1" applyFont="1" applyFill="1" applyBorder="1" applyAlignment="1">
      <alignment horizontal="center" vertical="center"/>
    </xf>
    <xf numFmtId="0" fontId="9" fillId="2" borderId="1" xfId="5" applyNumberFormat="1" applyFont="1" applyFill="1" applyBorder="1" applyAlignment="1">
      <alignment vertical="center" wrapText="1"/>
    </xf>
    <xf numFmtId="0" fontId="9" fillId="2" borderId="1" xfId="5" applyNumberFormat="1" applyFont="1" applyFill="1" applyBorder="1" applyAlignment="1">
      <alignment horizontal="center" vertical="center" wrapText="1"/>
    </xf>
    <xf numFmtId="0" fontId="9" fillId="2" borderId="0" xfId="5" applyNumberFormat="1" applyFont="1" applyFill="1" applyBorder="1" applyAlignment="1">
      <alignment vertical="center"/>
    </xf>
    <xf numFmtId="0" fontId="9" fillId="2" borderId="1" xfId="5" applyNumberFormat="1" applyFont="1" applyFill="1" applyBorder="1" applyAlignment="1">
      <alignment vertical="center"/>
    </xf>
    <xf numFmtId="0" fontId="8" fillId="2" borderId="1" xfId="5" applyNumberFormat="1" applyFont="1" applyFill="1" applyBorder="1" applyAlignment="1">
      <alignment horizontal="center" vertical="center"/>
    </xf>
    <xf numFmtId="0" fontId="10" fillId="3" borderId="1" xfId="2" applyFont="1" applyFill="1" applyBorder="1" applyAlignment="1">
      <alignment horizontal="center" vertical="center" wrapText="1"/>
    </xf>
    <xf numFmtId="2" fontId="9" fillId="3" borderId="1" xfId="0" applyNumberFormat="1" applyFont="1" applyFill="1" applyBorder="1" applyAlignment="1">
      <alignment horizontal="center" vertical="center" wrapText="1"/>
    </xf>
    <xf numFmtId="167" fontId="9" fillId="3" borderId="1" xfId="47" applyFont="1" applyFill="1" applyBorder="1" applyAlignment="1">
      <alignment horizontal="center" vertical="center" wrapText="1"/>
    </xf>
    <xf numFmtId="167" fontId="8" fillId="3" borderId="1" xfId="47" applyFont="1" applyFill="1" applyBorder="1" applyAlignment="1">
      <alignment horizontal="center" vertical="center" wrapText="1"/>
    </xf>
    <xf numFmtId="168" fontId="9" fillId="3" borderId="1" xfId="1" applyNumberFormat="1" applyFont="1" applyFill="1" applyBorder="1" applyAlignment="1">
      <alignment horizontal="center" vertical="center"/>
    </xf>
    <xf numFmtId="168" fontId="8" fillId="3" borderId="1" xfId="1" applyNumberFormat="1" applyFont="1" applyFill="1" applyBorder="1" applyAlignment="1">
      <alignment horizontal="center" vertical="center"/>
    </xf>
    <xf numFmtId="2" fontId="9" fillId="3" borderId="1" xfId="6" applyNumberFormat="1" applyFont="1" applyFill="1" applyBorder="1" applyAlignment="1">
      <alignment horizontal="center" vertical="center"/>
    </xf>
    <xf numFmtId="2" fontId="8" fillId="3" borderId="1" xfId="6" applyNumberFormat="1" applyFont="1" applyFill="1" applyBorder="1" applyAlignment="1">
      <alignment horizontal="center" vertical="center"/>
    </xf>
    <xf numFmtId="2" fontId="8" fillId="3" borderId="1" xfId="0" applyNumberFormat="1" applyFont="1" applyFill="1" applyBorder="1" applyAlignment="1">
      <alignment horizontal="center" vertical="center" wrapText="1"/>
    </xf>
    <xf numFmtId="0" fontId="9" fillId="3" borderId="1" xfId="0" applyNumberFormat="1" applyFont="1" applyFill="1" applyBorder="1" applyAlignment="1">
      <alignment horizontal="center" vertical="center" wrapText="1"/>
    </xf>
    <xf numFmtId="2" fontId="18" fillId="3" borderId="1" xfId="1" applyNumberFormat="1" applyFont="1" applyFill="1" applyBorder="1" applyAlignment="1">
      <alignment horizontal="center" vertical="center"/>
    </xf>
    <xf numFmtId="0" fontId="9" fillId="3" borderId="0" xfId="1" applyFont="1" applyFill="1" applyBorder="1" applyAlignment="1">
      <alignment horizontal="center" vertical="center"/>
    </xf>
    <xf numFmtId="167" fontId="33" fillId="0" borderId="1" xfId="5" applyFont="1" applyFill="1" applyBorder="1" applyAlignment="1">
      <alignment horizontal="center" vertical="center" wrapText="1"/>
    </xf>
    <xf numFmtId="167" fontId="36" fillId="0" borderId="1" xfId="5" applyFont="1" applyFill="1" applyBorder="1" applyAlignment="1">
      <alignment horizontal="center" vertical="center" wrapText="1"/>
    </xf>
    <xf numFmtId="0" fontId="9" fillId="0" borderId="1" xfId="1" applyFont="1" applyFill="1" applyBorder="1" applyAlignment="1">
      <alignment horizontal="left" vertical="center" wrapText="1"/>
    </xf>
    <xf numFmtId="0" fontId="8" fillId="0" borderId="1" xfId="1" applyFont="1" applyFill="1" applyBorder="1" applyAlignment="1">
      <alignment horizontal="center" vertical="center" wrapText="1"/>
    </xf>
    <xf numFmtId="0" fontId="10" fillId="0" borderId="1" xfId="2" applyFont="1" applyFill="1" applyBorder="1" applyAlignment="1">
      <alignment horizontal="center" vertical="center" wrapText="1"/>
    </xf>
    <xf numFmtId="0" fontId="8" fillId="0" borderId="1" xfId="1" applyFont="1" applyFill="1" applyBorder="1" applyAlignment="1">
      <alignment horizontal="center" vertical="center"/>
    </xf>
    <xf numFmtId="0" fontId="12" fillId="3" borderId="1" xfId="1" applyFont="1" applyFill="1" applyBorder="1" applyAlignment="1">
      <alignment horizontal="left" vertical="center" wrapText="1"/>
    </xf>
    <xf numFmtId="0" fontId="11" fillId="3" borderId="1" xfId="1" applyFont="1" applyFill="1" applyBorder="1" applyAlignment="1">
      <alignment horizontal="left" vertical="center" wrapText="1"/>
    </xf>
    <xf numFmtId="0" fontId="8" fillId="0" borderId="1" xfId="1" applyFont="1" applyFill="1" applyBorder="1" applyAlignment="1">
      <alignment horizontal="left" vertical="center" wrapText="1"/>
    </xf>
    <xf numFmtId="167" fontId="8" fillId="0" borderId="1" xfId="3" applyNumberFormat="1" applyFont="1" applyFill="1" applyBorder="1" applyAlignment="1" applyProtection="1">
      <alignment horizontal="left" vertical="center" wrapText="1"/>
    </xf>
    <xf numFmtId="167" fontId="9" fillId="0" borderId="1" xfId="3" applyNumberFormat="1" applyFont="1" applyFill="1" applyBorder="1" applyAlignment="1" applyProtection="1">
      <alignment horizontal="left" vertical="center" wrapText="1"/>
    </xf>
    <xf numFmtId="0" fontId="8" fillId="0" borderId="1" xfId="5" applyNumberFormat="1" applyFont="1" applyFill="1" applyBorder="1" applyAlignment="1">
      <alignment horizontal="center" vertical="center" wrapText="1"/>
    </xf>
    <xf numFmtId="0" fontId="8" fillId="0" borderId="1" xfId="5" applyNumberFormat="1" applyFont="1" applyFill="1" applyBorder="1" applyAlignment="1">
      <alignment horizontal="left" vertical="center" wrapText="1"/>
    </xf>
    <xf numFmtId="0" fontId="8" fillId="3" borderId="1" xfId="5" applyNumberFormat="1" applyFont="1" applyFill="1" applyBorder="1" applyAlignment="1">
      <alignment horizontal="left" vertical="center" wrapText="1"/>
    </xf>
    <xf numFmtId="0" fontId="12" fillId="0" borderId="1" xfId="1" applyFont="1" applyFill="1" applyBorder="1" applyAlignment="1">
      <alignment horizontal="left" vertical="center" wrapText="1"/>
    </xf>
    <xf numFmtId="0" fontId="11" fillId="0" borderId="1" xfId="1" applyFont="1" applyFill="1" applyBorder="1" applyAlignment="1">
      <alignment horizontal="left" vertical="center" wrapText="1"/>
    </xf>
    <xf numFmtId="2" fontId="8" fillId="0" borderId="1" xfId="5" applyNumberFormat="1" applyFont="1" applyFill="1" applyBorder="1" applyAlignment="1">
      <alignment horizontal="center" vertical="center"/>
    </xf>
    <xf numFmtId="0" fontId="9" fillId="0" borderId="1" xfId="5" applyNumberFormat="1" applyFont="1" applyFill="1" applyBorder="1" applyAlignment="1">
      <alignment horizontal="left" vertical="center" wrapText="1"/>
    </xf>
    <xf numFmtId="0" fontId="17" fillId="0" borderId="1" xfId="5" applyNumberFormat="1" applyFont="1" applyFill="1" applyBorder="1" applyAlignment="1">
      <alignment vertical="center" wrapText="1"/>
    </xf>
    <xf numFmtId="0" fontId="11" fillId="0" borderId="1" xfId="5" applyNumberFormat="1" applyFont="1" applyFill="1" applyBorder="1" applyAlignment="1">
      <alignment vertical="center" wrapText="1"/>
    </xf>
    <xf numFmtId="167" fontId="8" fillId="3" borderId="1" xfId="3" applyNumberFormat="1" applyFont="1" applyFill="1" applyBorder="1" applyAlignment="1" applyProtection="1">
      <alignment horizontal="left" vertical="center" wrapText="1"/>
    </xf>
    <xf numFmtId="167" fontId="9" fillId="3" borderId="1" xfId="3" applyNumberFormat="1" applyFont="1" applyFill="1" applyBorder="1" applyAlignment="1" applyProtection="1">
      <alignment horizontal="left" vertical="center" wrapText="1"/>
    </xf>
    <xf numFmtId="0" fontId="8" fillId="0" borderId="1" xfId="5" applyNumberFormat="1" applyFont="1" applyBorder="1" applyAlignment="1">
      <alignment horizontal="center" vertical="center"/>
    </xf>
    <xf numFmtId="174" fontId="4" fillId="0" borderId="0" xfId="5" applyNumberFormat="1" applyFill="1" applyAlignment="1">
      <alignment horizontal="center" vertical="center"/>
    </xf>
    <xf numFmtId="169" fontId="4" fillId="0" borderId="0" xfId="5" applyNumberFormat="1" applyFill="1" applyAlignment="1">
      <alignment horizontal="center" vertical="center"/>
    </xf>
    <xf numFmtId="172" fontId="37" fillId="2" borderId="1" xfId="67" applyNumberFormat="1" applyFont="1" applyFill="1" applyBorder="1" applyAlignment="1">
      <alignment vertical="center" wrapText="1"/>
    </xf>
    <xf numFmtId="2" fontId="37" fillId="2" borderId="1" xfId="67" applyNumberFormat="1" applyFont="1" applyFill="1" applyBorder="1" applyAlignment="1">
      <alignment vertical="center" wrapText="1"/>
    </xf>
    <xf numFmtId="167" fontId="35" fillId="2" borderId="1" xfId="5" applyFont="1" applyFill="1" applyBorder="1" applyAlignment="1">
      <alignment vertical="center" wrapText="1"/>
    </xf>
    <xf numFmtId="2" fontId="35" fillId="2" borderId="1" xfId="67" applyNumberFormat="1" applyFont="1" applyFill="1" applyBorder="1" applyAlignment="1">
      <alignment horizontal="center" vertical="center" wrapText="1"/>
    </xf>
    <xf numFmtId="167" fontId="37" fillId="2" borderId="1" xfId="5" applyFont="1" applyFill="1" applyBorder="1" applyAlignment="1">
      <alignment vertical="center" wrapText="1"/>
    </xf>
    <xf numFmtId="167" fontId="37" fillId="2" borderId="1" xfId="5" applyFont="1" applyFill="1" applyBorder="1" applyAlignment="1">
      <alignment horizontal="right" vertical="center" wrapText="1"/>
    </xf>
    <xf numFmtId="167" fontId="37" fillId="2" borderId="1" xfId="67" applyNumberFormat="1" applyFont="1" applyFill="1" applyBorder="1" applyAlignment="1">
      <alignment horizontal="center" vertical="center" wrapText="1"/>
    </xf>
    <xf numFmtId="2" fontId="37" fillId="2" borderId="1" xfId="67" applyNumberFormat="1" applyFont="1" applyFill="1" applyBorder="1" applyAlignment="1">
      <alignment horizontal="center" vertical="center" wrapText="1"/>
    </xf>
    <xf numFmtId="167" fontId="37" fillId="2" borderId="1" xfId="5" applyNumberFormat="1" applyFont="1" applyFill="1" applyBorder="1" applyAlignment="1">
      <alignment vertical="center" wrapText="1"/>
    </xf>
    <xf numFmtId="167" fontId="40" fillId="2" borderId="0" xfId="5" applyFont="1" applyFill="1" applyAlignment="1">
      <alignment vertical="center"/>
    </xf>
    <xf numFmtId="167" fontId="41" fillId="2" borderId="0" xfId="5" applyFont="1" applyFill="1" applyAlignment="1">
      <alignment vertical="center"/>
    </xf>
    <xf numFmtId="173" fontId="37" fillId="2" borderId="1" xfId="5" applyNumberFormat="1" applyFont="1" applyFill="1" applyBorder="1" applyAlignment="1">
      <alignment vertical="center" wrapText="1"/>
    </xf>
    <xf numFmtId="2" fontId="9" fillId="2" borderId="0" xfId="1" applyNumberFormat="1" applyFont="1" applyFill="1" applyBorder="1" applyAlignment="1">
      <alignment vertical="center"/>
    </xf>
    <xf numFmtId="2" fontId="9" fillId="2" borderId="0" xfId="0" applyNumberFormat="1" applyFont="1" applyFill="1" applyBorder="1" applyAlignment="1">
      <alignment horizontal="center" vertical="center" wrapText="1"/>
    </xf>
    <xf numFmtId="172" fontId="52" fillId="0" borderId="1" xfId="68" applyNumberFormat="1" applyFont="1" applyBorder="1" applyAlignment="1">
      <alignment horizontal="center" vertical="center" wrapText="1"/>
    </xf>
    <xf numFmtId="0" fontId="50" fillId="0" borderId="1" xfId="67" applyFont="1" applyBorder="1" applyAlignment="1">
      <alignment horizontal="center" vertical="center" wrapText="1"/>
    </xf>
    <xf numFmtId="0" fontId="51" fillId="0" borderId="1" xfId="67" applyFont="1" applyBorder="1" applyAlignment="1">
      <alignment horizontal="center" vertical="center" wrapText="1"/>
    </xf>
    <xf numFmtId="0" fontId="11" fillId="0" borderId="1" xfId="1" applyFont="1" applyFill="1" applyBorder="1" applyAlignment="1">
      <alignment horizontal="left" vertical="center" wrapText="1"/>
    </xf>
    <xf numFmtId="0" fontId="9" fillId="0" borderId="1" xfId="1" applyFont="1" applyFill="1" applyBorder="1" applyAlignment="1">
      <alignment horizontal="left" vertical="center" wrapText="1"/>
    </xf>
    <xf numFmtId="178" fontId="0" fillId="0" borderId="0" xfId="0" applyNumberFormat="1"/>
    <xf numFmtId="179" fontId="0" fillId="0" borderId="0" xfId="0" applyNumberFormat="1"/>
    <xf numFmtId="180" fontId="0" fillId="0" borderId="0" xfId="0" applyNumberFormat="1"/>
    <xf numFmtId="2" fontId="0" fillId="0" borderId="0" xfId="0" applyNumberFormat="1"/>
    <xf numFmtId="167" fontId="0" fillId="0" borderId="0" xfId="0" applyNumberFormat="1"/>
    <xf numFmtId="0" fontId="0" fillId="0" borderId="0" xfId="0" applyAlignment="1">
      <alignment horizontal="left" vertical="center" wrapText="1"/>
    </xf>
    <xf numFmtId="178" fontId="0" fillId="0" borderId="0" xfId="0" applyNumberFormat="1" applyAlignment="1">
      <alignment horizontal="left" vertical="center" wrapText="1"/>
    </xf>
    <xf numFmtId="178" fontId="134" fillId="0" borderId="0" xfId="0" applyNumberFormat="1" applyFont="1" applyAlignment="1">
      <alignment horizontal="left" vertical="center" wrapText="1"/>
    </xf>
    <xf numFmtId="167" fontId="0" fillId="0" borderId="0" xfId="0" applyNumberFormat="1" applyAlignment="1">
      <alignment horizontal="left" vertical="center" wrapText="1"/>
    </xf>
    <xf numFmtId="170" fontId="0" fillId="0" borderId="0" xfId="0" applyNumberFormat="1"/>
    <xf numFmtId="174" fontId="0" fillId="0" borderId="0" xfId="0" applyNumberFormat="1"/>
    <xf numFmtId="173" fontId="0" fillId="0" borderId="0" xfId="0" applyNumberFormat="1"/>
    <xf numFmtId="169" fontId="0" fillId="0" borderId="0" xfId="0" applyNumberFormat="1"/>
    <xf numFmtId="175" fontId="0" fillId="0" borderId="0" xfId="0" applyNumberFormat="1"/>
    <xf numFmtId="2" fontId="0" fillId="0" borderId="0" xfId="0" applyNumberFormat="1" applyAlignment="1">
      <alignment horizontal="left" vertical="center" wrapText="1"/>
    </xf>
    <xf numFmtId="1" fontId="37" fillId="3" borderId="1" xfId="67" applyNumberFormat="1" applyFont="1" applyFill="1" applyBorder="1" applyAlignment="1">
      <alignment horizontal="center" vertical="center" wrapText="1"/>
    </xf>
    <xf numFmtId="172" fontId="24" fillId="2" borderId="1" xfId="68" applyNumberFormat="1" applyFont="1" applyFill="1" applyBorder="1" applyAlignment="1">
      <alignment horizontal="center" vertical="top" wrapText="1"/>
    </xf>
    <xf numFmtId="2" fontId="24" fillId="2" borderId="1" xfId="68" applyNumberFormat="1" applyFont="1" applyFill="1" applyBorder="1" applyAlignment="1">
      <alignment horizontal="center" vertical="top" wrapText="1"/>
    </xf>
    <xf numFmtId="2" fontId="26" fillId="2" borderId="1" xfId="68" applyNumberFormat="1" applyFont="1" applyFill="1" applyBorder="1" applyAlignment="1">
      <alignment horizontal="justify" vertical="top" wrapText="1"/>
    </xf>
    <xf numFmtId="2" fontId="24" fillId="2" borderId="1" xfId="68" applyNumberFormat="1" applyFont="1" applyFill="1" applyBorder="1" applyAlignment="1">
      <alignment horizontal="right" vertical="top" wrapText="1"/>
    </xf>
    <xf numFmtId="167" fontId="24" fillId="2" borderId="0" xfId="5" applyFont="1" applyFill="1" applyBorder="1" applyAlignment="1">
      <alignment horizontal="center"/>
    </xf>
    <xf numFmtId="167" fontId="24" fillId="2" borderId="0" xfId="5" applyFont="1" applyFill="1" applyBorder="1" applyAlignment="1">
      <alignment horizontal="center" vertical="center"/>
    </xf>
    <xf numFmtId="168" fontId="24" fillId="2" borderId="1" xfId="68" applyNumberFormat="1" applyFont="1" applyFill="1" applyBorder="1" applyAlignment="1">
      <alignment horizontal="center" vertical="top" wrapText="1"/>
    </xf>
    <xf numFmtId="167" fontId="9" fillId="2" borderId="1" xfId="47" applyFont="1" applyFill="1" applyBorder="1" applyAlignment="1">
      <alignment vertical="center" wrapText="1"/>
    </xf>
    <xf numFmtId="170" fontId="9" fillId="2" borderId="1" xfId="47" applyNumberFormat="1" applyFont="1" applyFill="1" applyBorder="1" applyAlignment="1">
      <alignment horizontal="center" vertical="center" wrapText="1"/>
    </xf>
    <xf numFmtId="167" fontId="9" fillId="2" borderId="1" xfId="47" applyFont="1" applyFill="1" applyBorder="1" applyAlignment="1">
      <alignment horizontal="center" vertical="center" wrapText="1"/>
    </xf>
    <xf numFmtId="167" fontId="8" fillId="2" borderId="1" xfId="47" applyFont="1" applyFill="1" applyBorder="1" applyAlignment="1">
      <alignment horizontal="center" vertical="center" wrapText="1"/>
    </xf>
    <xf numFmtId="167" fontId="26" fillId="0" borderId="0" xfId="5" applyFont="1" applyFill="1" applyBorder="1" applyAlignment="1">
      <alignment horizontal="center" vertical="center"/>
    </xf>
    <xf numFmtId="0" fontId="9" fillId="0" borderId="1" xfId="1" applyFont="1" applyFill="1" applyBorder="1" applyAlignment="1">
      <alignment horizontal="left" vertical="center" wrapText="1"/>
    </xf>
    <xf numFmtId="0" fontId="11" fillId="2" borderId="1" xfId="1" applyFont="1" applyFill="1" applyBorder="1" applyAlignment="1">
      <alignment horizontal="center" vertical="center"/>
    </xf>
    <xf numFmtId="0" fontId="11" fillId="2" borderId="0" xfId="1" applyFont="1" applyFill="1" applyBorder="1" applyAlignment="1">
      <alignment vertical="center"/>
    </xf>
    <xf numFmtId="168" fontId="9" fillId="2" borderId="1" xfId="47" applyNumberFormat="1" applyFont="1" applyFill="1" applyBorder="1" applyAlignment="1">
      <alignment horizontal="center" vertical="center" wrapText="1"/>
    </xf>
    <xf numFmtId="0" fontId="11" fillId="0" borderId="1" xfId="1" applyFont="1" applyFill="1" applyBorder="1" applyAlignment="1">
      <alignment vertical="center" wrapText="1"/>
    </xf>
    <xf numFmtId="2" fontId="9" fillId="2" borderId="1" xfId="6" applyNumberFormat="1" applyFont="1" applyFill="1" applyBorder="1" applyAlignment="1">
      <alignment horizontal="center" vertical="center"/>
    </xf>
    <xf numFmtId="0" fontId="8" fillId="3" borderId="1" xfId="0" applyNumberFormat="1" applyFont="1" applyFill="1" applyBorder="1" applyAlignment="1">
      <alignment vertical="center" wrapText="1"/>
    </xf>
    <xf numFmtId="0" fontId="9" fillId="3" borderId="1" xfId="0" applyNumberFormat="1" applyFont="1" applyFill="1" applyBorder="1" applyAlignment="1">
      <alignment vertical="center" wrapText="1"/>
    </xf>
    <xf numFmtId="168" fontId="9" fillId="3" borderId="1" xfId="0" applyNumberFormat="1" applyFont="1" applyFill="1" applyBorder="1" applyAlignment="1">
      <alignment horizontal="center" vertical="center" wrapText="1"/>
    </xf>
    <xf numFmtId="2" fontId="9" fillId="3" borderId="15" xfId="0" applyNumberFormat="1" applyFont="1" applyFill="1" applyBorder="1" applyAlignment="1">
      <alignment horizontal="center" vertical="center" wrapText="1"/>
    </xf>
    <xf numFmtId="167" fontId="9" fillId="3" borderId="1" xfId="47" applyFont="1" applyFill="1" applyBorder="1" applyAlignment="1">
      <alignment vertical="center" wrapText="1"/>
    </xf>
    <xf numFmtId="170" fontId="9" fillId="3" borderId="1" xfId="47" applyNumberFormat="1" applyFont="1" applyFill="1" applyBorder="1" applyAlignment="1">
      <alignment horizontal="center" vertical="center" wrapText="1"/>
    </xf>
    <xf numFmtId="2" fontId="9" fillId="3" borderId="1" xfId="47" applyNumberFormat="1" applyFont="1" applyFill="1" applyBorder="1" applyAlignment="1">
      <alignment horizontal="center" vertical="center" wrapText="1"/>
    </xf>
    <xf numFmtId="168" fontId="9" fillId="0" borderId="1" xfId="1" applyNumberFormat="1" applyFont="1" applyFill="1" applyBorder="1" applyAlignment="1">
      <alignment horizontal="center" vertical="center"/>
    </xf>
    <xf numFmtId="2" fontId="9" fillId="0" borderId="0" xfId="1" applyNumberFormat="1" applyFont="1" applyFill="1" applyBorder="1" applyAlignment="1">
      <alignment vertical="center"/>
    </xf>
    <xf numFmtId="167" fontId="25" fillId="0" borderId="0" xfId="5" applyFont="1" applyFill="1" applyBorder="1" applyAlignment="1">
      <alignment horizontal="center" vertical="top"/>
    </xf>
    <xf numFmtId="167" fontId="26" fillId="0" borderId="0" xfId="5" applyFont="1" applyFill="1" applyBorder="1" applyAlignment="1">
      <alignment horizontal="center" vertical="top" wrapText="1"/>
    </xf>
    <xf numFmtId="167" fontId="24" fillId="0" borderId="0" xfId="5" applyFont="1" applyFill="1" applyBorder="1" applyAlignment="1">
      <alignment horizontal="center" vertical="top"/>
    </xf>
    <xf numFmtId="167" fontId="29" fillId="0" borderId="0" xfId="5" applyFont="1" applyFill="1" applyBorder="1" applyAlignment="1">
      <alignment horizontal="center" vertical="top"/>
    </xf>
    <xf numFmtId="167" fontId="29" fillId="3" borderId="0" xfId="5" applyFont="1" applyFill="1" applyBorder="1" applyAlignment="1">
      <alignment horizontal="center" vertical="top"/>
    </xf>
    <xf numFmtId="167" fontId="24" fillId="3" borderId="0" xfId="5" applyFont="1" applyFill="1" applyBorder="1" applyAlignment="1">
      <alignment horizontal="center" vertical="top"/>
    </xf>
    <xf numFmtId="167" fontId="24" fillId="2" borderId="0" xfId="5" applyFont="1" applyFill="1" applyBorder="1" applyAlignment="1">
      <alignment horizontal="center" vertical="top"/>
    </xf>
    <xf numFmtId="2" fontId="27" fillId="2" borderId="1" xfId="68" applyNumberFormat="1" applyFont="1" applyFill="1" applyBorder="1" applyAlignment="1">
      <alignment horizontal="center" vertical="top" wrapText="1"/>
    </xf>
    <xf numFmtId="167" fontId="29" fillId="2" borderId="0" xfId="5" applyFont="1" applyFill="1" applyBorder="1" applyAlignment="1">
      <alignment horizontal="center" vertical="top"/>
    </xf>
    <xf numFmtId="167" fontId="29" fillId="2" borderId="0" xfId="5" applyFont="1" applyFill="1" applyBorder="1" applyAlignment="1">
      <alignment horizontal="center"/>
    </xf>
    <xf numFmtId="168" fontId="9" fillId="3" borderId="1" xfId="47" applyNumberFormat="1" applyFont="1" applyFill="1" applyBorder="1" applyAlignment="1">
      <alignment horizontal="center" vertical="center" wrapText="1"/>
    </xf>
    <xf numFmtId="0" fontId="11" fillId="3" borderId="0" xfId="1" applyFont="1" applyFill="1" applyBorder="1" applyAlignment="1">
      <alignment vertical="center"/>
    </xf>
    <xf numFmtId="0" fontId="51" fillId="0" borderId="1" xfId="68" applyFont="1" applyBorder="1" applyAlignment="1">
      <alignment horizontal="center" vertical="center" wrapText="1"/>
    </xf>
    <xf numFmtId="0" fontId="49" fillId="0" borderId="1" xfId="67" applyFont="1" applyBorder="1" applyAlignment="1">
      <alignment horizontal="center" vertical="center" wrapText="1"/>
    </xf>
    <xf numFmtId="0" fontId="50" fillId="0" borderId="1" xfId="67" applyFont="1" applyBorder="1" applyAlignment="1">
      <alignment horizontal="center" vertical="center" wrapText="1"/>
    </xf>
    <xf numFmtId="0" fontId="51" fillId="0" borderId="1" xfId="67" applyFont="1" applyBorder="1" applyAlignment="1">
      <alignment horizontal="center" vertical="center" wrapText="1"/>
    </xf>
    <xf numFmtId="167" fontId="4" fillId="0" borderId="1" xfId="5" applyBorder="1" applyAlignment="1">
      <alignment horizontal="center" vertical="center"/>
    </xf>
    <xf numFmtId="167" fontId="55" fillId="0" borderId="1" xfId="5" applyFont="1" applyBorder="1" applyAlignment="1">
      <alignment horizontal="center" vertical="center" wrapText="1"/>
    </xf>
    <xf numFmtId="172" fontId="52" fillId="0" borderId="1" xfId="68" applyNumberFormat="1" applyFont="1" applyBorder="1" applyAlignment="1">
      <alignment horizontal="center" vertical="center" wrapText="1"/>
    </xf>
    <xf numFmtId="167" fontId="26" fillId="0" borderId="0" xfId="5" applyFont="1" applyFill="1" applyBorder="1" applyAlignment="1">
      <alignment horizontal="center" vertical="center" wrapText="1"/>
    </xf>
    <xf numFmtId="167" fontId="133" fillId="0" borderId="1" xfId="5" applyFont="1" applyFill="1" applyBorder="1" applyAlignment="1">
      <alignment horizontal="center" vertical="center"/>
    </xf>
    <xf numFmtId="168" fontId="133" fillId="0" borderId="1" xfId="5" applyNumberFormat="1" applyFont="1" applyFill="1" applyBorder="1" applyAlignment="1">
      <alignment horizontal="right" vertical="top"/>
    </xf>
    <xf numFmtId="167" fontId="133" fillId="0" borderId="1" xfId="5" applyFont="1" applyFill="1" applyBorder="1" applyAlignment="1">
      <alignment horizontal="justify" vertical="center"/>
    </xf>
    <xf numFmtId="167" fontId="133" fillId="0" borderId="1" xfId="5" applyFont="1" applyFill="1" applyBorder="1" applyAlignment="1">
      <alignment horizontal="right" vertical="center"/>
    </xf>
    <xf numFmtId="167" fontId="31" fillId="0" borderId="1" xfId="5" applyFont="1" applyFill="1" applyBorder="1" applyAlignment="1">
      <alignment horizontal="center" vertical="center" wrapText="1"/>
    </xf>
    <xf numFmtId="168" fontId="31" fillId="0" borderId="1" xfId="5" applyNumberFormat="1" applyFont="1" applyFill="1" applyBorder="1" applyAlignment="1">
      <alignment horizontal="right" vertical="top" wrapText="1"/>
    </xf>
    <xf numFmtId="167" fontId="31" fillId="0" borderId="1" xfId="5" applyFont="1" applyFill="1" applyBorder="1" applyAlignment="1">
      <alignment horizontal="justify" vertical="center" wrapText="1"/>
    </xf>
    <xf numFmtId="167" fontId="31" fillId="0" borderId="1" xfId="5" applyFont="1" applyFill="1" applyBorder="1" applyAlignment="1">
      <alignment horizontal="right" vertical="center" wrapText="1"/>
    </xf>
    <xf numFmtId="167" fontId="33" fillId="0" borderId="1" xfId="5" applyFont="1" applyFill="1" applyBorder="1" applyAlignment="1">
      <alignment horizontal="center" vertical="center" wrapText="1"/>
    </xf>
    <xf numFmtId="173" fontId="33" fillId="0" borderId="1" xfId="5" applyNumberFormat="1" applyFont="1" applyFill="1" applyBorder="1" applyAlignment="1">
      <alignment horizontal="center" vertical="center" wrapText="1"/>
    </xf>
    <xf numFmtId="167" fontId="36" fillId="0" borderId="1" xfId="5" applyFont="1" applyFill="1" applyBorder="1" applyAlignment="1">
      <alignment horizontal="center" vertical="center" wrapText="1"/>
    </xf>
    <xf numFmtId="173" fontId="36" fillId="0" borderId="1" xfId="5" applyNumberFormat="1" applyFont="1" applyFill="1" applyBorder="1" applyAlignment="1">
      <alignment horizontal="center" vertical="center" wrapText="1"/>
    </xf>
    <xf numFmtId="2" fontId="8" fillId="0" borderId="1" xfId="5" applyNumberFormat="1" applyFont="1" applyFill="1" applyBorder="1" applyAlignment="1">
      <alignment horizontal="left" vertical="center" wrapText="1"/>
    </xf>
    <xf numFmtId="0" fontId="8" fillId="0" borderId="1" xfId="5" applyNumberFormat="1" applyFont="1" applyFill="1" applyBorder="1" applyAlignment="1">
      <alignment horizontal="left" vertical="center" wrapText="1"/>
    </xf>
    <xf numFmtId="0" fontId="8" fillId="0" borderId="1" xfId="1" applyFont="1" applyFill="1" applyBorder="1" applyAlignment="1">
      <alignment horizontal="center" vertical="center" wrapText="1"/>
    </xf>
    <xf numFmtId="0" fontId="10" fillId="0" borderId="1" xfId="2" applyFont="1" applyFill="1" applyBorder="1" applyAlignment="1">
      <alignment horizontal="center" vertical="center" wrapText="1"/>
    </xf>
    <xf numFmtId="0" fontId="8" fillId="0" borderId="1" xfId="1" applyFont="1" applyFill="1" applyBorder="1" applyAlignment="1">
      <alignment horizontal="center" vertical="center"/>
    </xf>
    <xf numFmtId="0" fontId="8" fillId="3" borderId="1" xfId="1" applyFont="1" applyFill="1" applyBorder="1" applyAlignment="1">
      <alignment horizontal="center" vertical="center"/>
    </xf>
    <xf numFmtId="0" fontId="9" fillId="3" borderId="1" xfId="5" applyNumberFormat="1" applyFont="1" applyFill="1" applyBorder="1" applyAlignment="1">
      <alignment horizontal="left" vertical="center" wrapText="1"/>
    </xf>
    <xf numFmtId="0" fontId="8" fillId="3" borderId="1" xfId="5" applyNumberFormat="1" applyFont="1" applyFill="1" applyBorder="1" applyAlignment="1">
      <alignment horizontal="left" vertical="center" wrapText="1"/>
    </xf>
    <xf numFmtId="0" fontId="8" fillId="0" borderId="1" xfId="1" applyFont="1" applyFill="1" applyBorder="1" applyAlignment="1">
      <alignment horizontal="left" vertical="center" wrapText="1"/>
    </xf>
    <xf numFmtId="0" fontId="9" fillId="0" borderId="1" xfId="1" applyFont="1" applyFill="1" applyBorder="1" applyAlignment="1">
      <alignment horizontal="left" vertical="center" wrapText="1"/>
    </xf>
    <xf numFmtId="167" fontId="8" fillId="0" borderId="1" xfId="47" applyFont="1" applyFill="1" applyBorder="1" applyAlignment="1">
      <alignment horizontal="center" vertical="center" wrapText="1"/>
    </xf>
    <xf numFmtId="167" fontId="9" fillId="0" borderId="1" xfId="3" applyNumberFormat="1" applyFont="1" applyFill="1" applyBorder="1" applyAlignment="1" applyProtection="1">
      <alignment horizontal="left" vertical="center" wrapText="1"/>
    </xf>
    <xf numFmtId="0" fontId="8" fillId="3" borderId="1" xfId="1" applyFont="1" applyFill="1" applyBorder="1" applyAlignment="1">
      <alignment horizontal="left" vertical="center" wrapText="1"/>
    </xf>
    <xf numFmtId="0" fontId="12" fillId="3" borderId="1" xfId="1" applyFont="1" applyFill="1" applyBorder="1" applyAlignment="1">
      <alignment horizontal="left" vertical="center" wrapText="1"/>
    </xf>
    <xf numFmtId="0" fontId="11" fillId="3" borderId="1" xfId="1" applyFont="1" applyFill="1" applyBorder="1" applyAlignment="1">
      <alignment horizontal="left" vertical="center" wrapText="1"/>
    </xf>
    <xf numFmtId="167" fontId="8" fillId="0" borderId="1" xfId="3" applyNumberFormat="1" applyFont="1" applyFill="1" applyBorder="1" applyAlignment="1" applyProtection="1">
      <alignment horizontal="left" vertical="center" wrapText="1"/>
    </xf>
    <xf numFmtId="2" fontId="8" fillId="0" borderId="1" xfId="5" applyNumberFormat="1" applyFont="1" applyFill="1" applyBorder="1" applyAlignment="1">
      <alignment horizontal="center" vertical="center"/>
    </xf>
    <xf numFmtId="0" fontId="9" fillId="3" borderId="1" xfId="1" applyFont="1" applyFill="1" applyBorder="1" applyAlignment="1">
      <alignment horizontal="left" vertical="center" wrapText="1"/>
    </xf>
    <xf numFmtId="0" fontId="9" fillId="0" borderId="1" xfId="5" applyNumberFormat="1" applyFont="1" applyFill="1" applyBorder="1" applyAlignment="1">
      <alignment horizontal="left" vertical="center" wrapText="1"/>
    </xf>
    <xf numFmtId="0" fontId="8" fillId="0" borderId="1" xfId="5" applyNumberFormat="1" applyFont="1" applyFill="1" applyBorder="1" applyAlignment="1">
      <alignment horizontal="center" vertical="center" wrapText="1"/>
    </xf>
    <xf numFmtId="0" fontId="8" fillId="3" borderId="1" xfId="5" applyNumberFormat="1" applyFont="1" applyFill="1" applyBorder="1" applyAlignment="1">
      <alignment horizontal="center" vertical="center" wrapText="1"/>
    </xf>
    <xf numFmtId="0" fontId="17" fillId="0" borderId="1" xfId="5" applyNumberFormat="1" applyFont="1" applyFill="1" applyBorder="1" applyAlignment="1">
      <alignment vertical="center" wrapText="1"/>
    </xf>
    <xf numFmtId="0" fontId="11" fillId="0" borderId="1" xfId="5" applyNumberFormat="1" applyFont="1" applyFill="1" applyBorder="1" applyAlignment="1">
      <alignment vertical="center" wrapText="1"/>
    </xf>
    <xf numFmtId="167" fontId="11" fillId="2" borderId="1" xfId="3" applyNumberFormat="1" applyFont="1" applyFill="1" applyBorder="1" applyAlignment="1" applyProtection="1">
      <alignment horizontal="left" vertical="center" wrapText="1"/>
    </xf>
    <xf numFmtId="0" fontId="8" fillId="2" borderId="1" xfId="0" applyNumberFormat="1" applyFont="1" applyFill="1" applyBorder="1" applyAlignment="1">
      <alignment horizontal="left" vertical="center" wrapText="1"/>
    </xf>
    <xf numFmtId="0" fontId="8" fillId="2" borderId="1" xfId="5" applyNumberFormat="1" applyFont="1" applyFill="1" applyBorder="1" applyAlignment="1">
      <alignment horizontal="left" vertical="center" wrapText="1"/>
    </xf>
    <xf numFmtId="167" fontId="12" fillId="0" borderId="1" xfId="3" applyNumberFormat="1" applyFont="1" applyFill="1" applyBorder="1" applyAlignment="1" applyProtection="1">
      <alignment horizontal="left" vertical="center" wrapText="1"/>
    </xf>
    <xf numFmtId="167" fontId="11" fillId="0" borderId="1" xfId="3" applyNumberFormat="1" applyFont="1" applyFill="1" applyBorder="1" applyAlignment="1" applyProtection="1">
      <alignment horizontal="left" vertical="center" wrapText="1"/>
    </xf>
    <xf numFmtId="167" fontId="8" fillId="3" borderId="1" xfId="3" applyNumberFormat="1" applyFont="1" applyFill="1" applyBorder="1" applyAlignment="1" applyProtection="1">
      <alignment horizontal="left" vertical="center" wrapText="1"/>
    </xf>
    <xf numFmtId="167" fontId="9" fillId="3" borderId="1" xfId="3" applyNumberFormat="1" applyFont="1" applyFill="1" applyBorder="1" applyAlignment="1" applyProtection="1">
      <alignment horizontal="left" vertical="center" wrapText="1"/>
    </xf>
    <xf numFmtId="0" fontId="12" fillId="0" borderId="1" xfId="1" applyFont="1" applyFill="1" applyBorder="1" applyAlignment="1">
      <alignment horizontal="left" vertical="center" wrapText="1"/>
    </xf>
    <xf numFmtId="0" fontId="11" fillId="0" borderId="1" xfId="1" applyFont="1" applyFill="1" applyBorder="1" applyAlignment="1">
      <alignment horizontal="left" vertical="center" wrapText="1"/>
    </xf>
    <xf numFmtId="0" fontId="13" fillId="0" borderId="1" xfId="1" applyFont="1" applyFill="1" applyBorder="1" applyAlignment="1">
      <alignment horizontal="left" vertical="center" wrapText="1"/>
    </xf>
    <xf numFmtId="0" fontId="16" fillId="0" borderId="1" xfId="1" applyFont="1" applyFill="1" applyBorder="1" applyAlignment="1">
      <alignment horizontal="left" vertical="center" wrapText="1"/>
    </xf>
    <xf numFmtId="0" fontId="9" fillId="0" borderId="1" xfId="0" applyNumberFormat="1" applyFont="1" applyFill="1" applyBorder="1" applyAlignment="1">
      <alignment horizontal="left" vertical="center" wrapText="1"/>
    </xf>
    <xf numFmtId="0" fontId="12" fillId="0" borderId="1" xfId="5" applyNumberFormat="1" applyFont="1" applyFill="1" applyBorder="1" applyAlignment="1">
      <alignment horizontal="left" vertical="center" wrapText="1"/>
    </xf>
    <xf numFmtId="0" fontId="8" fillId="0" borderId="1" xfId="5" applyNumberFormat="1" applyFont="1" applyBorder="1" applyAlignment="1">
      <alignment horizontal="center" vertical="center" wrapText="1"/>
    </xf>
    <xf numFmtId="0" fontId="10" fillId="0" borderId="1" xfId="5" applyNumberFormat="1" applyFont="1" applyBorder="1" applyAlignment="1">
      <alignment horizontal="center" vertical="center"/>
    </xf>
    <xf numFmtId="0" fontId="8" fillId="0" borderId="1" xfId="5" applyNumberFormat="1" applyFont="1" applyBorder="1" applyAlignment="1">
      <alignment horizontal="center" vertical="center"/>
    </xf>
    <xf numFmtId="2" fontId="9" fillId="0" borderId="1" xfId="68" applyNumberFormat="1" applyFont="1" applyBorder="1" applyAlignment="1">
      <alignment horizontal="left" vertical="center" wrapText="1"/>
    </xf>
    <xf numFmtId="2" fontId="8" fillId="0" borderId="1" xfId="68" applyNumberFormat="1" applyFont="1" applyBorder="1" applyAlignment="1">
      <alignment horizontal="left" vertical="center" wrapText="1"/>
    </xf>
    <xf numFmtId="167" fontId="9" fillId="0" borderId="1" xfId="5" applyFont="1" applyBorder="1" applyAlignment="1">
      <alignment horizontal="left" vertical="center" wrapText="1"/>
    </xf>
    <xf numFmtId="167" fontId="56" fillId="0" borderId="0" xfId="5" applyFont="1" applyAlignment="1">
      <alignment horizontal="right"/>
    </xf>
    <xf numFmtId="0" fontId="52" fillId="0" borderId="0" xfId="5" applyNumberFormat="1" applyFont="1" applyAlignment="1">
      <alignment horizontal="center" wrapText="1"/>
    </xf>
    <xf numFmtId="167" fontId="4" fillId="0" borderId="0" xfId="5" quotePrefix="1" applyNumberFormat="1" applyAlignment="1" applyProtection="1">
      <alignment horizontal="center"/>
    </xf>
    <xf numFmtId="167" fontId="4" fillId="0" borderId="0" xfId="5" applyNumberFormat="1" applyAlignment="1" applyProtection="1">
      <alignment horizontal="center"/>
    </xf>
    <xf numFmtId="167" fontId="4" fillId="0" borderId="0" xfId="5" applyNumberFormat="1" applyAlignment="1" applyProtection="1">
      <alignment horizontal="center" wrapText="1"/>
    </xf>
    <xf numFmtId="167" fontId="56" fillId="0" borderId="0" xfId="5" applyFont="1" applyAlignment="1">
      <alignment horizontal="center"/>
    </xf>
    <xf numFmtId="167" fontId="90" fillId="0" borderId="0" xfId="5" applyNumberFormat="1" applyFont="1" applyAlignment="1">
      <alignment horizontal="center"/>
    </xf>
    <xf numFmtId="167" fontId="100" fillId="0" borderId="0" xfId="5" applyNumberFormat="1" applyFont="1" applyAlignment="1">
      <alignment horizontal="center"/>
    </xf>
    <xf numFmtId="167" fontId="56" fillId="0" borderId="0" xfId="5" applyFont="1" applyAlignment="1">
      <alignment vertical="top" wrapText="1"/>
    </xf>
    <xf numFmtId="167" fontId="4" fillId="0" borderId="0" xfId="5" applyAlignment="1">
      <alignment vertical="top"/>
    </xf>
    <xf numFmtId="167" fontId="56" fillId="0" borderId="0" xfId="5" applyNumberFormat="1" applyFont="1" applyAlignment="1" applyProtection="1">
      <alignment horizontal="left" vertical="top"/>
    </xf>
    <xf numFmtId="167" fontId="4" fillId="4" borderId="0" xfId="5" applyNumberFormat="1" applyFill="1" applyAlignment="1" applyProtection="1">
      <alignment horizontal="left" vertical="top" wrapText="1"/>
    </xf>
    <xf numFmtId="167" fontId="4" fillId="4" borderId="0" xfId="5" applyNumberFormat="1" applyFont="1" applyFill="1" applyAlignment="1" applyProtection="1">
      <alignment horizontal="left" vertical="top" wrapText="1"/>
    </xf>
    <xf numFmtId="167" fontId="56" fillId="0" borderId="0" xfId="5" applyNumberFormat="1" applyFont="1" applyAlignment="1" applyProtection="1">
      <alignment vertical="top"/>
    </xf>
    <xf numFmtId="167" fontId="4" fillId="8" borderId="0" xfId="5" applyNumberFormat="1" applyFill="1" applyAlignment="1" applyProtection="1">
      <alignment horizontal="left" vertical="top" wrapText="1"/>
    </xf>
    <xf numFmtId="167" fontId="4" fillId="8" borderId="0" xfId="5" applyNumberFormat="1" applyFont="1" applyFill="1" applyAlignment="1" applyProtection="1">
      <alignment horizontal="left" vertical="top" wrapText="1"/>
    </xf>
    <xf numFmtId="0" fontId="4" fillId="0" borderId="0" xfId="5" applyNumberFormat="1" applyBorder="1" applyAlignment="1">
      <alignment horizontal="center"/>
    </xf>
    <xf numFmtId="167" fontId="104" fillId="0" borderId="0" xfId="5" applyNumberFormat="1" applyFont="1" applyAlignment="1">
      <alignment horizontal="center"/>
    </xf>
    <xf numFmtId="173" fontId="4" fillId="0" borderId="0" xfId="5" applyNumberFormat="1" applyAlignment="1">
      <alignment horizontal="right"/>
    </xf>
    <xf numFmtId="167" fontId="4" fillId="0" borderId="0" xfId="5" applyAlignment="1">
      <alignment horizontal="center"/>
    </xf>
    <xf numFmtId="167" fontId="56" fillId="0" borderId="0" xfId="5" applyFont="1" applyAlignment="1">
      <alignment horizontal="center" vertical="top" wrapText="1"/>
    </xf>
  </cellXfs>
  <cellStyles count="105">
    <cellStyle name="Comma 2" xfId="8"/>
    <cellStyle name="Comma 2 2" xfId="69"/>
    <cellStyle name="Currency 2" xfId="9"/>
    <cellStyle name="Currency 2 2" xfId="10"/>
    <cellStyle name="Currency 3" xfId="70"/>
    <cellStyle name="Currency 3 2" xfId="71"/>
    <cellStyle name="Hyperlink 2" xfId="11"/>
    <cellStyle name="Hyperlink 3" xfId="7"/>
    <cellStyle name="Normal" xfId="0" builtinId="0"/>
    <cellStyle name="Normal - Style1" xfId="72"/>
    <cellStyle name="Normal 10" xfId="12"/>
    <cellStyle name="Normal 11" xfId="13"/>
    <cellStyle name="Normal 12" xfId="14"/>
    <cellStyle name="Normal 13" xfId="73"/>
    <cellStyle name="Normal 14" xfId="74"/>
    <cellStyle name="Normal 15" xfId="75"/>
    <cellStyle name="Normal 16" xfId="76"/>
    <cellStyle name="Normal 17" xfId="77"/>
    <cellStyle name="Normal 18" xfId="78"/>
    <cellStyle name="Normal 19" xfId="79"/>
    <cellStyle name="Normal 2" xfId="15"/>
    <cellStyle name="Normal 2 10" xfId="80"/>
    <cellStyle name="Normal 2 2" xfId="16"/>
    <cellStyle name="Normal 2 2 2" xfId="17"/>
    <cellStyle name="Normal 2 3" xfId="18"/>
    <cellStyle name="Normal 2 3 10" xfId="19"/>
    <cellStyle name="Normal 2 3 2" xfId="20"/>
    <cellStyle name="Normal 2 3 2 2" xfId="21"/>
    <cellStyle name="Normal 2 3 2 2 2" xfId="22"/>
    <cellStyle name="Normal 2 3 2 3" xfId="81"/>
    <cellStyle name="Normal 2 3 3" xfId="23"/>
    <cellStyle name="Normal 2 3 3 2" xfId="24"/>
    <cellStyle name="Normal 2 3 3 2 2" xfId="25"/>
    <cellStyle name="Normal 2 3 3 2 3" xfId="26"/>
    <cellStyle name="Normal 2 3 3 3" xfId="27"/>
    <cellStyle name="Normal 2 3 4" xfId="4"/>
    <cellStyle name="Normal 2 3 5" xfId="28"/>
    <cellStyle name="Normal 2 3 6" xfId="29"/>
    <cellStyle name="Normal 2 3 7" xfId="5"/>
    <cellStyle name="Normal 2 3 8" xfId="30"/>
    <cellStyle name="Normal 2 3 9" xfId="31"/>
    <cellStyle name="Normal 2 4" xfId="32"/>
    <cellStyle name="Normal 2 4 2" xfId="33"/>
    <cellStyle name="Normal 2 4 3" xfId="34"/>
    <cellStyle name="Normal 2 4 4" xfId="35"/>
    <cellStyle name="Normal 2 5" xfId="36"/>
    <cellStyle name="Normal 2 5 2" xfId="37"/>
    <cellStyle name="Normal 2 5 3" xfId="82"/>
    <cellStyle name="Normal 2 6" xfId="38"/>
    <cellStyle name="Normal 2 6 2" xfId="39"/>
    <cellStyle name="Normal 2 6 3" xfId="40"/>
    <cellStyle name="Normal 2 6 4" xfId="41"/>
    <cellStyle name="Normal 2 7" xfId="42"/>
    <cellStyle name="Normal 2 7 2" xfId="43"/>
    <cellStyle name="Normal 2 7 3" xfId="44"/>
    <cellStyle name="Normal 20" xfId="83"/>
    <cellStyle name="Normal 21" xfId="84"/>
    <cellStyle name="Normal 22" xfId="85"/>
    <cellStyle name="Normal 23" xfId="86"/>
    <cellStyle name="Normal 24" xfId="87"/>
    <cellStyle name="Normal 25" xfId="88"/>
    <cellStyle name="Normal 26" xfId="89"/>
    <cellStyle name="Normal 27" xfId="90"/>
    <cellStyle name="Normal 3" xfId="45"/>
    <cellStyle name="Normal 3 2" xfId="46"/>
    <cellStyle name="Normal 3 2 2" xfId="47"/>
    <cellStyle name="Normal 3 2 2 2" xfId="3"/>
    <cellStyle name="Normal 3 2 2 2 2" xfId="91"/>
    <cellStyle name="Normal 3 2 3" xfId="48"/>
    <cellStyle name="Normal 3 3" xfId="49"/>
    <cellStyle name="Normal 3 3 2" xfId="92"/>
    <cellStyle name="Normal 3 4" xfId="50"/>
    <cellStyle name="Normal 4" xfId="6"/>
    <cellStyle name="Normal 4 2" xfId="51"/>
    <cellStyle name="Normal 4 2 2" xfId="52"/>
    <cellStyle name="Normal 4 3" xfId="53"/>
    <cellStyle name="Normal 4 3 2" xfId="54"/>
    <cellStyle name="Normal 4 4" xfId="55"/>
    <cellStyle name="Normal 4 5" xfId="56"/>
    <cellStyle name="Normal 4 6" xfId="57"/>
    <cellStyle name="Normal 5" xfId="58"/>
    <cellStyle name="Normal 5 2" xfId="59"/>
    <cellStyle name="Normal 5 2 2" xfId="93"/>
    <cellStyle name="Normal 5 3" xfId="94"/>
    <cellStyle name="Normal 6" xfId="60"/>
    <cellStyle name="Normal 6 2" xfId="1"/>
    <cellStyle name="Normal 6 3" xfId="61"/>
    <cellStyle name="Normal 6 4" xfId="95"/>
    <cellStyle name="Normal 7" xfId="62"/>
    <cellStyle name="Normal 7 2" xfId="96"/>
    <cellStyle name="Normal 8" xfId="63"/>
    <cellStyle name="Normal 8 2" xfId="97"/>
    <cellStyle name="Normal 9" xfId="64"/>
    <cellStyle name="Normal_June-2004" xfId="2"/>
    <cellStyle name="Normal_Phase XI QS" xfId="67"/>
    <cellStyle name="Normal_Phase XI QS 2" xfId="68"/>
    <cellStyle name="Percent 12" xfId="98"/>
    <cellStyle name="Percent 2" xfId="65"/>
    <cellStyle name="Percent 2 2" xfId="99"/>
    <cellStyle name="Percent 3" xfId="66"/>
    <cellStyle name="Percent 4" xfId="100"/>
    <cellStyle name="Percent 5" xfId="101"/>
    <cellStyle name="Percent 6" xfId="102"/>
    <cellStyle name="Percent 7" xfId="103"/>
    <cellStyle name="Percent 8" xfId="10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drawings/drawing1.xml><?xml version="1.0" encoding="utf-8"?>
<xdr:wsDr xmlns:xdr="http://schemas.openxmlformats.org/drawingml/2006/spreadsheetDrawing" xmlns:a="http://schemas.openxmlformats.org/drawingml/2006/main">
  <xdr:twoCellAnchor editAs="oneCell">
    <xdr:from>
      <xdr:col>14</xdr:col>
      <xdr:colOff>457200</xdr:colOff>
      <xdr:row>7794</xdr:row>
      <xdr:rowOff>190500</xdr:rowOff>
    </xdr:from>
    <xdr:to>
      <xdr:col>14</xdr:col>
      <xdr:colOff>552450</xdr:colOff>
      <xdr:row>7794</xdr:row>
      <xdr:rowOff>200025</xdr:rowOff>
    </xdr:to>
    <xdr:sp macro="" textlink="">
      <xdr:nvSpPr>
        <xdr:cNvPr id="2" name="Text Box 1"/>
        <xdr:cNvSpPr txBox="1">
          <a:spLocks noChangeArrowheads="1"/>
        </xdr:cNvSpPr>
      </xdr:nvSpPr>
      <xdr:spPr bwMode="auto">
        <a:xfrm>
          <a:off x="22221825" y="2408910600"/>
          <a:ext cx="95250" cy="9525"/>
        </a:xfrm>
        <a:prstGeom prst="rect">
          <a:avLst/>
        </a:prstGeom>
        <a:noFill/>
        <a:ln w="9525">
          <a:noFill/>
          <a:miter lim="800000"/>
          <a:headEnd/>
          <a:tailEnd/>
        </a:ln>
      </xdr:spPr>
    </xdr:sp>
    <xdr:clientData/>
  </xdr:twoCellAnchor>
  <xdr:twoCellAnchor editAs="oneCell">
    <xdr:from>
      <xdr:col>7</xdr:col>
      <xdr:colOff>2505075</xdr:colOff>
      <xdr:row>0</xdr:row>
      <xdr:rowOff>0</xdr:rowOff>
    </xdr:from>
    <xdr:to>
      <xdr:col>7</xdr:col>
      <xdr:colOff>2514600</xdr:colOff>
      <xdr:row>0</xdr:row>
      <xdr:rowOff>47625</xdr:rowOff>
    </xdr:to>
    <xdr:sp macro="" textlink="">
      <xdr:nvSpPr>
        <xdr:cNvPr id="3" name="Text Box 2"/>
        <xdr:cNvSpPr txBox="1">
          <a:spLocks noChangeArrowheads="1"/>
        </xdr:cNvSpPr>
      </xdr:nvSpPr>
      <xdr:spPr bwMode="auto">
        <a:xfrm>
          <a:off x="14706600" y="0"/>
          <a:ext cx="9525" cy="47625"/>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Vambay%20Phase-IV%20Estimates\VELLAKO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nphc-pc\new%20folder\Users\ACER\Desktop\CAP%20&amp;%20TAILORING%20additional%20propos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S%20CAMPUS%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DB/Downloads/karur%20150%20pc/SR-17-18-J-Karur%20%20Corrected%20on%20CE%20Office%20-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outh%20DATA%2020-2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EDB/Downloads/share/Indiragandhi/revised%20estimate%202017-18/Final%20D5%20MArina%20Police%20Stat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R%20DATA%2019-20-%20Dining%20Women%20Priso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Feed"/>
      <sheetName val="detailed Pro"/>
      <sheetName val="abstract Pro"/>
      <sheetName val="abstract Pro (2)"/>
      <sheetName val="Lead statement"/>
    </sheetNames>
    <sheetDataSet>
      <sheetData sheetId="0">
        <row r="195">
          <cell r="X195" t="str">
            <v xml:space="preserve">DATA FOR THE YEAR 2004 - 2005 FOR </v>
          </cell>
        </row>
        <row r="196">
          <cell r="X196" t="str">
            <v xml:space="preserve">SIVANATHAPURAM, AMMAN KOIL STREET &amp; MAHALIAMMAN KOIL STREET in VELLAKOIL MUNICIPALITY, ERODE </v>
          </cell>
        </row>
        <row r="197">
          <cell r="X197" t="str">
            <v>Sl No</v>
          </cell>
          <cell r="Y197" t="str">
            <v>Qty.</v>
          </cell>
          <cell r="AA197" t="str">
            <v>Description</v>
          </cell>
          <cell r="AB197" t="str">
            <v xml:space="preserve">Rate </v>
          </cell>
          <cell r="AC197" t="str">
            <v>Unit</v>
          </cell>
          <cell r="AD197" t="str">
            <v>Amount</v>
          </cell>
        </row>
        <row r="199">
          <cell r="X199">
            <v>1</v>
          </cell>
          <cell r="Y199" t="str">
            <v>Cement mortar 1:2 for 1 M³</v>
          </cell>
        </row>
        <row r="200">
          <cell r="Y200">
            <v>0.72</v>
          </cell>
          <cell r="Z200" t="str">
            <v>MT</v>
          </cell>
          <cell r="AA200" t="str">
            <v>Cement</v>
          </cell>
          <cell r="AB200">
            <v>2840</v>
          </cell>
          <cell r="AC200" t="str">
            <v>1M.T.</v>
          </cell>
          <cell r="AD200">
            <v>2044.8</v>
          </cell>
        </row>
        <row r="201">
          <cell r="Y201">
            <v>1</v>
          </cell>
          <cell r="Z201" t="str">
            <v>M³</v>
          </cell>
          <cell r="AA201" t="str">
            <v>Sand for mortar</v>
          </cell>
          <cell r="AB201">
            <v>165.6</v>
          </cell>
          <cell r="AC201" t="str">
            <v>1M³</v>
          </cell>
          <cell r="AD201">
            <v>165.6</v>
          </cell>
        </row>
        <row r="202">
          <cell r="Y202">
            <v>1</v>
          </cell>
          <cell r="Z202" t="str">
            <v>M³</v>
          </cell>
          <cell r="AA202" t="str">
            <v>Mixing charges</v>
          </cell>
          <cell r="AB202">
            <v>26</v>
          </cell>
          <cell r="AC202" t="str">
            <v>1M³</v>
          </cell>
          <cell r="AD202">
            <v>26</v>
          </cell>
        </row>
        <row r="204">
          <cell r="AC204" t="str">
            <v>Total=</v>
          </cell>
          <cell r="AD204">
            <v>2236.4</v>
          </cell>
        </row>
        <row r="205">
          <cell r="X205">
            <v>2</v>
          </cell>
          <cell r="Y205" t="str">
            <v>Cement mortar 1:3 for 1 M³</v>
          </cell>
        </row>
        <row r="206">
          <cell r="Y206">
            <v>0.48</v>
          </cell>
          <cell r="Z206" t="str">
            <v>MT</v>
          </cell>
          <cell r="AA206" t="str">
            <v>Cement</v>
          </cell>
          <cell r="AB206">
            <v>2840</v>
          </cell>
          <cell r="AC206" t="str">
            <v>1M.T.</v>
          </cell>
          <cell r="AD206">
            <v>1363.2</v>
          </cell>
        </row>
        <row r="207">
          <cell r="Y207">
            <v>1</v>
          </cell>
          <cell r="Z207" t="str">
            <v>M³</v>
          </cell>
          <cell r="AA207" t="str">
            <v>Sand for mortar</v>
          </cell>
          <cell r="AB207">
            <v>165.6</v>
          </cell>
          <cell r="AC207" t="str">
            <v>1M³</v>
          </cell>
          <cell r="AD207">
            <v>165.6</v>
          </cell>
        </row>
        <row r="208">
          <cell r="Y208">
            <v>1</v>
          </cell>
          <cell r="Z208" t="str">
            <v>M³</v>
          </cell>
          <cell r="AA208" t="str">
            <v>Mixing charges</v>
          </cell>
          <cell r="AB208">
            <v>26</v>
          </cell>
          <cell r="AC208" t="str">
            <v>1M³</v>
          </cell>
          <cell r="AD208">
            <v>26</v>
          </cell>
        </row>
        <row r="210">
          <cell r="AC210" t="str">
            <v>Total=</v>
          </cell>
          <cell r="AD210">
            <v>1554.8</v>
          </cell>
        </row>
        <row r="211">
          <cell r="X211">
            <v>3</v>
          </cell>
          <cell r="Y211" t="str">
            <v>Cement mortar 1:4 for 1 M³</v>
          </cell>
        </row>
        <row r="212">
          <cell r="Y212">
            <v>0.36</v>
          </cell>
          <cell r="Z212" t="str">
            <v>MT</v>
          </cell>
          <cell r="AA212" t="str">
            <v>Cement</v>
          </cell>
          <cell r="AB212">
            <v>2840</v>
          </cell>
          <cell r="AC212" t="str">
            <v>1M.T.</v>
          </cell>
          <cell r="AD212">
            <v>1022.4</v>
          </cell>
        </row>
        <row r="213">
          <cell r="Y213">
            <v>1</v>
          </cell>
          <cell r="Z213" t="str">
            <v>M³</v>
          </cell>
          <cell r="AA213" t="str">
            <v>Sand for mortar</v>
          </cell>
          <cell r="AB213">
            <v>165.6</v>
          </cell>
          <cell r="AC213" t="str">
            <v>1M³</v>
          </cell>
          <cell r="AD213">
            <v>165.6</v>
          </cell>
        </row>
        <row r="214">
          <cell r="Y214">
            <v>1</v>
          </cell>
          <cell r="Z214" t="str">
            <v>M³</v>
          </cell>
          <cell r="AA214" t="str">
            <v>Mixing charges</v>
          </cell>
          <cell r="AB214">
            <v>26</v>
          </cell>
          <cell r="AC214" t="str">
            <v>1M³</v>
          </cell>
          <cell r="AD214">
            <v>26</v>
          </cell>
        </row>
        <row r="216">
          <cell r="AC216" t="str">
            <v>Total=</v>
          </cell>
          <cell r="AD216">
            <v>1214</v>
          </cell>
        </row>
        <row r="217">
          <cell r="X217">
            <v>4</v>
          </cell>
          <cell r="Y217" t="str">
            <v>Cement mortar 1:5 for 1 M³</v>
          </cell>
        </row>
        <row r="218">
          <cell r="Y218">
            <v>0.28799999999999998</v>
          </cell>
          <cell r="Z218" t="str">
            <v>MT</v>
          </cell>
          <cell r="AA218" t="str">
            <v>Cement</v>
          </cell>
          <cell r="AB218">
            <v>2840</v>
          </cell>
          <cell r="AC218" t="str">
            <v>1M.T.</v>
          </cell>
          <cell r="AD218">
            <v>817.92</v>
          </cell>
        </row>
        <row r="219">
          <cell r="Y219">
            <v>1</v>
          </cell>
          <cell r="Z219" t="str">
            <v>M³</v>
          </cell>
          <cell r="AA219" t="str">
            <v>Sand for mortar</v>
          </cell>
          <cell r="AB219">
            <v>165.6</v>
          </cell>
          <cell r="AC219" t="str">
            <v>1M³</v>
          </cell>
          <cell r="AD219">
            <v>165.6</v>
          </cell>
        </row>
        <row r="220">
          <cell r="Y220">
            <v>1</v>
          </cell>
          <cell r="Z220" t="str">
            <v>M³</v>
          </cell>
          <cell r="AA220" t="str">
            <v>Mixing charges</v>
          </cell>
          <cell r="AB220">
            <v>26</v>
          </cell>
          <cell r="AC220" t="str">
            <v>1M³</v>
          </cell>
          <cell r="AD220">
            <v>26</v>
          </cell>
        </row>
        <row r="222">
          <cell r="AC222" t="str">
            <v>Total=</v>
          </cell>
          <cell r="AD222">
            <v>1009.52</v>
          </cell>
        </row>
        <row r="223">
          <cell r="X223">
            <v>5</v>
          </cell>
          <cell r="Y223" t="str">
            <v>Cement mortar 1:6 for 1 M³</v>
          </cell>
        </row>
        <row r="224">
          <cell r="Y224">
            <v>0.24</v>
          </cell>
          <cell r="Z224" t="str">
            <v>MT</v>
          </cell>
          <cell r="AA224" t="str">
            <v>Cement</v>
          </cell>
          <cell r="AB224">
            <v>2840</v>
          </cell>
          <cell r="AC224" t="str">
            <v>1M.T.</v>
          </cell>
          <cell r="AD224">
            <v>681.6</v>
          </cell>
        </row>
        <row r="225">
          <cell r="Y225">
            <v>1</v>
          </cell>
          <cell r="Z225" t="str">
            <v>M³</v>
          </cell>
          <cell r="AA225" t="str">
            <v>Sand for mortar</v>
          </cell>
          <cell r="AB225">
            <v>165.6</v>
          </cell>
          <cell r="AC225" t="str">
            <v>1M³</v>
          </cell>
          <cell r="AD225">
            <v>165.6</v>
          </cell>
        </row>
        <row r="226">
          <cell r="Y226">
            <v>1</v>
          </cell>
          <cell r="Z226" t="str">
            <v>M³</v>
          </cell>
          <cell r="AA226" t="str">
            <v>Mixing charges</v>
          </cell>
          <cell r="AB226">
            <v>26</v>
          </cell>
          <cell r="AC226" t="str">
            <v>1M³</v>
          </cell>
          <cell r="AD226">
            <v>26</v>
          </cell>
        </row>
        <row r="228">
          <cell r="AC228" t="str">
            <v>Total=</v>
          </cell>
          <cell r="AD228">
            <v>873.2</v>
          </cell>
        </row>
        <row r="230">
          <cell r="X230">
            <v>6</v>
          </cell>
          <cell r="Y230" t="str">
            <v>Earth work excavation for foundation with all leads and lifts in all soils and sub soils and to the required depth as may be directed except hard rock requiring blasting inclusive of shoring, strutting and bailing out water wherever necessary refilling th</v>
          </cell>
        </row>
        <row r="231">
          <cell r="Y231">
            <v>1</v>
          </cell>
          <cell r="Z231" t="str">
            <v>M³</v>
          </cell>
          <cell r="AA231" t="str">
            <v>Sand ordinary soil SS20B</v>
          </cell>
          <cell r="AB231">
            <v>16.399999999999999</v>
          </cell>
          <cell r="AC231" t="str">
            <v>1M³</v>
          </cell>
          <cell r="AD231">
            <v>16.399999999999999</v>
          </cell>
        </row>
        <row r="232">
          <cell r="Y232">
            <v>1</v>
          </cell>
          <cell r="Z232" t="str">
            <v>M³</v>
          </cell>
          <cell r="AA232" t="str">
            <v>Hard stiff clay SS20B</v>
          </cell>
          <cell r="AB232">
            <v>24.9</v>
          </cell>
          <cell r="AC232" t="str">
            <v>1M³</v>
          </cell>
          <cell r="AD232">
            <v>24.9</v>
          </cell>
        </row>
        <row r="234">
          <cell r="AD234">
            <v>41.3</v>
          </cell>
        </row>
        <row r="235">
          <cell r="AA235" t="str">
            <v>Average rate</v>
          </cell>
          <cell r="AB235">
            <v>41.3</v>
          </cell>
          <cell r="AC235" t="str">
            <v xml:space="preserve"> / 2</v>
          </cell>
          <cell r="AD235">
            <v>20.65</v>
          </cell>
        </row>
        <row r="237">
          <cell r="Y237">
            <v>1</v>
          </cell>
          <cell r="Z237" t="str">
            <v>M³</v>
          </cell>
          <cell r="AA237" t="str">
            <v>Double the relevant rate for narrow excavation</v>
          </cell>
          <cell r="AB237">
            <v>41.3</v>
          </cell>
          <cell r="AC237" t="str">
            <v>1M³</v>
          </cell>
          <cell r="AD237">
            <v>41.3</v>
          </cell>
        </row>
        <row r="238">
          <cell r="Y238">
            <v>0.33333333333333331</v>
          </cell>
          <cell r="Z238" t="str">
            <v>M³</v>
          </cell>
          <cell r="AA238" t="str">
            <v>Add 1/3 of refilling rate</v>
          </cell>
          <cell r="AB238">
            <v>8.75</v>
          </cell>
          <cell r="AC238" t="str">
            <v>1M³</v>
          </cell>
          <cell r="AD238">
            <v>2.92</v>
          </cell>
        </row>
        <row r="239">
          <cell r="AB239" t="str">
            <v>FOR  1  M³      =</v>
          </cell>
          <cell r="AD239">
            <v>44.22</v>
          </cell>
        </row>
        <row r="240">
          <cell r="X240">
            <v>7</v>
          </cell>
          <cell r="Y240" t="str">
            <v>Cement concrete 1:5:10 (One of cement, five of sand and ten of hard broken stone) using 40mm size hard broken stone inclusive of shoring, strutting, bailing out water, ramming, curing etc., complete in all respects as directed by the departmental officers</v>
          </cell>
        </row>
        <row r="241">
          <cell r="Y241">
            <v>9</v>
          </cell>
          <cell r="Z241" t="str">
            <v>M³</v>
          </cell>
          <cell r="AA241" t="str">
            <v>Hard broken granite stones 40mm-ISS</v>
          </cell>
          <cell r="AB241">
            <v>346.8</v>
          </cell>
          <cell r="AC241" t="str">
            <v>1M³</v>
          </cell>
          <cell r="AD241">
            <v>3121.2</v>
          </cell>
        </row>
        <row r="242">
          <cell r="Y242">
            <v>4.5</v>
          </cell>
          <cell r="Z242" t="str">
            <v>M³</v>
          </cell>
          <cell r="AA242" t="str">
            <v>Cement mortar 1:5</v>
          </cell>
          <cell r="AB242">
            <v>1009.52</v>
          </cell>
          <cell r="AC242" t="str">
            <v>1M³</v>
          </cell>
          <cell r="AD242">
            <v>4542.84</v>
          </cell>
        </row>
        <row r="243">
          <cell r="Y243">
            <v>1.8</v>
          </cell>
          <cell r="Z243" t="str">
            <v>No</v>
          </cell>
          <cell r="AA243" t="str">
            <v>Mason II class</v>
          </cell>
          <cell r="AB243">
            <v>126</v>
          </cell>
          <cell r="AC243" t="str">
            <v>Each</v>
          </cell>
          <cell r="AD243">
            <v>226.8</v>
          </cell>
        </row>
        <row r="244">
          <cell r="Y244">
            <v>17.7</v>
          </cell>
          <cell r="Z244" t="str">
            <v>No</v>
          </cell>
          <cell r="AA244" t="str">
            <v>Mazdoor category I</v>
          </cell>
          <cell r="AB244">
            <v>85</v>
          </cell>
          <cell r="AC244" t="str">
            <v>Each</v>
          </cell>
          <cell r="AD244">
            <v>1504.5</v>
          </cell>
        </row>
        <row r="245">
          <cell r="Y245">
            <v>14.1</v>
          </cell>
          <cell r="Z245" t="str">
            <v>No</v>
          </cell>
          <cell r="AA245" t="str">
            <v>Mazdoor category II</v>
          </cell>
          <cell r="AB245">
            <v>80</v>
          </cell>
          <cell r="AC245" t="str">
            <v>Each</v>
          </cell>
          <cell r="AD245">
            <v>1128</v>
          </cell>
        </row>
        <row r="247">
          <cell r="AB247" t="str">
            <v>FOR 10 M³      =</v>
          </cell>
          <cell r="AD247">
            <v>10523.34</v>
          </cell>
        </row>
        <row r="249">
          <cell r="AA249" t="str">
            <v>For foundation &amp; Basement</v>
          </cell>
          <cell r="AB249" t="str">
            <v>FOR  1  M³      =</v>
          </cell>
          <cell r="AD249">
            <v>1052.33</v>
          </cell>
        </row>
        <row r="251">
          <cell r="X251">
            <v>8</v>
          </cell>
          <cell r="Y251" t="str">
            <v>Cement concrete 1:2:4 (One of cement, two of sand and four of hard broken granite stones ) using 20mm gauge hard broken granite stones for all reinforced cement concrete works viz. Raft slabs, raft beams, column footing, plinth beam, lintel, square or cir</v>
          </cell>
        </row>
        <row r="252">
          <cell r="Y252">
            <v>9</v>
          </cell>
          <cell r="Z252" t="str">
            <v>M³</v>
          </cell>
          <cell r="AA252" t="str">
            <v xml:space="preserve">20 mm H.B.G.  ISS. Stone </v>
          </cell>
          <cell r="AB252">
            <v>421.8</v>
          </cell>
          <cell r="AC252" t="str">
            <v>1M³</v>
          </cell>
          <cell r="AD252">
            <v>3796.2</v>
          </cell>
        </row>
        <row r="253">
          <cell r="Y253">
            <v>4.5</v>
          </cell>
          <cell r="Z253" t="str">
            <v>M³</v>
          </cell>
          <cell r="AA253" t="str">
            <v>Sand for mortar</v>
          </cell>
          <cell r="AB253">
            <v>165.6</v>
          </cell>
          <cell r="AC253" t="str">
            <v>1M³</v>
          </cell>
          <cell r="AD253">
            <v>745.2</v>
          </cell>
        </row>
        <row r="254">
          <cell r="Y254">
            <v>3.2309999999999999</v>
          </cell>
          <cell r="Z254" t="str">
            <v>MT</v>
          </cell>
          <cell r="AA254" t="str">
            <v>Cement</v>
          </cell>
          <cell r="AB254">
            <v>2840</v>
          </cell>
          <cell r="AC254" t="str">
            <v>1MT</v>
          </cell>
          <cell r="AD254">
            <v>9176.0400000000009</v>
          </cell>
        </row>
        <row r="255">
          <cell r="Y255">
            <v>3.5</v>
          </cell>
          <cell r="Z255" t="str">
            <v>No</v>
          </cell>
          <cell r="AA255" t="str">
            <v>Mason II Class</v>
          </cell>
          <cell r="AB255">
            <v>126</v>
          </cell>
          <cell r="AC255" t="str">
            <v>Each</v>
          </cell>
          <cell r="AD255">
            <v>441</v>
          </cell>
        </row>
        <row r="256">
          <cell r="Y256">
            <v>21.2</v>
          </cell>
          <cell r="Z256" t="str">
            <v>No</v>
          </cell>
          <cell r="AA256" t="str">
            <v>Mazdoor Category I</v>
          </cell>
          <cell r="AB256">
            <v>85</v>
          </cell>
          <cell r="AC256" t="str">
            <v>Each</v>
          </cell>
          <cell r="AD256">
            <v>1802</v>
          </cell>
        </row>
        <row r="257">
          <cell r="Y257">
            <v>35.299999999999997</v>
          </cell>
          <cell r="Z257" t="str">
            <v>No</v>
          </cell>
          <cell r="AA257" t="str">
            <v>Mazdoor Category II</v>
          </cell>
          <cell r="AB257">
            <v>80</v>
          </cell>
          <cell r="AC257" t="str">
            <v>Each</v>
          </cell>
          <cell r="AD257">
            <v>2824</v>
          </cell>
        </row>
        <row r="259">
          <cell r="AA259" t="str">
            <v>Rate excluding vibration charges</v>
          </cell>
          <cell r="AB259" t="str">
            <v xml:space="preserve">FOR 10 M³    =     </v>
          </cell>
          <cell r="AD259">
            <v>18784.440000000002</v>
          </cell>
        </row>
        <row r="261">
          <cell r="AB261" t="str">
            <v xml:space="preserve"> FOR 1 M³     =</v>
          </cell>
          <cell r="AD261">
            <v>1878.44</v>
          </cell>
        </row>
        <row r="262">
          <cell r="AA262" t="str">
            <v>Add vibration charges</v>
          </cell>
          <cell r="AB262" t="str">
            <v xml:space="preserve"> FOR 1 M³     =</v>
          </cell>
          <cell r="AD262">
            <v>20.6</v>
          </cell>
        </row>
        <row r="264">
          <cell r="Z264" t="str">
            <v>A</v>
          </cell>
          <cell r="AA264" t="str">
            <v xml:space="preserve">In Foundation &amp; basement </v>
          </cell>
          <cell r="AB264" t="str">
            <v xml:space="preserve"> FOR 1 M³     =</v>
          </cell>
          <cell r="AD264">
            <v>1899.04</v>
          </cell>
        </row>
        <row r="265">
          <cell r="AA265" t="str">
            <v>Add for lift charges</v>
          </cell>
          <cell r="AC265" t="str">
            <v>`</v>
          </cell>
          <cell r="AD265">
            <v>26.3</v>
          </cell>
        </row>
        <row r="266">
          <cell r="Z266" t="str">
            <v>B</v>
          </cell>
          <cell r="AA266" t="str">
            <v>In Ground floor</v>
          </cell>
          <cell r="AB266" t="str">
            <v xml:space="preserve"> FOR 1 M³     =</v>
          </cell>
          <cell r="AD266">
            <v>1925.34</v>
          </cell>
        </row>
        <row r="268">
          <cell r="X268">
            <v>9</v>
          </cell>
          <cell r="Y268" t="str">
            <v>Reinforced cement concrete 1:2:4 (One of cement, two of sand and four of hard broken granite stones ) using 20mm gauge hard broken granite stones for petty works excluding the cost and fabrication  of reinforcement grills in position but including cost of</v>
          </cell>
        </row>
        <row r="269">
          <cell r="Y269">
            <v>1</v>
          </cell>
          <cell r="Z269" t="str">
            <v>M³</v>
          </cell>
          <cell r="AA269" t="str">
            <v>RCC 1:2:4 (without vibration charges)</v>
          </cell>
          <cell r="AB269">
            <v>1878.44</v>
          </cell>
          <cell r="AC269" t="str">
            <v>1M³</v>
          </cell>
          <cell r="AD269">
            <v>1878.44</v>
          </cell>
        </row>
        <row r="270">
          <cell r="Y270" t="str">
            <v xml:space="preserve">               LS</v>
          </cell>
          <cell r="AA270" t="str">
            <v>Sundries including cost of casting, moulding,curing,finishing etc.</v>
          </cell>
          <cell r="AB270" t="str">
            <v xml:space="preserve">               LS</v>
          </cell>
          <cell r="AD270">
            <v>61.559999999999945</v>
          </cell>
        </row>
        <row r="272">
          <cell r="AA272" t="str">
            <v>In all Floors</v>
          </cell>
          <cell r="AB272" t="str">
            <v xml:space="preserve"> FOR 1 M³     =</v>
          </cell>
          <cell r="AD272">
            <v>1940</v>
          </cell>
        </row>
        <row r="274">
          <cell r="X274">
            <v>10</v>
          </cell>
          <cell r="Y274" t="str">
            <v>Fabricating and placing the following kinds of steel grills for reinforcement for all reinforced cement concrete works such as plinth beam, lintels, beams, sunshade, roof and floor slabs etc., including cost of steel and fabricating the reinforcement gril</v>
          </cell>
        </row>
        <row r="275">
          <cell r="X275" t="str">
            <v>a)</v>
          </cell>
          <cell r="Y275" t="str">
            <v>Steel upto 16mm dia - 100 Kg.</v>
          </cell>
        </row>
        <row r="276">
          <cell r="Y276">
            <v>0.1</v>
          </cell>
          <cell r="Z276" t="str">
            <v>MT</v>
          </cell>
          <cell r="AA276" t="str">
            <v>Steel upto 16mm dia</v>
          </cell>
          <cell r="AB276">
            <v>28000</v>
          </cell>
          <cell r="AC276" t="str">
            <v>1MT</v>
          </cell>
          <cell r="AD276">
            <v>2800</v>
          </cell>
        </row>
        <row r="277">
          <cell r="Y277">
            <v>1</v>
          </cell>
          <cell r="Z277" t="str">
            <v>KG</v>
          </cell>
          <cell r="AA277" t="str">
            <v>Binding wire</v>
          </cell>
          <cell r="AB277">
            <v>30</v>
          </cell>
          <cell r="AC277" t="str">
            <v>1KG</v>
          </cell>
          <cell r="AD277">
            <v>30</v>
          </cell>
        </row>
        <row r="278">
          <cell r="Y278">
            <v>3.5</v>
          </cell>
          <cell r="Z278" t="str">
            <v>No</v>
          </cell>
          <cell r="AA278" t="str">
            <v>Fitter I class for bar bending,tying</v>
          </cell>
          <cell r="AB278">
            <v>106</v>
          </cell>
          <cell r="AC278" t="str">
            <v>Each</v>
          </cell>
          <cell r="AD278">
            <v>371</v>
          </cell>
        </row>
        <row r="280">
          <cell r="AB280" t="str">
            <v>FOR 100KG    =</v>
          </cell>
          <cell r="AD280">
            <v>3201</v>
          </cell>
        </row>
        <row r="282">
          <cell r="AB282" t="str">
            <v>FOR 1 M.T.     =</v>
          </cell>
          <cell r="AD282">
            <v>32010</v>
          </cell>
        </row>
        <row r="284">
          <cell r="X284" t="str">
            <v>b)</v>
          </cell>
          <cell r="Y284" t="str">
            <v>Steel above 16mm dia - 100Kg.</v>
          </cell>
        </row>
        <row r="285">
          <cell r="Y285">
            <v>0.1</v>
          </cell>
          <cell r="Z285" t="str">
            <v>MT</v>
          </cell>
          <cell r="AA285" t="str">
            <v>Steel above 16mm dia</v>
          </cell>
          <cell r="AB285">
            <v>24000</v>
          </cell>
          <cell r="AC285" t="str">
            <v>1MT</v>
          </cell>
          <cell r="AD285">
            <v>2400</v>
          </cell>
        </row>
        <row r="286">
          <cell r="Y286">
            <v>1</v>
          </cell>
          <cell r="Z286" t="str">
            <v>KG</v>
          </cell>
          <cell r="AA286" t="str">
            <v>Binding wire</v>
          </cell>
          <cell r="AB286">
            <v>30</v>
          </cell>
          <cell r="AC286" t="str">
            <v>1KG</v>
          </cell>
          <cell r="AD286">
            <v>30</v>
          </cell>
        </row>
        <row r="287">
          <cell r="Y287">
            <v>3.5</v>
          </cell>
          <cell r="Z287" t="str">
            <v>No</v>
          </cell>
          <cell r="AA287" t="str">
            <v>Fitter I class for bar bending,tying</v>
          </cell>
          <cell r="AB287">
            <v>106</v>
          </cell>
          <cell r="AC287" t="str">
            <v>Each</v>
          </cell>
          <cell r="AD287">
            <v>371</v>
          </cell>
        </row>
        <row r="289">
          <cell r="AB289" t="str">
            <v>FOR 100KG    =</v>
          </cell>
          <cell r="AD289">
            <v>2801</v>
          </cell>
        </row>
        <row r="291">
          <cell r="AB291" t="str">
            <v>FOR 1 M.T.     =</v>
          </cell>
          <cell r="AD291">
            <v>28010</v>
          </cell>
        </row>
        <row r="293">
          <cell r="X293">
            <v>11</v>
          </cell>
          <cell r="Y293" t="str">
            <v>Providing form work for  all reinforced cement concrete works like lintels, beams,etc., including strutting 3M high using Mild steel sheets of size 90cm × 60cm and B.G. 10, stiffened with Mild steel Angles of size 25mm × 25mm × 3mm laid over Silver oak (c</v>
          </cell>
        </row>
        <row r="294">
          <cell r="Y294" t="str">
            <v>cost of M.S. Sheet and angles for each set weight of M.S.Sheet B.G. 10 of size 90cm × 60cm × 3.175mm (3.175mm thick)</v>
          </cell>
        </row>
        <row r="295">
          <cell r="Y295" t="str">
            <v>(Weight of M.S.Sheet =7850 kg/ M³)</v>
          </cell>
        </row>
        <row r="296">
          <cell r="Y296" t="str">
            <v>3.175mm × 7850kg/ 1000cm³=24.924kg × 0.54M²=13.46kg.</v>
          </cell>
        </row>
        <row r="297">
          <cell r="Y297" t="str">
            <v>weight of M.S.angles of size 25mm × 25mm × 3mm= 3.6M × 1.10kg/ M= 4kg</v>
          </cell>
        </row>
        <row r="298">
          <cell r="Y298" t="str">
            <v>SUB DATA 1 FOR COST OF ONE SHEET WITH ANGLES</v>
          </cell>
        </row>
        <row r="299">
          <cell r="Y299">
            <v>13.46</v>
          </cell>
          <cell r="Z299" t="str">
            <v>kg</v>
          </cell>
          <cell r="AA299" t="str">
            <v>Cost of M.S. Sheet</v>
          </cell>
          <cell r="AB299">
            <v>30</v>
          </cell>
          <cell r="AC299" t="str">
            <v>1Kg</v>
          </cell>
          <cell r="AD299">
            <v>403.8</v>
          </cell>
        </row>
        <row r="300">
          <cell r="Y300">
            <v>4</v>
          </cell>
          <cell r="Z300" t="str">
            <v>kg</v>
          </cell>
          <cell r="AA300" t="str">
            <v>Cost of M.S. Angles</v>
          </cell>
          <cell r="AB300">
            <v>30</v>
          </cell>
          <cell r="AC300" t="str">
            <v>1Kg</v>
          </cell>
          <cell r="AD300">
            <v>120</v>
          </cell>
        </row>
        <row r="301">
          <cell r="Y301" t="str">
            <v>L.S.</v>
          </cell>
          <cell r="AA301" t="str">
            <v>Add for cutting, bending, welding etc.,</v>
          </cell>
          <cell r="AC301" t="str">
            <v>L.S.</v>
          </cell>
          <cell r="AD301">
            <v>26.2</v>
          </cell>
        </row>
        <row r="302">
          <cell r="AB302" t="str">
            <v>FOR 1No  =</v>
          </cell>
          <cell r="AD302">
            <v>550</v>
          </cell>
        </row>
        <row r="303">
          <cell r="Y303" t="str">
            <v xml:space="preserve">SUB DATA 2 FOR COST OF M.S. SHEETS AND ANGLES FOR 1 USE ADOPTING 40 USES - 10M² </v>
          </cell>
        </row>
        <row r="304">
          <cell r="Y304">
            <v>19</v>
          </cell>
          <cell r="Z304" t="str">
            <v>nos</v>
          </cell>
          <cell r="AA304" t="str">
            <v>Cost of M.S.Sheet and Angle for 40 Uses</v>
          </cell>
          <cell r="AB304">
            <v>550</v>
          </cell>
          <cell r="AC304" t="str">
            <v>Each</v>
          </cell>
          <cell r="AD304">
            <v>10450</v>
          </cell>
        </row>
        <row r="306">
          <cell r="Y306" t="str">
            <v>Hence cost of M.S.Sheet and Angle for 1 Use =</v>
          </cell>
          <cell r="AB306">
            <v>10450</v>
          </cell>
          <cell r="AC306" t="str">
            <v xml:space="preserve"> ÷ 40   = </v>
          </cell>
          <cell r="AD306">
            <v>261.25</v>
          </cell>
        </row>
        <row r="308">
          <cell r="Y308" t="str">
            <v xml:space="preserve">SUB DATA 3 FOR COST OF  SILVER OAK JOISTS AND CASURINA PROPS ADOPTING 5 USES - 10M² </v>
          </cell>
        </row>
        <row r="309">
          <cell r="Y309">
            <v>0.12</v>
          </cell>
          <cell r="Z309" t="str">
            <v>M³</v>
          </cell>
          <cell r="AA309" t="str">
            <v>Silver oak (C.W.) joists 10cm × 6.5cm at about 90cm c/c</v>
          </cell>
          <cell r="AB309">
            <v>9300</v>
          </cell>
          <cell r="AC309" t="str">
            <v>1M³</v>
          </cell>
          <cell r="AD309">
            <v>1116</v>
          </cell>
        </row>
        <row r="310">
          <cell r="Y310">
            <v>98.5</v>
          </cell>
          <cell r="Z310" t="str">
            <v>RM</v>
          </cell>
          <cell r="AA310" t="str">
            <v>Casurina poles 10cm to 13cm dia at about 75cm c/c</v>
          </cell>
          <cell r="AB310">
            <v>15</v>
          </cell>
          <cell r="AC310" t="str">
            <v>1RM</v>
          </cell>
          <cell r="AD310">
            <v>1477.5</v>
          </cell>
        </row>
        <row r="311">
          <cell r="AA311" t="str">
            <v>FOR 5 USES OF 10M²  =</v>
          </cell>
          <cell r="AD311">
            <v>2593.5</v>
          </cell>
        </row>
        <row r="313">
          <cell r="Y313" t="str">
            <v>Hence cost of silver oak joists and casurina props for 1 Use =</v>
          </cell>
          <cell r="AB313">
            <v>2593.5</v>
          </cell>
          <cell r="AC313" t="str">
            <v xml:space="preserve"> ÷ 5   = </v>
          </cell>
          <cell r="AD313">
            <v>518.70000000000005</v>
          </cell>
        </row>
        <row r="314">
          <cell r="Y314" t="str">
            <v>MAIN DATA FOR CENTERING FOR  10M²</v>
          </cell>
        </row>
        <row r="315">
          <cell r="Y315">
            <v>10</v>
          </cell>
          <cell r="Z315" t="str">
            <v>M²</v>
          </cell>
          <cell r="AA315" t="str">
            <v xml:space="preserve"> M.S.Sheet and Angle for 1 Use </v>
          </cell>
          <cell r="AB315">
            <v>261.25</v>
          </cell>
          <cell r="AC315" t="str">
            <v>10M²</v>
          </cell>
          <cell r="AD315">
            <v>261.25</v>
          </cell>
        </row>
        <row r="316">
          <cell r="Y316">
            <v>10</v>
          </cell>
          <cell r="Z316" t="str">
            <v>M²</v>
          </cell>
          <cell r="AA316" t="str">
            <v xml:space="preserve">Silver oak joists and casurina props for 1 Use </v>
          </cell>
          <cell r="AB316">
            <v>518.70000000000005</v>
          </cell>
          <cell r="AC316" t="str">
            <v>10M²</v>
          </cell>
          <cell r="AD316">
            <v>518.70000000000005</v>
          </cell>
        </row>
        <row r="317">
          <cell r="Y317">
            <v>3.8</v>
          </cell>
          <cell r="Z317" t="str">
            <v>Nos</v>
          </cell>
          <cell r="AA317" t="str">
            <v>Carpenter I class</v>
          </cell>
          <cell r="AB317">
            <v>148</v>
          </cell>
          <cell r="AC317" t="str">
            <v>Each</v>
          </cell>
          <cell r="AD317">
            <v>562.4</v>
          </cell>
        </row>
        <row r="318">
          <cell r="Y318">
            <v>5.4</v>
          </cell>
          <cell r="Z318" t="str">
            <v>Nos</v>
          </cell>
          <cell r="AA318" t="str">
            <v>Mazdoor I class</v>
          </cell>
          <cell r="AB318">
            <v>85</v>
          </cell>
          <cell r="AC318" t="str">
            <v>Each</v>
          </cell>
          <cell r="AD318">
            <v>459</v>
          </cell>
        </row>
        <row r="319">
          <cell r="Y319">
            <v>1</v>
          </cell>
          <cell r="Z319" t="str">
            <v>No</v>
          </cell>
          <cell r="AA319" t="str">
            <v>Fitter II class</v>
          </cell>
          <cell r="AB319">
            <v>98</v>
          </cell>
          <cell r="AC319" t="str">
            <v>Each</v>
          </cell>
          <cell r="AD319">
            <v>98</v>
          </cell>
        </row>
        <row r="320">
          <cell r="Y320" t="str">
            <v>L.S.</v>
          </cell>
          <cell r="AA320" t="str">
            <v>Silver oak planks</v>
          </cell>
          <cell r="AB320" t="str">
            <v>L.S.</v>
          </cell>
          <cell r="AD320">
            <v>9</v>
          </cell>
        </row>
        <row r="321">
          <cell r="Y321" t="str">
            <v>L.S.</v>
          </cell>
          <cell r="AA321" t="str">
            <v>Wedges nails coir etc.,</v>
          </cell>
          <cell r="AB321" t="str">
            <v>L.S.</v>
          </cell>
          <cell r="AD321">
            <v>10</v>
          </cell>
        </row>
        <row r="322">
          <cell r="Y322" t="str">
            <v>L.S.</v>
          </cell>
          <cell r="AA322" t="str">
            <v>Periodical cleaning and painting of the MS Sheet &amp; angles</v>
          </cell>
          <cell r="AB322" t="str">
            <v>L.S.</v>
          </cell>
          <cell r="AD322">
            <v>50</v>
          </cell>
        </row>
        <row r="324">
          <cell r="AB324" t="str">
            <v>FOR 10 M²    =</v>
          </cell>
          <cell r="AD324">
            <v>1968.35</v>
          </cell>
        </row>
        <row r="326">
          <cell r="Z326" t="str">
            <v>a)</v>
          </cell>
          <cell r="AA326" t="str">
            <v>For Slabs, Lintels, Beams etc.</v>
          </cell>
          <cell r="AB326" t="str">
            <v>FOR 1 M²      =</v>
          </cell>
          <cell r="AD326">
            <v>196.84</v>
          </cell>
        </row>
        <row r="328">
          <cell r="Z328" t="str">
            <v>b)</v>
          </cell>
          <cell r="AA328" t="str">
            <v>For Plinth Beam/Raft Beam etc.not requiring strutting 3 metre high.</v>
          </cell>
          <cell r="AB328" t="str">
            <v>FOR 1 M²      =</v>
          </cell>
          <cell r="AD328">
            <v>98.42</v>
          </cell>
        </row>
        <row r="330">
          <cell r="X330">
            <v>12</v>
          </cell>
          <cell r="Y330" t="str">
            <v>Plastering the top of flooring with cement mortar 1:5 (One of cement and five of sand) 20mm thick including providing band cornice, finishing smooth, proper setting, curing etc., complete as directed by the departmental officers - 10M²</v>
          </cell>
        </row>
        <row r="331">
          <cell r="Y331">
            <v>0.22</v>
          </cell>
          <cell r="Z331" t="str">
            <v>M³</v>
          </cell>
          <cell r="AA331" t="str">
            <v>Cement Mortar 1:5</v>
          </cell>
          <cell r="AB331">
            <v>1009.52</v>
          </cell>
          <cell r="AC331" t="str">
            <v>1M³</v>
          </cell>
          <cell r="AD331">
            <v>222.09</v>
          </cell>
        </row>
        <row r="332">
          <cell r="Y332">
            <v>2.2000000000000002</v>
          </cell>
          <cell r="Z332" t="str">
            <v>No</v>
          </cell>
          <cell r="AA332" t="str">
            <v>Mason I class</v>
          </cell>
          <cell r="AB332">
            <v>148</v>
          </cell>
          <cell r="AC332" t="str">
            <v>Each</v>
          </cell>
          <cell r="AD332">
            <v>325.60000000000002</v>
          </cell>
        </row>
        <row r="333">
          <cell r="Y333">
            <v>0.5</v>
          </cell>
          <cell r="Z333" t="str">
            <v>No</v>
          </cell>
          <cell r="AA333" t="str">
            <v>Mazdoor I class</v>
          </cell>
          <cell r="AB333">
            <v>85</v>
          </cell>
          <cell r="AC333" t="str">
            <v>Each</v>
          </cell>
          <cell r="AD333">
            <v>42.5</v>
          </cell>
        </row>
        <row r="334">
          <cell r="Y334">
            <v>3.2</v>
          </cell>
          <cell r="Z334" t="str">
            <v>No</v>
          </cell>
          <cell r="AA334" t="str">
            <v>Mazdoor II class</v>
          </cell>
          <cell r="AB334">
            <v>80</v>
          </cell>
          <cell r="AC334" t="str">
            <v>Each</v>
          </cell>
          <cell r="AD334">
            <v>256</v>
          </cell>
        </row>
        <row r="335">
          <cell r="Y335" t="str">
            <v/>
          </cell>
        </row>
        <row r="336">
          <cell r="AB336" t="str">
            <v>FOR 10 M²    =</v>
          </cell>
          <cell r="AD336">
            <v>846.19</v>
          </cell>
        </row>
        <row r="338">
          <cell r="AA338" t="str">
            <v>In all Floors</v>
          </cell>
          <cell r="AB338" t="str">
            <v>FOR 1 M²      =</v>
          </cell>
          <cell r="AD338">
            <v>84.62</v>
          </cell>
        </row>
        <row r="340">
          <cell r="X340">
            <v>13</v>
          </cell>
          <cell r="Y340" t="str">
            <v>Plastering the walls with cement mortar 1:5 (One of cement and five of sand) 12mm thick including finishing smooth, scaffolding, setting, curing etc., complete as directed by the departmental officers - 10M².</v>
          </cell>
        </row>
        <row r="341">
          <cell r="Y341">
            <v>0.14000000000000001</v>
          </cell>
          <cell r="Z341" t="str">
            <v>M³</v>
          </cell>
          <cell r="AA341" t="str">
            <v>Cement Mortar 1:5</v>
          </cell>
          <cell r="AB341">
            <v>1009.52</v>
          </cell>
          <cell r="AC341" t="str">
            <v>1M³</v>
          </cell>
          <cell r="AD341">
            <v>141.33000000000001</v>
          </cell>
        </row>
        <row r="342">
          <cell r="Y342">
            <v>1.1000000000000001</v>
          </cell>
          <cell r="Z342" t="str">
            <v>No</v>
          </cell>
          <cell r="AA342" t="str">
            <v>Mason I class</v>
          </cell>
          <cell r="AB342">
            <v>148</v>
          </cell>
          <cell r="AC342" t="str">
            <v>Each</v>
          </cell>
          <cell r="AD342">
            <v>162.80000000000001</v>
          </cell>
        </row>
        <row r="343">
          <cell r="Y343">
            <v>0.5</v>
          </cell>
          <cell r="Z343" t="str">
            <v>No</v>
          </cell>
          <cell r="AA343" t="str">
            <v>Mazdoor I class</v>
          </cell>
          <cell r="AB343">
            <v>85</v>
          </cell>
          <cell r="AC343" t="str">
            <v>Each</v>
          </cell>
          <cell r="AD343">
            <v>42.5</v>
          </cell>
        </row>
        <row r="344">
          <cell r="Y344">
            <v>1.1000000000000001</v>
          </cell>
          <cell r="Z344" t="str">
            <v>No</v>
          </cell>
          <cell r="AA344" t="str">
            <v>Mazdoor II class</v>
          </cell>
          <cell r="AB344">
            <v>80</v>
          </cell>
          <cell r="AC344" t="str">
            <v>Each</v>
          </cell>
          <cell r="AD344">
            <v>88</v>
          </cell>
        </row>
        <row r="345">
          <cell r="Y345" t="str">
            <v/>
          </cell>
        </row>
        <row r="346">
          <cell r="AB346" t="str">
            <v>FOR 10 M²    =</v>
          </cell>
          <cell r="AD346">
            <v>434.63</v>
          </cell>
        </row>
        <row r="348">
          <cell r="AA348" t="str">
            <v>In all Floors</v>
          </cell>
          <cell r="AB348" t="str">
            <v>FOR 1 M²      =</v>
          </cell>
          <cell r="AD348">
            <v>43.46</v>
          </cell>
        </row>
        <row r="350">
          <cell r="X350">
            <v>14</v>
          </cell>
          <cell r="Y350" t="str">
            <v>Plastering the top of roof slab with cement mortar 1:5 (One of cement and five of sand) 12mm thick with crude oil 5%by weight of cement used including finishing smooth, scaffolding, setting, curing etc., complete as directed by the departmental officers -</v>
          </cell>
        </row>
        <row r="351">
          <cell r="Y351">
            <v>10</v>
          </cell>
          <cell r="Z351" t="str">
            <v>M²</v>
          </cell>
          <cell r="AA351" t="str">
            <v>Cement Mortar 1:5, 12mm thick</v>
          </cell>
          <cell r="AB351">
            <v>434.63</v>
          </cell>
          <cell r="AC351" t="str">
            <v>10M²</v>
          </cell>
          <cell r="AD351">
            <v>434.63</v>
          </cell>
        </row>
        <row r="352">
          <cell r="Y352">
            <v>2.02</v>
          </cell>
          <cell r="Z352" t="str">
            <v>Kg</v>
          </cell>
          <cell r="AA352" t="str">
            <v>Crude oil</v>
          </cell>
          <cell r="AB352">
            <v>16</v>
          </cell>
          <cell r="AC352" t="str">
            <v>1Kg</v>
          </cell>
          <cell r="AD352">
            <v>32.32</v>
          </cell>
        </row>
        <row r="353">
          <cell r="Y353" t="str">
            <v/>
          </cell>
        </row>
        <row r="354">
          <cell r="AB354" t="str">
            <v>FOR 10 M²    =</v>
          </cell>
          <cell r="AD354">
            <v>466.95</v>
          </cell>
        </row>
        <row r="356">
          <cell r="AA356" t="str">
            <v>In all Floors</v>
          </cell>
          <cell r="AB356" t="str">
            <v>FOR 1 M²      =</v>
          </cell>
          <cell r="AD356">
            <v>46.7</v>
          </cell>
        </row>
        <row r="358">
          <cell r="X358">
            <v>15</v>
          </cell>
          <cell r="Y358" t="str">
            <v>Refilling with selected excavated earth complying with standard specifications for refilling in foundation and basement etc., complete as directed by the departmental officers - 1M³</v>
          </cell>
        </row>
        <row r="359">
          <cell r="Y359">
            <v>1</v>
          </cell>
          <cell r="Z359" t="str">
            <v>M³</v>
          </cell>
          <cell r="AA359" t="str">
            <v>Filling in foundation and basement</v>
          </cell>
          <cell r="AB359">
            <v>8.75</v>
          </cell>
          <cell r="AC359" t="str">
            <v>1M³</v>
          </cell>
          <cell r="AD359">
            <v>8.75</v>
          </cell>
        </row>
        <row r="361">
          <cell r="AB361" t="str">
            <v>FOR  1  M³      =</v>
          </cell>
          <cell r="AD361">
            <v>8.75</v>
          </cell>
        </row>
        <row r="362">
          <cell r="X362">
            <v>16</v>
          </cell>
          <cell r="Y362" t="str">
            <v xml:space="preserve">Brick work in cement mortar 1:6 (One of cement and six of sand) using  II Class Chamber Burnt Bricks  (Table moulded) of size 9"×4-3/8"×2-3/4" including proper setting, curing, etc., complete in all respects - 10M³. </v>
          </cell>
        </row>
        <row r="363">
          <cell r="Y363">
            <v>4600</v>
          </cell>
          <cell r="Z363" t="str">
            <v>No</v>
          </cell>
          <cell r="AA363" t="str">
            <v>Bricks Class II (Table moulded) Chamber Burnt  of size 9"×4-3/8"×2-3/4"</v>
          </cell>
          <cell r="AB363">
            <v>1840.1</v>
          </cell>
          <cell r="AC363" t="str">
            <v>1000No</v>
          </cell>
          <cell r="AD363">
            <v>8464.4599999999991</v>
          </cell>
        </row>
        <row r="364">
          <cell r="Y364">
            <v>2.5</v>
          </cell>
          <cell r="Z364" t="str">
            <v>M³</v>
          </cell>
          <cell r="AA364" t="str">
            <v>Cement mortar 1:6</v>
          </cell>
          <cell r="AB364">
            <v>873.2</v>
          </cell>
          <cell r="AC364" t="str">
            <v>1M³</v>
          </cell>
          <cell r="AD364">
            <v>2183</v>
          </cell>
        </row>
        <row r="365">
          <cell r="Y365">
            <v>3.5</v>
          </cell>
          <cell r="Z365" t="str">
            <v>No</v>
          </cell>
          <cell r="AA365" t="str">
            <v>Mason I class</v>
          </cell>
          <cell r="AB365">
            <v>148</v>
          </cell>
          <cell r="AC365" t="str">
            <v>Each</v>
          </cell>
          <cell r="AD365">
            <v>518</v>
          </cell>
        </row>
        <row r="366">
          <cell r="Y366">
            <v>10.6</v>
          </cell>
          <cell r="Z366" t="str">
            <v>No</v>
          </cell>
          <cell r="AA366" t="str">
            <v>Mason II class</v>
          </cell>
          <cell r="AB366">
            <v>126</v>
          </cell>
          <cell r="AC366" t="str">
            <v>Each</v>
          </cell>
          <cell r="AD366">
            <v>1335.6</v>
          </cell>
        </row>
        <row r="367">
          <cell r="Y367">
            <v>7.1</v>
          </cell>
          <cell r="Z367" t="str">
            <v>No</v>
          </cell>
          <cell r="AA367" t="str">
            <v>Mazdoor category I</v>
          </cell>
          <cell r="AB367">
            <v>85</v>
          </cell>
          <cell r="AC367" t="str">
            <v>Each</v>
          </cell>
          <cell r="AD367">
            <v>603.5</v>
          </cell>
        </row>
        <row r="368">
          <cell r="Y368">
            <v>21.2</v>
          </cell>
          <cell r="Z368" t="str">
            <v>No</v>
          </cell>
          <cell r="AA368" t="str">
            <v>Mazdoor category II</v>
          </cell>
          <cell r="AB368">
            <v>80</v>
          </cell>
          <cell r="AC368" t="str">
            <v>Each</v>
          </cell>
          <cell r="AD368">
            <v>1696</v>
          </cell>
        </row>
        <row r="370">
          <cell r="AB370" t="str">
            <v>FOR 10 M³      =</v>
          </cell>
          <cell r="AD370">
            <v>14800.56</v>
          </cell>
        </row>
        <row r="372">
          <cell r="Z372" t="str">
            <v>A</v>
          </cell>
          <cell r="AA372" t="str">
            <v>In Foundation &amp; Basement</v>
          </cell>
          <cell r="AB372" t="str">
            <v>FOR  1  M³      =</v>
          </cell>
          <cell r="AD372">
            <v>1480.06</v>
          </cell>
        </row>
        <row r="373">
          <cell r="AA373" t="str">
            <v>Add for lift charges</v>
          </cell>
          <cell r="AD373">
            <v>17.5</v>
          </cell>
        </row>
        <row r="374">
          <cell r="Z374" t="str">
            <v>B</v>
          </cell>
          <cell r="AA374" t="str">
            <v>In ground Floor</v>
          </cell>
          <cell r="AB374" t="str">
            <v>FOR  1  M³      =</v>
          </cell>
          <cell r="AD374">
            <v>1497.56</v>
          </cell>
        </row>
        <row r="376">
          <cell r="X376">
            <v>17</v>
          </cell>
          <cell r="Y376" t="str">
            <v>Brick partition wall 11cm thick in cement mortar 1:6 (One of cement and six of sand) using II Class Chamber Burnt Bricks (Table moulded) of size 9"×4-3/8"×2-3/4" including  proper setting, curing, etc., complete in all respects. - 10M²</v>
          </cell>
        </row>
        <row r="377">
          <cell r="AA377" t="str">
            <v>Sub-Data                                  --10M³</v>
          </cell>
        </row>
        <row r="378">
          <cell r="Y378">
            <v>4600</v>
          </cell>
          <cell r="Z378" t="str">
            <v>No</v>
          </cell>
          <cell r="AA378" t="str">
            <v>Bricks Class II (Table moulded) Chamber Burnt  of size 9"×4-3/8"×2-3/4"</v>
          </cell>
          <cell r="AB378">
            <v>1840.1</v>
          </cell>
          <cell r="AC378" t="str">
            <v>1000No</v>
          </cell>
          <cell r="AD378">
            <v>8464.4599999999991</v>
          </cell>
        </row>
        <row r="379">
          <cell r="Y379">
            <v>1.59</v>
          </cell>
          <cell r="Z379" t="str">
            <v>M³</v>
          </cell>
          <cell r="AA379" t="str">
            <v>Cement mortar 1:6</v>
          </cell>
          <cell r="AB379">
            <v>873.2</v>
          </cell>
          <cell r="AC379" t="str">
            <v>1M³</v>
          </cell>
          <cell r="AD379">
            <v>1388.39</v>
          </cell>
        </row>
        <row r="380">
          <cell r="Y380">
            <v>7</v>
          </cell>
          <cell r="Z380" t="str">
            <v>No</v>
          </cell>
          <cell r="AA380" t="str">
            <v>Mason I class</v>
          </cell>
          <cell r="AB380">
            <v>148</v>
          </cell>
          <cell r="AC380" t="str">
            <v>Each</v>
          </cell>
          <cell r="AD380">
            <v>1036</v>
          </cell>
        </row>
        <row r="381">
          <cell r="Y381">
            <v>7.1</v>
          </cell>
          <cell r="Z381" t="str">
            <v>No</v>
          </cell>
          <cell r="AA381" t="str">
            <v>Mason II class</v>
          </cell>
          <cell r="AB381">
            <v>126</v>
          </cell>
          <cell r="AC381" t="str">
            <v>Each</v>
          </cell>
          <cell r="AD381">
            <v>894.6</v>
          </cell>
        </row>
        <row r="382">
          <cell r="Y382">
            <v>7.1</v>
          </cell>
          <cell r="Z382" t="str">
            <v>No</v>
          </cell>
          <cell r="AA382" t="str">
            <v>Mazdoor category I</v>
          </cell>
          <cell r="AB382">
            <v>85</v>
          </cell>
          <cell r="AC382" t="str">
            <v>Each</v>
          </cell>
          <cell r="AD382">
            <v>603.5</v>
          </cell>
        </row>
        <row r="383">
          <cell r="Y383">
            <v>21.2</v>
          </cell>
          <cell r="Z383" t="str">
            <v>No</v>
          </cell>
          <cell r="AA383" t="str">
            <v>Mazdoor category II</v>
          </cell>
          <cell r="AB383">
            <v>80</v>
          </cell>
          <cell r="AC383" t="str">
            <v>Each</v>
          </cell>
          <cell r="AD383">
            <v>1696</v>
          </cell>
        </row>
        <row r="385">
          <cell r="AB385" t="str">
            <v>FOR 10 M³      =</v>
          </cell>
          <cell r="AD385">
            <v>14082.949999999999</v>
          </cell>
        </row>
        <row r="387">
          <cell r="AB387" t="str">
            <v>FOR  1 M³       =</v>
          </cell>
          <cell r="AD387">
            <v>1408.3</v>
          </cell>
        </row>
        <row r="388">
          <cell r="AA388" t="str">
            <v>Main-Data                                 --10M²</v>
          </cell>
        </row>
        <row r="390">
          <cell r="Y390">
            <v>1.1100000000000001</v>
          </cell>
          <cell r="Z390" t="str">
            <v>M³</v>
          </cell>
          <cell r="AA390" t="str">
            <v>Brick partition wall in cement mortar 1:6</v>
          </cell>
          <cell r="AB390">
            <v>1408.3</v>
          </cell>
          <cell r="AC390" t="str">
            <v>1M³</v>
          </cell>
          <cell r="AD390">
            <v>1563.21</v>
          </cell>
        </row>
        <row r="391">
          <cell r="Y391">
            <v>1</v>
          </cell>
          <cell r="Z391" t="str">
            <v>No</v>
          </cell>
          <cell r="AA391" t="str">
            <v>Mason I class</v>
          </cell>
          <cell r="AB391">
            <v>148</v>
          </cell>
          <cell r="AC391" t="str">
            <v>Each</v>
          </cell>
          <cell r="AD391">
            <v>148</v>
          </cell>
        </row>
        <row r="393">
          <cell r="AB393" t="str">
            <v>FOR 10 M²      =</v>
          </cell>
          <cell r="AD393">
            <v>1711.21</v>
          </cell>
        </row>
        <row r="395">
          <cell r="Z395" t="str">
            <v>A</v>
          </cell>
          <cell r="AA395" t="str">
            <v>In Foundation &amp; Basement</v>
          </cell>
          <cell r="AB395" t="str">
            <v>FOR  1 M²       =</v>
          </cell>
          <cell r="AD395">
            <v>171.12</v>
          </cell>
        </row>
        <row r="396">
          <cell r="AA396" t="str">
            <v>Add for lift charges</v>
          </cell>
          <cell r="AD396">
            <v>1.92</v>
          </cell>
        </row>
        <row r="397">
          <cell r="Z397" t="str">
            <v>B</v>
          </cell>
          <cell r="AA397" t="str">
            <v>In ground Floor</v>
          </cell>
          <cell r="AB397" t="str">
            <v>FOR  1 M²       =</v>
          </cell>
          <cell r="AD397">
            <v>173.04</v>
          </cell>
        </row>
        <row r="399">
          <cell r="X399">
            <v>18</v>
          </cell>
          <cell r="Y399" t="e">
            <v>#REF!</v>
          </cell>
        </row>
        <row r="400">
          <cell r="Y400">
            <v>1</v>
          </cell>
          <cell r="Z400" t="str">
            <v>M³</v>
          </cell>
          <cell r="AA400" t="str">
            <v>Filling with brick jelly 40mm size</v>
          </cell>
          <cell r="AB400">
            <v>235.2</v>
          </cell>
          <cell r="AC400" t="str">
            <v>1M³</v>
          </cell>
          <cell r="AD400">
            <v>235.2</v>
          </cell>
        </row>
        <row r="402">
          <cell r="AB402" t="str">
            <v>FOR 1 M3      =</v>
          </cell>
          <cell r="AD402">
            <v>235.2</v>
          </cell>
        </row>
        <row r="404">
          <cell r="X404">
            <v>16</v>
          </cell>
          <cell r="Y404" t="str">
            <v xml:space="preserve">Brick work in cement mortar 1:6 (One of cement and six of sand) using III class Kiln burnt country bricks of size 8-¾"×4-¼"×2-¼" including proper setting, curing, etc., complete in all respects - 10M³. </v>
          </cell>
        </row>
        <row r="405">
          <cell r="Y405">
            <v>6000</v>
          </cell>
          <cell r="Z405" t="str">
            <v>Nos</v>
          </cell>
          <cell r="AA405" t="str">
            <v>III class Kiln burnt country bricks of size 8-¾"×4-¼"×2-¼"</v>
          </cell>
          <cell r="AB405">
            <v>1337.3</v>
          </cell>
          <cell r="AC405" t="str">
            <v>1000No</v>
          </cell>
          <cell r="AD405">
            <v>8023.8</v>
          </cell>
        </row>
        <row r="406">
          <cell r="Y406">
            <v>2.8</v>
          </cell>
          <cell r="Z406" t="str">
            <v>M³</v>
          </cell>
          <cell r="AA406" t="str">
            <v>Cement mortar 1:6</v>
          </cell>
          <cell r="AB406">
            <v>873.2</v>
          </cell>
          <cell r="AC406" t="str">
            <v>1M³</v>
          </cell>
          <cell r="AD406">
            <v>2444.96</v>
          </cell>
        </row>
        <row r="407">
          <cell r="Y407">
            <v>3.5</v>
          </cell>
          <cell r="Z407" t="str">
            <v>No</v>
          </cell>
          <cell r="AA407" t="str">
            <v>Mason I class</v>
          </cell>
          <cell r="AB407">
            <v>148</v>
          </cell>
          <cell r="AC407" t="str">
            <v>Each</v>
          </cell>
          <cell r="AD407">
            <v>518</v>
          </cell>
        </row>
        <row r="408">
          <cell r="Y408">
            <v>7.1</v>
          </cell>
          <cell r="Z408" t="str">
            <v>No</v>
          </cell>
          <cell r="AA408" t="str">
            <v>Mason II class</v>
          </cell>
          <cell r="AB408">
            <v>126</v>
          </cell>
          <cell r="AC408" t="str">
            <v>Each</v>
          </cell>
          <cell r="AD408">
            <v>894.6</v>
          </cell>
        </row>
        <row r="409">
          <cell r="Y409">
            <v>7.1</v>
          </cell>
          <cell r="Z409" t="str">
            <v>No</v>
          </cell>
          <cell r="AA409" t="str">
            <v>Mazdoor category I</v>
          </cell>
          <cell r="AB409">
            <v>85</v>
          </cell>
          <cell r="AC409" t="str">
            <v>Each</v>
          </cell>
          <cell r="AD409">
            <v>603.5</v>
          </cell>
        </row>
        <row r="410">
          <cell r="Y410">
            <v>14.1</v>
          </cell>
          <cell r="Z410" t="str">
            <v>No</v>
          </cell>
          <cell r="AA410" t="str">
            <v>Mazdoor category II</v>
          </cell>
          <cell r="AB410">
            <v>80</v>
          </cell>
          <cell r="AC410" t="str">
            <v>Each</v>
          </cell>
          <cell r="AD410">
            <v>1128</v>
          </cell>
        </row>
        <row r="412">
          <cell r="AB412" t="str">
            <v>FOR 10 M³      =</v>
          </cell>
          <cell r="AD412">
            <v>13612.86</v>
          </cell>
        </row>
        <row r="414">
          <cell r="Z414" t="str">
            <v>A</v>
          </cell>
          <cell r="AA414" t="str">
            <v>In Foundation &amp; Basement</v>
          </cell>
          <cell r="AB414" t="str">
            <v>FOR  1  M³      =</v>
          </cell>
          <cell r="AD414">
            <v>1361.29</v>
          </cell>
        </row>
        <row r="415">
          <cell r="AA415" t="str">
            <v>Add for lift charges</v>
          </cell>
          <cell r="AD415">
            <v>17.5</v>
          </cell>
        </row>
        <row r="416">
          <cell r="Z416" t="str">
            <v>B</v>
          </cell>
          <cell r="AA416" t="str">
            <v>In ground Floor</v>
          </cell>
          <cell r="AB416" t="str">
            <v>FOR  1  M³      =</v>
          </cell>
          <cell r="AD416">
            <v>1378.79</v>
          </cell>
        </row>
        <row r="418">
          <cell r="X418">
            <v>17</v>
          </cell>
          <cell r="Y418" t="str">
            <v>Brick partition wall 11cm thick in cement mortar 1:6 (One of cement and six of sand) using III class Kiln burnt country bricks of size 8-¾"×4-¼"×2-¼" including  proper setting, curing, etc., complete in all respects. - 10M²</v>
          </cell>
        </row>
        <row r="419">
          <cell r="AA419" t="str">
            <v>Sub-Data                                  --10M³</v>
          </cell>
        </row>
        <row r="420">
          <cell r="Y420">
            <v>6000</v>
          </cell>
          <cell r="Z420" t="str">
            <v>Nos</v>
          </cell>
          <cell r="AA420" t="str">
            <v>III class Kiln burnt country bricks of size 8-¾"×4-¼"×2-¼"</v>
          </cell>
          <cell r="AB420">
            <v>1337.3</v>
          </cell>
          <cell r="AC420" t="str">
            <v>1000No</v>
          </cell>
          <cell r="AD420">
            <v>8023.8</v>
          </cell>
        </row>
        <row r="421">
          <cell r="Y421">
            <v>1.79</v>
          </cell>
          <cell r="Z421" t="str">
            <v>M³</v>
          </cell>
          <cell r="AA421" t="str">
            <v>Cement mortar 1:6</v>
          </cell>
          <cell r="AB421">
            <v>873.2</v>
          </cell>
          <cell r="AC421" t="str">
            <v>1M³</v>
          </cell>
          <cell r="AD421">
            <v>1563.03</v>
          </cell>
        </row>
        <row r="422">
          <cell r="Y422">
            <v>7</v>
          </cell>
          <cell r="Z422" t="str">
            <v>No</v>
          </cell>
          <cell r="AA422" t="str">
            <v>Mason I class</v>
          </cell>
          <cell r="AB422">
            <v>148</v>
          </cell>
          <cell r="AC422" t="str">
            <v>Each</v>
          </cell>
          <cell r="AD422">
            <v>1036</v>
          </cell>
        </row>
        <row r="423">
          <cell r="Y423">
            <v>3.6</v>
          </cell>
          <cell r="Z423" t="str">
            <v>No</v>
          </cell>
          <cell r="AA423" t="str">
            <v>Mason II class</v>
          </cell>
          <cell r="AB423">
            <v>126</v>
          </cell>
          <cell r="AC423" t="str">
            <v>Each</v>
          </cell>
          <cell r="AD423">
            <v>453.6</v>
          </cell>
        </row>
        <row r="424">
          <cell r="Y424">
            <v>7.1</v>
          </cell>
          <cell r="Z424" t="str">
            <v>No</v>
          </cell>
          <cell r="AA424" t="str">
            <v>Mazdoor category I</v>
          </cell>
          <cell r="AB424">
            <v>85</v>
          </cell>
          <cell r="AC424" t="str">
            <v>Each</v>
          </cell>
          <cell r="AD424">
            <v>603.5</v>
          </cell>
        </row>
        <row r="425">
          <cell r="Y425">
            <v>14.1</v>
          </cell>
          <cell r="Z425" t="str">
            <v>No</v>
          </cell>
          <cell r="AA425" t="str">
            <v>Mazdoor category II</v>
          </cell>
          <cell r="AB425">
            <v>80</v>
          </cell>
          <cell r="AC425" t="str">
            <v>Each</v>
          </cell>
          <cell r="AD425">
            <v>1128</v>
          </cell>
        </row>
        <row r="427">
          <cell r="AB427" t="str">
            <v>FOR 10 M³      =</v>
          </cell>
          <cell r="AD427">
            <v>12807.93</v>
          </cell>
        </row>
        <row r="429">
          <cell r="AB429" t="str">
            <v>FOR  1 M³       =</v>
          </cell>
          <cell r="AD429">
            <v>1280.79</v>
          </cell>
        </row>
        <row r="430">
          <cell r="AA430" t="str">
            <v>Main-Data                                 --10M²</v>
          </cell>
        </row>
        <row r="432">
          <cell r="Y432">
            <v>1.1000000000000001</v>
          </cell>
          <cell r="Z432" t="str">
            <v>M³</v>
          </cell>
          <cell r="AA432" t="str">
            <v>Brick partition wall in cement mortar 1:6</v>
          </cell>
          <cell r="AB432">
            <v>1280.79</v>
          </cell>
          <cell r="AC432" t="str">
            <v>1M³</v>
          </cell>
          <cell r="AD432">
            <v>1408.87</v>
          </cell>
        </row>
        <row r="433">
          <cell r="Y433">
            <v>1</v>
          </cell>
          <cell r="Z433" t="str">
            <v>No</v>
          </cell>
          <cell r="AA433" t="str">
            <v>Mason I class</v>
          </cell>
          <cell r="AB433">
            <v>148</v>
          </cell>
          <cell r="AC433" t="str">
            <v>Each</v>
          </cell>
          <cell r="AD433">
            <v>148</v>
          </cell>
        </row>
        <row r="435">
          <cell r="AB435" t="str">
            <v>FOR 10 M²      =</v>
          </cell>
          <cell r="AD435">
            <v>1556.87</v>
          </cell>
        </row>
        <row r="437">
          <cell r="Z437" t="str">
            <v>A</v>
          </cell>
          <cell r="AA437" t="str">
            <v>In Foundation &amp; Basement</v>
          </cell>
          <cell r="AB437" t="str">
            <v>FOR  1 M²       =</v>
          </cell>
          <cell r="AD437">
            <v>155.69</v>
          </cell>
        </row>
        <row r="438">
          <cell r="AA438" t="str">
            <v>Add for lift charges</v>
          </cell>
          <cell r="AD438">
            <v>1.92</v>
          </cell>
        </row>
        <row r="439">
          <cell r="Z439" t="str">
            <v>B</v>
          </cell>
          <cell r="AA439" t="str">
            <v>In ground Floor</v>
          </cell>
          <cell r="AB439" t="str">
            <v>FOR  1 M²       =</v>
          </cell>
          <cell r="AD439">
            <v>157.60999999999999</v>
          </cell>
        </row>
        <row r="441">
          <cell r="X441">
            <v>18</v>
          </cell>
          <cell r="Y441" t="str">
            <v xml:space="preserve">White washing two coats with best shell lime including cost of lime, gum, cunjee, brushes, scaffolding, etc., complete in all respects as directed by the departmental officers </v>
          </cell>
        </row>
        <row r="442">
          <cell r="Y442">
            <v>7.0000000000000007E-2</v>
          </cell>
          <cell r="Z442" t="str">
            <v>M³</v>
          </cell>
          <cell r="AA442" t="str">
            <v>Fine screened Shell Lime</v>
          </cell>
          <cell r="AB442">
            <v>775.2</v>
          </cell>
          <cell r="AC442" t="str">
            <v>1M³</v>
          </cell>
          <cell r="AD442">
            <v>54.26</v>
          </cell>
        </row>
        <row r="443">
          <cell r="Y443">
            <v>1.6</v>
          </cell>
          <cell r="Z443" t="str">
            <v>No</v>
          </cell>
          <cell r="AA443" t="str">
            <v>Mason II class</v>
          </cell>
          <cell r="AB443">
            <v>126</v>
          </cell>
          <cell r="AC443" t="str">
            <v>Each</v>
          </cell>
          <cell r="AD443">
            <v>201.6</v>
          </cell>
        </row>
        <row r="444">
          <cell r="Y444">
            <v>0.5</v>
          </cell>
          <cell r="Z444" t="str">
            <v>No</v>
          </cell>
          <cell r="AA444" t="str">
            <v>Mazdoor I class</v>
          </cell>
          <cell r="AB444">
            <v>85</v>
          </cell>
          <cell r="AC444" t="str">
            <v>Each</v>
          </cell>
          <cell r="AD444">
            <v>42.5</v>
          </cell>
        </row>
        <row r="445">
          <cell r="Y445">
            <v>2.7</v>
          </cell>
          <cell r="Z445" t="str">
            <v>No</v>
          </cell>
          <cell r="AA445" t="str">
            <v>Mazdoor II class</v>
          </cell>
          <cell r="AB445">
            <v>80</v>
          </cell>
          <cell r="AC445" t="str">
            <v>Each</v>
          </cell>
          <cell r="AD445">
            <v>216</v>
          </cell>
        </row>
        <row r="446">
          <cell r="Y446" t="str">
            <v>LS</v>
          </cell>
          <cell r="AA446" t="str">
            <v>Gum, conjee, water or prickly pear juice</v>
          </cell>
          <cell r="AB446" t="str">
            <v xml:space="preserve">              LS</v>
          </cell>
          <cell r="AD446">
            <v>1.81</v>
          </cell>
        </row>
        <row r="448">
          <cell r="AB448" t="str">
            <v>FOR 100 M²  =</v>
          </cell>
          <cell r="AD448">
            <v>516.16999999999996</v>
          </cell>
        </row>
        <row r="450">
          <cell r="AA450" t="str">
            <v>In all Floors</v>
          </cell>
          <cell r="AB450" t="str">
            <v>FOR 1 M²      =</v>
          </cell>
          <cell r="AD450">
            <v>5.16</v>
          </cell>
        </row>
        <row r="452">
          <cell r="X452">
            <v>20</v>
          </cell>
          <cell r="Y452" t="e">
            <v>#REF!</v>
          </cell>
        </row>
        <row r="453">
          <cell r="Y453">
            <v>1</v>
          </cell>
          <cell r="Z453" t="str">
            <v>M²</v>
          </cell>
          <cell r="AA453" t="str">
            <v>Cuddapah slab 38mm/40mm thick</v>
          </cell>
          <cell r="AB453">
            <v>245</v>
          </cell>
          <cell r="AC453" t="str">
            <v>1M²</v>
          </cell>
          <cell r="AD453">
            <v>245</v>
          </cell>
        </row>
        <row r="455">
          <cell r="AB455" t="str">
            <v>FOR 1 M²      =</v>
          </cell>
          <cell r="AD455">
            <v>245</v>
          </cell>
        </row>
        <row r="459">
          <cell r="Y459">
            <v>1</v>
          </cell>
          <cell r="Z459" t="str">
            <v>RM</v>
          </cell>
          <cell r="AA459" t="str">
            <v>63mm dia pvc pipe 4kg/cm2</v>
          </cell>
          <cell r="AB459">
            <v>26</v>
          </cell>
          <cell r="AC459" t="str">
            <v>RM</v>
          </cell>
          <cell r="AD459">
            <v>26</v>
          </cell>
        </row>
        <row r="460">
          <cell r="AB460" t="str">
            <v>FOR 1m      =</v>
          </cell>
          <cell r="AD460">
            <v>26</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lead  charge"/>
      <sheetName val="Elec_Data"/>
      <sheetName val="Elec_abs"/>
      <sheetName val="Data"/>
      <sheetName val="Bldg_Dev"/>
      <sheetName val="123"/>
      <sheetName val="7 in 1   "/>
      <sheetName val="Print Data"/>
      <sheetName val="printing data"/>
      <sheetName val="pro detail"/>
      <sheetName val="pro abs"/>
      <sheetName val="pri data"/>
      <sheetName val="Detail"/>
      <sheetName val="Abstract"/>
      <sheetName val="Compatibility 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ile data ( M30 grade) (2)"/>
      <sheetName val="Abstract (21.4.18)"/>
      <sheetName val="Building (2)"/>
      <sheetName val="G. Abstract (2)"/>
      <sheetName val="pile data ( M20 grade)"/>
      <sheetName val="  Coastal  Elec.Data "/>
      <sheetName val="lead  charge"/>
      <sheetName val="Elec.Data"/>
      <sheetName val="Elec.abs"/>
      <sheetName val="Data"/>
      <sheetName val="OHT(A4)"/>
      <sheetName val="Sheet3"/>
      <sheetName val="paver"/>
      <sheetName val="SEPTIC TANK (A4)"/>
      <sheetName val="P.P WALL (A4)"/>
      <sheetName val="SL DRAIN (A4)"/>
      <sheetName val="Storm Water Drain"/>
      <sheetName val="SUMP (A4)"/>
      <sheetName val="Culvert"/>
      <sheetName val="Sliding and french window"/>
      <sheetName val="development"/>
      <sheetName val="G. Abstractfinal"/>
      <sheetName val="Main"/>
      <sheetName val="PP"/>
    </sheetNames>
    <sheetDataSet>
      <sheetData sheetId="0" refreshError="1"/>
      <sheetData sheetId="1" refreshError="1"/>
      <sheetData sheetId="2" refreshError="1">
        <row r="1">
          <cell r="A1" t="str">
            <v>Construction of  Dining room, Pigeon hole rack with locker box for usage of Prison  staff  at Women Prison in Coimbatore.</v>
          </cell>
        </row>
        <row r="5">
          <cell r="A5">
            <v>1.1000000000000001</v>
          </cell>
          <cell r="B5" t="str">
            <v>Earth work excavation in all soils (including refilling)</v>
          </cell>
          <cell r="D5" t="str">
            <v/>
          </cell>
          <cell r="I5" t="str">
            <v>*</v>
          </cell>
        </row>
        <row r="6">
          <cell r="B6" t="str">
            <v>a. 0 to 2 mt.</v>
          </cell>
          <cell r="D6" t="str">
            <v>Cum.</v>
          </cell>
        </row>
        <row r="38">
          <cell r="A38">
            <v>2.1</v>
          </cell>
          <cell r="B38" t="str">
            <v>Filling sand</v>
          </cell>
          <cell r="D38" t="str">
            <v>Cum.</v>
          </cell>
        </row>
        <row r="45">
          <cell r="A45">
            <v>3.1</v>
          </cell>
          <cell r="B45" t="str">
            <v>C.C.1:5:10 for Foundation &amp; Basement</v>
          </cell>
          <cell r="D45" t="str">
            <v>Cum.</v>
          </cell>
        </row>
        <row r="56">
          <cell r="A56">
            <v>6.2</v>
          </cell>
          <cell r="B56" t="str">
            <v>Brick work in C.M. 1:5 (F&amp; B) using chamber Burnt bricks of size 23 x 11.4 x 7.5 cm (9" x 4 1/2"x 3")</v>
          </cell>
          <cell r="D56" t="str">
            <v>Cum.</v>
          </cell>
        </row>
        <row r="90">
          <cell r="A90">
            <v>9.1999999999999993</v>
          </cell>
          <cell r="B90" t="str">
            <v>Brick work in C.M. 1:6 using chamber Burnt bricks of size 23 x 11.4 x 7.5 cm (9" x 4 1/2"x 3")</v>
          </cell>
          <cell r="I90">
            <v>0</v>
          </cell>
        </row>
        <row r="91">
          <cell r="D91" t="str">
            <v>Cum.</v>
          </cell>
        </row>
        <row r="186">
          <cell r="A186">
            <v>11.2</v>
          </cell>
          <cell r="B186" t="str">
            <v>Brick work in C.M. 1:4 using chamber Burnt bricks of size 23 x 11.4 x 7.5 cm (9" x 4 1/2"x 3") 75 mm tk (B.P.)</v>
          </cell>
          <cell r="I186">
            <v>0</v>
          </cell>
        </row>
        <row r="187">
          <cell r="B187" t="str">
            <v>a. In Ground Floor</v>
          </cell>
          <cell r="D187" t="str">
            <v>Sqm.</v>
          </cell>
        </row>
        <row r="229">
          <cell r="A229">
            <v>13.1</v>
          </cell>
          <cell r="B229" t="str">
            <v>Filling with Excavated Earth</v>
          </cell>
          <cell r="D229" t="str">
            <v>Cum.</v>
          </cell>
        </row>
        <row r="244">
          <cell r="A244" t="str">
            <v>14.II</v>
          </cell>
          <cell r="B244" t="str">
            <v>Precast cupboard slab 40 mm tk.</v>
          </cell>
          <cell r="I244">
            <v>0</v>
          </cell>
        </row>
        <row r="245">
          <cell r="B245" t="str">
            <v>a. In Foundation &amp; basement</v>
          </cell>
          <cell r="D245" t="str">
            <v>Sqm.</v>
          </cell>
        </row>
        <row r="251">
          <cell r="A251">
            <v>15.1</v>
          </cell>
          <cell r="I251">
            <v>0</v>
          </cell>
        </row>
        <row r="252">
          <cell r="B252" t="str">
            <v>a. In Ground floor</v>
          </cell>
          <cell r="D252" t="str">
            <v>Sqm.</v>
          </cell>
        </row>
        <row r="263">
          <cell r="A263">
            <v>16.100000000000001</v>
          </cell>
          <cell r="B263" t="str">
            <v>Precast Jally ventilator 50mm tk.</v>
          </cell>
          <cell r="I263">
            <v>0</v>
          </cell>
        </row>
        <row r="264">
          <cell r="B264" t="str">
            <v>a. In Ground Floor</v>
          </cell>
          <cell r="D264" t="str">
            <v>Sqm.</v>
          </cell>
        </row>
        <row r="285">
          <cell r="A285">
            <v>21.1</v>
          </cell>
          <cell r="B285" t="str">
            <v>R.C.C.Door frame</v>
          </cell>
          <cell r="I285">
            <v>0</v>
          </cell>
        </row>
        <row r="286">
          <cell r="B286" t="str">
            <v>a. 900 x 2100 mm</v>
          </cell>
          <cell r="D286" t="str">
            <v>Each</v>
          </cell>
        </row>
        <row r="289">
          <cell r="A289">
            <v>21.2</v>
          </cell>
          <cell r="B289" t="str">
            <v>Teak wood Wrought &amp; Put up</v>
          </cell>
          <cell r="I289" t="str">
            <v>*</v>
          </cell>
        </row>
        <row r="290">
          <cell r="B290" t="str">
            <v>a. T.W. over 2 m &amp; below 3 m</v>
          </cell>
          <cell r="D290" t="str">
            <v>Cum.</v>
          </cell>
        </row>
        <row r="291">
          <cell r="B291" t="str">
            <v>b. T.W. below 2 m length.</v>
          </cell>
          <cell r="D291" t="str">
            <v>Cum.</v>
          </cell>
        </row>
        <row r="304">
          <cell r="A304">
            <v>23.1</v>
          </cell>
          <cell r="I304">
            <v>0</v>
          </cell>
        </row>
        <row r="305">
          <cell r="B305" t="str">
            <v>a. 900 x 2100 mm</v>
          </cell>
          <cell r="D305" t="str">
            <v>Sqm.</v>
          </cell>
        </row>
        <row r="307">
          <cell r="A307">
            <v>23.3</v>
          </cell>
          <cell r="B307" t="str">
            <v>S&amp;F of Magnetic door catches</v>
          </cell>
          <cell r="D307" t="str">
            <v>Each</v>
          </cell>
        </row>
        <row r="321">
          <cell r="A321">
            <v>24</v>
          </cell>
          <cell r="B321" t="str">
            <v>Manufacturing &amp; supply of steel windows (Weight basis)</v>
          </cell>
          <cell r="D321" t="str">
            <v>Kg.</v>
          </cell>
        </row>
        <row r="322">
          <cell r="A322">
            <v>25</v>
          </cell>
          <cell r="B322" t="str">
            <v>M.S.Holdfast</v>
          </cell>
          <cell r="D322" t="str">
            <v>Each</v>
          </cell>
        </row>
        <row r="323">
          <cell r="A323">
            <v>26</v>
          </cell>
          <cell r="B323" t="str">
            <v>Flooring in C.C.1:5:10</v>
          </cell>
          <cell r="D323" t="str">
            <v>Cum.</v>
          </cell>
        </row>
        <row r="330">
          <cell r="A330">
            <v>28</v>
          </cell>
          <cell r="B330" t="str">
            <v>Floor plastering in C.M. 1:4, 20 mm tk.</v>
          </cell>
          <cell r="D330" t="str">
            <v>Sqm.</v>
          </cell>
        </row>
        <row r="334">
          <cell r="A334">
            <v>29.4</v>
          </cell>
          <cell r="B334" t="str">
            <v>Glazed tiles</v>
          </cell>
          <cell r="D334" t="str">
            <v>Sqm.</v>
          </cell>
        </row>
        <row r="335">
          <cell r="A335">
            <v>29.5</v>
          </cell>
          <cell r="B335" t="str">
            <v>Floor ceramic tiles (Anti-skid)</v>
          </cell>
          <cell r="D335" t="str">
            <v>Sqm.</v>
          </cell>
        </row>
        <row r="336">
          <cell r="A336">
            <v>30</v>
          </cell>
          <cell r="B336" t="str">
            <v>Ellispattern</v>
          </cell>
          <cell r="D336" t="str">
            <v>Sqm.</v>
          </cell>
        </row>
        <row r="341">
          <cell r="A341">
            <v>33</v>
          </cell>
          <cell r="B341" t="str">
            <v>Plastering in C.M. 1:5, 12 mm tk.</v>
          </cell>
          <cell r="D341" t="str">
            <v>Sqm.</v>
          </cell>
        </row>
        <row r="342">
          <cell r="A342">
            <v>34</v>
          </cell>
          <cell r="B342" t="str">
            <v>Plastering in C.M. 1:4, 12 mm tk.</v>
          </cell>
          <cell r="D342" t="str">
            <v>Sqm.</v>
          </cell>
        </row>
        <row r="343">
          <cell r="A343">
            <v>35</v>
          </cell>
          <cell r="B343" t="str">
            <v>Spl. Ceiling plastering in C.M. 1:3, 10 mm tk.</v>
          </cell>
          <cell r="D343" t="str">
            <v>Sqm.</v>
          </cell>
        </row>
        <row r="344">
          <cell r="A344">
            <v>36</v>
          </cell>
          <cell r="B344" t="str">
            <v>Cement mortar Border in  C.M. 1:5, 12 mm tk.</v>
          </cell>
          <cell r="I344" t="str">
            <v>*</v>
          </cell>
        </row>
        <row r="345">
          <cell r="A345" t="str">
            <v/>
          </cell>
          <cell r="B345" t="str">
            <v>a. 150 mm wide</v>
          </cell>
          <cell r="D345" t="str">
            <v>Rmt</v>
          </cell>
        </row>
        <row r="346">
          <cell r="B346" t="str">
            <v>b. 75 mm wide</v>
          </cell>
          <cell r="D346" t="str">
            <v>Rmt</v>
          </cell>
        </row>
        <row r="348">
          <cell r="A348">
            <v>37.1</v>
          </cell>
          <cell r="B348" t="str">
            <v>White washing 3 coats  (slaked)</v>
          </cell>
          <cell r="D348" t="str">
            <v>Sqm.</v>
          </cell>
        </row>
        <row r="350">
          <cell r="A350">
            <v>38.1</v>
          </cell>
          <cell r="D350" t="str">
            <v>Sqm.</v>
          </cell>
        </row>
        <row r="353">
          <cell r="A353">
            <v>40</v>
          </cell>
          <cell r="B353" t="str">
            <v>Painting - New "wood work"</v>
          </cell>
          <cell r="D353" t="str">
            <v>Sqm.</v>
          </cell>
        </row>
        <row r="354">
          <cell r="A354">
            <v>41</v>
          </cell>
          <cell r="B354" t="str">
            <v>Painting - New "iron work"</v>
          </cell>
          <cell r="D354" t="str">
            <v>Sqm.</v>
          </cell>
        </row>
        <row r="358">
          <cell r="A358">
            <v>43</v>
          </cell>
          <cell r="I358">
            <v>0</v>
          </cell>
        </row>
        <row r="359">
          <cell r="B359" t="str">
            <v>a. upto 16mm dia rods</v>
          </cell>
          <cell r="D359" t="str">
            <v>MT</v>
          </cell>
        </row>
        <row r="361">
          <cell r="A361">
            <v>44.1</v>
          </cell>
          <cell r="B361" t="str">
            <v>PVC SWR 110 mm dia Rain water pipe</v>
          </cell>
          <cell r="D361" t="str">
            <v>Rmt</v>
          </cell>
        </row>
        <row r="364">
          <cell r="A364">
            <v>46</v>
          </cell>
          <cell r="B364" t="str">
            <v>S &amp; F 20 mm dia Alu. Hanger Rod</v>
          </cell>
          <cell r="D364" t="str">
            <v>Rmt</v>
          </cell>
        </row>
        <row r="365">
          <cell r="A365">
            <v>47</v>
          </cell>
          <cell r="B365" t="str">
            <v>S &amp; F Alu  Towel rail 75 cm long</v>
          </cell>
          <cell r="D365" t="str">
            <v>Each</v>
          </cell>
        </row>
        <row r="374">
          <cell r="A374">
            <v>52</v>
          </cell>
          <cell r="B374" t="str">
            <v>PVC Water supply (ASTM)</v>
          </cell>
          <cell r="I374" t="str">
            <v>*</v>
          </cell>
        </row>
        <row r="375">
          <cell r="B375" t="str">
            <v xml:space="preserve">a. 32 mm dia </v>
          </cell>
          <cell r="D375" t="str">
            <v>Rmt</v>
          </cell>
        </row>
        <row r="376">
          <cell r="B376" t="str">
            <v xml:space="preserve">b. 25 mm dia </v>
          </cell>
          <cell r="D376" t="str">
            <v>Rmt</v>
          </cell>
        </row>
        <row r="378">
          <cell r="A378">
            <v>52.1</v>
          </cell>
          <cell r="B378" t="str">
            <v>G.I Pipe 20mm dia for Hot water line (Fully Concealed in walls)</v>
          </cell>
          <cell r="D378" t="str">
            <v>Rmt</v>
          </cell>
        </row>
        <row r="379">
          <cell r="A379">
            <v>53.1</v>
          </cell>
          <cell r="B379" t="str">
            <v>Wash basin</v>
          </cell>
          <cell r="D379" t="str">
            <v>Each</v>
          </cell>
        </row>
        <row r="382">
          <cell r="A382">
            <v>54</v>
          </cell>
          <cell r="B382" t="str">
            <v>Brass tap (with ISI mark)</v>
          </cell>
          <cell r="D382" t="str">
            <v>Each</v>
          </cell>
        </row>
        <row r="383">
          <cell r="A383">
            <v>54.1</v>
          </cell>
          <cell r="D383" t="str">
            <v>Each</v>
          </cell>
        </row>
        <row r="384">
          <cell r="A384">
            <v>54.2</v>
          </cell>
          <cell r="D384" t="str">
            <v>Each</v>
          </cell>
        </row>
        <row r="386">
          <cell r="A386">
            <v>55.2</v>
          </cell>
          <cell r="B386" t="str">
            <v>Flat Back Urinal</v>
          </cell>
          <cell r="D386" t="str">
            <v>Each</v>
          </cell>
        </row>
        <row r="389">
          <cell r="A389">
            <v>57</v>
          </cell>
          <cell r="B389" t="str">
            <v>S &amp; F of E.W.C.(white)</v>
          </cell>
          <cell r="D389" t="str">
            <v>Each</v>
          </cell>
        </row>
        <row r="391">
          <cell r="A391">
            <v>58.1</v>
          </cell>
          <cell r="B391" t="str">
            <v>PVC SWR pipe (Soil line)</v>
          </cell>
          <cell r="I391">
            <v>0</v>
          </cell>
        </row>
        <row r="392">
          <cell r="B392" t="str">
            <v>a. 110 mm dia.</v>
          </cell>
          <cell r="D392" t="str">
            <v>Rmt</v>
          </cell>
        </row>
        <row r="393">
          <cell r="B393" t="str">
            <v>b. 75 mm dia.</v>
          </cell>
          <cell r="D393" t="str">
            <v>Rmt</v>
          </cell>
        </row>
        <row r="401">
          <cell r="A401">
            <v>60</v>
          </cell>
          <cell r="B401" t="str">
            <v>PVC Nahani trap (4way/2way)</v>
          </cell>
          <cell r="D401" t="str">
            <v>Each</v>
          </cell>
        </row>
        <row r="415">
          <cell r="B415" t="str">
            <v>Electrical arrangements</v>
          </cell>
          <cell r="I415" t="str">
            <v>*</v>
          </cell>
        </row>
        <row r="416">
          <cell r="A416">
            <v>64</v>
          </cell>
          <cell r="B416" t="str">
            <v>a. Light point with ceiling rose</v>
          </cell>
          <cell r="D416" t="str">
            <v>Each</v>
          </cell>
        </row>
        <row r="417">
          <cell r="B417" t="str">
            <v>b. Light point without ceiling rose</v>
          </cell>
          <cell r="D417" t="str">
            <v>Each</v>
          </cell>
        </row>
        <row r="419">
          <cell r="A419">
            <v>65</v>
          </cell>
          <cell r="B419" t="str">
            <v xml:space="preserve">Fan point </v>
          </cell>
          <cell r="D419" t="str">
            <v>Each</v>
          </cell>
        </row>
        <row r="421">
          <cell r="A421">
            <v>67</v>
          </cell>
          <cell r="B421" t="str">
            <v>5 amps 5 pin Plug point (Switch board itself)</v>
          </cell>
          <cell r="D421" t="str">
            <v>Each</v>
          </cell>
        </row>
        <row r="422">
          <cell r="A422">
            <v>68</v>
          </cell>
          <cell r="B422" t="str">
            <v>5 amps 5 pin Plug point (Convenient places)</v>
          </cell>
          <cell r="D422" t="str">
            <v>Each</v>
          </cell>
        </row>
        <row r="423">
          <cell r="A423">
            <v>69</v>
          </cell>
          <cell r="B423" t="str">
            <v>15 Amp. Power plug</v>
          </cell>
          <cell r="D423" t="str">
            <v>Each</v>
          </cell>
        </row>
        <row r="429">
          <cell r="A429">
            <v>72</v>
          </cell>
          <cell r="B429" t="str">
            <v>Box type Fibre Fan hook</v>
          </cell>
          <cell r="D429" t="str">
            <v>Each</v>
          </cell>
        </row>
        <row r="431">
          <cell r="A431">
            <v>73.2</v>
          </cell>
          <cell r="B431" t="str">
            <v>4 way - D.B.</v>
          </cell>
          <cell r="D431" t="str">
            <v>Each</v>
          </cell>
        </row>
        <row r="432">
          <cell r="A432">
            <v>74</v>
          </cell>
          <cell r="B432" t="str">
            <v>Charges for fixing of "Fan"</v>
          </cell>
          <cell r="D432" t="str">
            <v>Each</v>
          </cell>
        </row>
        <row r="433">
          <cell r="A433">
            <v>75</v>
          </cell>
          <cell r="B433" t="str">
            <v>Supply and delivery of Fan</v>
          </cell>
          <cell r="I433">
            <v>0</v>
          </cell>
        </row>
        <row r="434">
          <cell r="B434" t="str">
            <v>a. 48" (1200 mm)</v>
          </cell>
          <cell r="D434" t="str">
            <v>Each</v>
          </cell>
          <cell r="I434">
            <v>4</v>
          </cell>
        </row>
        <row r="436">
          <cell r="A436">
            <v>76</v>
          </cell>
          <cell r="B436" t="str">
            <v>8 SWG wire</v>
          </cell>
          <cell r="D436" t="str">
            <v>Rmt</v>
          </cell>
        </row>
        <row r="438">
          <cell r="A438">
            <v>77.099999999999994</v>
          </cell>
          <cell r="B438" t="str">
            <v>Run of 2 wires of 4 sqmm with continuous earth by means of 2.5sqmm</v>
          </cell>
          <cell r="D438" t="str">
            <v>Rmt</v>
          </cell>
        </row>
        <row r="440">
          <cell r="A440">
            <v>77.3</v>
          </cell>
          <cell r="B440" t="str">
            <v>S&amp;F of TV/Telephone line Socket</v>
          </cell>
          <cell r="D440" t="str">
            <v>Each</v>
          </cell>
        </row>
        <row r="442">
          <cell r="A442">
            <v>78</v>
          </cell>
          <cell r="B442" t="str">
            <v>Earthing Station IS3043 (Type I)</v>
          </cell>
          <cell r="D442" t="str">
            <v>Each</v>
          </cell>
        </row>
        <row r="447">
          <cell r="A447">
            <v>81</v>
          </cell>
          <cell r="B447" t="str">
            <v>Meter cupboard</v>
          </cell>
          <cell r="D447" t="str">
            <v>Sqm</v>
          </cell>
        </row>
        <row r="452">
          <cell r="A452">
            <v>86</v>
          </cell>
          <cell r="B452" t="str">
            <v>Anti termite treatment</v>
          </cell>
          <cell r="D452" t="str">
            <v>Sqm.</v>
          </cell>
        </row>
        <row r="456">
          <cell r="B456" t="str">
            <v>ANNEXURE</v>
          </cell>
          <cell r="I456" t="str">
            <v>*</v>
          </cell>
        </row>
        <row r="496">
          <cell r="A496">
            <v>4.0999999999999996</v>
          </cell>
          <cell r="B496" t="str">
            <v>Standardised concrete Mix M20 Grade Concrete</v>
          </cell>
          <cell r="I496" t="str">
            <v>*</v>
          </cell>
        </row>
        <row r="497">
          <cell r="B497" t="str">
            <v>a. In Foundation and basement</v>
          </cell>
          <cell r="D497" t="str">
            <v>Cum</v>
          </cell>
        </row>
        <row r="498">
          <cell r="A498">
            <v>8.1</v>
          </cell>
          <cell r="B498" t="str">
            <v>b. Ground Floor</v>
          </cell>
          <cell r="D498" t="str">
            <v>Cum</v>
          </cell>
        </row>
        <row r="581">
          <cell r="A581">
            <v>18.100000000000001</v>
          </cell>
          <cell r="B581" t="str">
            <v>Formwork using M.S.Sheet</v>
          </cell>
          <cell r="I581" t="str">
            <v>*</v>
          </cell>
        </row>
        <row r="582">
          <cell r="B582" t="str">
            <v>a.For Column footings,plinth beam,Grade beam,Raftbeam,Raft slab etc.,</v>
          </cell>
          <cell r="D582" t="str">
            <v>Sqm</v>
          </cell>
        </row>
        <row r="583">
          <cell r="B583" t="str">
            <v>b.Plain surfaces such as Roof slab,floorslab,Beams,lintels,lofts,sill slab,staircase,portico slab and other similar works</v>
          </cell>
          <cell r="D583" t="str">
            <v>Sqm</v>
          </cell>
        </row>
        <row r="584">
          <cell r="B584" t="str">
            <v>c.For Square and rectangular columns and small quantities</v>
          </cell>
          <cell r="D584" t="str">
            <v>Sqm</v>
          </cell>
        </row>
        <row r="626">
          <cell r="A626" t="str">
            <v>21.5.2</v>
          </cell>
          <cell r="B626" t="str">
            <v>Supply and Fixing Soild UPVC door Shutter with frame</v>
          </cell>
          <cell r="D626" t="str">
            <v>Sqm</v>
          </cell>
        </row>
        <row r="627">
          <cell r="A627" t="str">
            <v>23.2.1</v>
          </cell>
          <cell r="B627" t="str">
            <v>4mm thick pin headed Glass panels with Aluminium beedings</v>
          </cell>
          <cell r="D627" t="str">
            <v>Sqm</v>
          </cell>
        </row>
        <row r="685">
          <cell r="B685" t="str">
            <v>Run of 2 Wires of 2.5 sqmm PVC insulated single core multi strand fire retardant flexible copper cable with ISI mark confirming IS: 694:1990.</v>
          </cell>
          <cell r="D685" t="str">
            <v>Rmt</v>
          </cell>
        </row>
        <row r="689">
          <cell r="A689">
            <v>112.1</v>
          </cell>
          <cell r="B689" t="str">
            <v>S &amp; F of Exsaust Fan 225mm dia</v>
          </cell>
          <cell r="D689" t="str">
            <v>Each</v>
          </cell>
        </row>
        <row r="698">
          <cell r="A698">
            <v>344.2</v>
          </cell>
          <cell r="B698" t="str">
            <v>S&amp;F of Bevelled edge mirror 500 x 400 x 5.5mm</v>
          </cell>
          <cell r="D698" t="str">
            <v>Each</v>
          </cell>
        </row>
        <row r="711">
          <cell r="B711" t="str">
            <v>Plastic Emulsion PAINT including primer for outer walls</v>
          </cell>
          <cell r="D711" t="str">
            <v>Sqm</v>
          </cell>
        </row>
        <row r="712">
          <cell r="A712" t="str">
            <v>38.4.1</v>
          </cell>
          <cell r="B712" t="str">
            <v xml:space="preserve">Two coat of OBD over one coat white cement for inner walls </v>
          </cell>
          <cell r="D712" t="str">
            <v>Sqm</v>
          </cell>
        </row>
        <row r="718">
          <cell r="B718" t="str">
            <v>Providing wooden Melamine polish for new wood work</v>
          </cell>
          <cell r="D718" t="str">
            <v>Sqm</v>
          </cell>
        </row>
        <row r="720">
          <cell r="B720" t="str">
            <v>Vitrified Tiles flooring (Ivory)</v>
          </cell>
          <cell r="D720" t="str">
            <v>Sqm</v>
          </cell>
        </row>
        <row r="723">
          <cell r="B723" t="str">
            <v xml:space="preserve">Eurocon Tiles flooring </v>
          </cell>
          <cell r="D723" t="str">
            <v>Sqm</v>
          </cell>
        </row>
        <row r="838">
          <cell r="B838" t="str">
            <v>UPVC Non Pressure  pipe of SN8 SDR 34( S 16.5) as per IS 15328/2003</v>
          </cell>
          <cell r="I838" t="str">
            <v>*</v>
          </cell>
        </row>
        <row r="839">
          <cell r="B839" t="str">
            <v>a. 110 mm UPVC Non Pressure  pipe</v>
          </cell>
          <cell r="D839" t="str">
            <v>Rmt</v>
          </cell>
        </row>
        <row r="919">
          <cell r="B919" t="str">
            <v>Total</v>
          </cell>
          <cell r="C919">
            <v>0</v>
          </cell>
          <cell r="I919" t="str">
            <v>*</v>
          </cell>
        </row>
      </sheetData>
      <sheetData sheetId="3" refreshError="1"/>
      <sheetData sheetId="4" refreshError="1"/>
      <sheetData sheetId="5" refreshError="1"/>
      <sheetData sheetId="6" refreshError="1">
        <row r="10">
          <cell r="D10">
            <v>14</v>
          </cell>
          <cell r="E10">
            <v>136.88</v>
          </cell>
          <cell r="G10">
            <v>17</v>
          </cell>
          <cell r="H10">
            <v>137.69</v>
          </cell>
          <cell r="M10">
            <v>17</v>
          </cell>
          <cell r="N10">
            <v>229.19</v>
          </cell>
          <cell r="P10">
            <v>17</v>
          </cell>
          <cell r="Q10">
            <v>112</v>
          </cell>
        </row>
        <row r="11">
          <cell r="D11">
            <v>30</v>
          </cell>
          <cell r="E11">
            <v>264.39999999999998</v>
          </cell>
          <cell r="K11">
            <v>0</v>
          </cell>
          <cell r="P11">
            <v>10</v>
          </cell>
          <cell r="Q11">
            <v>70</v>
          </cell>
        </row>
        <row r="12">
          <cell r="D12">
            <v>14</v>
          </cell>
          <cell r="E12">
            <v>136.88</v>
          </cell>
          <cell r="J12">
            <v>0</v>
          </cell>
          <cell r="P12">
            <v>0</v>
          </cell>
          <cell r="Q12">
            <v>0</v>
          </cell>
        </row>
        <row r="13">
          <cell r="D13">
            <v>14</v>
          </cell>
          <cell r="E13">
            <v>136.88</v>
          </cell>
          <cell r="P13">
            <v>0</v>
          </cell>
          <cell r="Q13">
            <v>0</v>
          </cell>
        </row>
        <row r="14">
          <cell r="D14">
            <v>0</v>
          </cell>
          <cell r="E14">
            <v>0</v>
          </cell>
        </row>
        <row r="15">
          <cell r="D15">
            <v>0</v>
          </cell>
        </row>
        <row r="16">
          <cell r="D16">
            <v>14</v>
          </cell>
          <cell r="E16">
            <v>136.88</v>
          </cell>
        </row>
      </sheetData>
      <sheetData sheetId="7" refreshError="1">
        <row r="2860">
          <cell r="K2860">
            <v>1203</v>
          </cell>
        </row>
        <row r="2884">
          <cell r="K2884">
            <v>1207</v>
          </cell>
        </row>
        <row r="2899">
          <cell r="K2899">
            <v>1235</v>
          </cell>
        </row>
        <row r="2921">
          <cell r="K2921">
            <v>1261</v>
          </cell>
        </row>
        <row r="2945">
          <cell r="K2945">
            <v>2232</v>
          </cell>
        </row>
        <row r="2965">
          <cell r="K2965">
            <v>842</v>
          </cell>
        </row>
        <row r="2977">
          <cell r="K2977">
            <v>612</v>
          </cell>
        </row>
        <row r="2988">
          <cell r="K2988">
            <v>128</v>
          </cell>
        </row>
        <row r="3011">
          <cell r="K3011">
            <v>1937</v>
          </cell>
        </row>
        <row r="3023">
          <cell r="K3023">
            <v>1938</v>
          </cell>
        </row>
        <row r="3044">
          <cell r="K3044">
            <v>1996</v>
          </cell>
        </row>
        <row r="3063">
          <cell r="K3063">
            <v>3614</v>
          </cell>
        </row>
        <row r="3080">
          <cell r="K3080">
            <v>156.4</v>
          </cell>
        </row>
        <row r="3092">
          <cell r="K3092">
            <v>170.8</v>
          </cell>
        </row>
        <row r="3105">
          <cell r="K3105">
            <v>202.6</v>
          </cell>
        </row>
        <row r="3119">
          <cell r="K3119">
            <v>304.60000000000002</v>
          </cell>
        </row>
        <row r="3135">
          <cell r="K3135">
            <v>432</v>
          </cell>
        </row>
        <row r="3173">
          <cell r="K3173">
            <v>898.5</v>
          </cell>
        </row>
        <row r="3184">
          <cell r="K3184">
            <v>894.5</v>
          </cell>
        </row>
        <row r="3195">
          <cell r="K3195">
            <v>1094</v>
          </cell>
        </row>
        <row r="3210">
          <cell r="K3210">
            <v>1412</v>
          </cell>
        </row>
        <row r="3221">
          <cell r="K3221">
            <v>3149</v>
          </cell>
        </row>
        <row r="3233">
          <cell r="K3233">
            <v>3909</v>
          </cell>
        </row>
        <row r="3244">
          <cell r="K3244">
            <v>219</v>
          </cell>
        </row>
        <row r="3262">
          <cell r="K3262">
            <v>368</v>
          </cell>
        </row>
        <row r="3277">
          <cell r="K3277">
            <v>404</v>
          </cell>
        </row>
        <row r="3289">
          <cell r="I3289">
            <v>81.8</v>
          </cell>
        </row>
        <row r="3313">
          <cell r="I3313">
            <v>4.78</v>
          </cell>
        </row>
        <row r="3316">
          <cell r="I3316">
            <v>3.69</v>
          </cell>
        </row>
        <row r="3319">
          <cell r="K3319">
            <v>2198</v>
          </cell>
        </row>
        <row r="3333">
          <cell r="K3333">
            <v>293</v>
          </cell>
        </row>
        <row r="3348">
          <cell r="K3348">
            <v>584</v>
          </cell>
        </row>
        <row r="3366">
          <cell r="K3366">
            <v>380</v>
          </cell>
        </row>
        <row r="3379">
          <cell r="K3379">
            <v>598</v>
          </cell>
        </row>
        <row r="3384">
          <cell r="K3384">
            <v>1478</v>
          </cell>
        </row>
        <row r="3389">
          <cell r="K3389">
            <v>1822</v>
          </cell>
        </row>
        <row r="3441">
          <cell r="K3441">
            <v>660</v>
          </cell>
        </row>
        <row r="3458">
          <cell r="K3458">
            <v>2437</v>
          </cell>
        </row>
        <row r="3468">
          <cell r="K3468">
            <v>2798</v>
          </cell>
        </row>
        <row r="3481">
          <cell r="K3481">
            <v>1087</v>
          </cell>
        </row>
        <row r="3501">
          <cell r="K3501">
            <v>118</v>
          </cell>
        </row>
        <row r="3539">
          <cell r="K3539">
            <v>209.9</v>
          </cell>
        </row>
        <row r="3547">
          <cell r="K3547">
            <v>162.69999999999999</v>
          </cell>
        </row>
        <row r="3567">
          <cell r="K3567">
            <v>215.13</v>
          </cell>
        </row>
        <row r="3584">
          <cell r="K3584">
            <v>117</v>
          </cell>
        </row>
        <row r="3619">
          <cell r="K3619">
            <v>1700</v>
          </cell>
        </row>
        <row r="3638">
          <cell r="K3638">
            <v>2369</v>
          </cell>
        </row>
        <row r="3650">
          <cell r="K3650">
            <v>1814</v>
          </cell>
        </row>
        <row r="3676">
          <cell r="K3676">
            <v>4460</v>
          </cell>
        </row>
        <row r="3695">
          <cell r="K3695">
            <v>74.2</v>
          </cell>
        </row>
        <row r="3702">
          <cell r="K3702">
            <v>52</v>
          </cell>
        </row>
        <row r="3712">
          <cell r="K3712">
            <v>76</v>
          </cell>
        </row>
        <row r="3727">
          <cell r="K3727">
            <v>5559</v>
          </cell>
        </row>
        <row r="3744">
          <cell r="K3744">
            <v>1789.81</v>
          </cell>
        </row>
        <row r="3762">
          <cell r="K3762">
            <v>1640.81</v>
          </cell>
        </row>
        <row r="3767">
          <cell r="K3767">
            <v>1272</v>
          </cell>
        </row>
        <row r="3774">
          <cell r="K3774">
            <v>697</v>
          </cell>
        </row>
        <row r="3815">
          <cell r="K3815">
            <v>687</v>
          </cell>
        </row>
        <row r="3841">
          <cell r="K3841">
            <v>689</v>
          </cell>
        </row>
        <row r="3857">
          <cell r="K3857">
            <v>729</v>
          </cell>
        </row>
        <row r="3879">
          <cell r="K3879">
            <v>772</v>
          </cell>
        </row>
        <row r="3899">
          <cell r="K3899">
            <v>1586</v>
          </cell>
        </row>
        <row r="3918">
          <cell r="K3918">
            <v>533</v>
          </cell>
        </row>
        <row r="3942">
          <cell r="K3942">
            <v>99.3</v>
          </cell>
        </row>
        <row r="3953">
          <cell r="K3953">
            <v>114.5</v>
          </cell>
        </row>
      </sheetData>
      <sheetData sheetId="8" refreshError="1"/>
      <sheetData sheetId="9" refreshError="1">
        <row r="88">
          <cell r="K88">
            <v>170.17</v>
          </cell>
        </row>
        <row r="384">
          <cell r="R384">
            <v>17.12</v>
          </cell>
        </row>
        <row r="398">
          <cell r="R398">
            <v>24.9</v>
          </cell>
        </row>
        <row r="1124">
          <cell r="R1124">
            <v>4797.72</v>
          </cell>
        </row>
        <row r="1154">
          <cell r="K1154">
            <v>95</v>
          </cell>
        </row>
        <row r="1167">
          <cell r="K1167">
            <v>148.79</v>
          </cell>
        </row>
        <row r="1194">
          <cell r="K1194">
            <v>9.6</v>
          </cell>
        </row>
        <row r="1230">
          <cell r="R1230">
            <v>1227.2</v>
          </cell>
        </row>
        <row r="1257">
          <cell r="AD1257">
            <v>1386.1</v>
          </cell>
        </row>
        <row r="1272">
          <cell r="R1272">
            <v>1051.4000000000001</v>
          </cell>
        </row>
        <row r="1442">
          <cell r="K1442">
            <v>216.16</v>
          </cell>
        </row>
        <row r="2435">
          <cell r="K2435">
            <v>1194.1400000000001</v>
          </cell>
        </row>
        <row r="2442">
          <cell r="R2442">
            <v>1365.29</v>
          </cell>
        </row>
        <row r="2448">
          <cell r="K2448">
            <v>609.03</v>
          </cell>
        </row>
        <row r="2492">
          <cell r="K2492">
            <v>3814.33</v>
          </cell>
        </row>
        <row r="2515">
          <cell r="K2515">
            <v>4038.14</v>
          </cell>
        </row>
        <row r="2580">
          <cell r="R2580">
            <v>3477.23</v>
          </cell>
        </row>
        <row r="2626">
          <cell r="O2626" t="str">
            <v>T.W DOOR SHUTTER TWO LEAVES(1200 X 2100 mm ) with Brass Fittings</v>
          </cell>
        </row>
        <row r="2654">
          <cell r="R2654">
            <v>5924.19</v>
          </cell>
        </row>
        <row r="2800">
          <cell r="K2800">
            <v>1325.67</v>
          </cell>
        </row>
        <row r="2847">
          <cell r="K2847">
            <v>2871.79</v>
          </cell>
        </row>
        <row r="2879">
          <cell r="K2879">
            <v>2020.3</v>
          </cell>
        </row>
        <row r="2983">
          <cell r="K2983">
            <v>2912.03</v>
          </cell>
        </row>
        <row r="2990">
          <cell r="R2990">
            <v>2802.18</v>
          </cell>
        </row>
        <row r="3068">
          <cell r="K3068">
            <v>3106.5</v>
          </cell>
        </row>
        <row r="3075">
          <cell r="R3075">
            <v>2938.49</v>
          </cell>
        </row>
        <row r="3087">
          <cell r="K3087">
            <v>2990.37</v>
          </cell>
        </row>
        <row r="3174">
          <cell r="I3174">
            <v>2.8</v>
          </cell>
        </row>
        <row r="3177">
          <cell r="K3177">
            <v>103.17</v>
          </cell>
        </row>
        <row r="3190">
          <cell r="K3190">
            <v>53.95</v>
          </cell>
        </row>
        <row r="3200">
          <cell r="I3200">
            <v>6</v>
          </cell>
        </row>
        <row r="3204">
          <cell r="K3204">
            <v>70.92</v>
          </cell>
        </row>
        <row r="3205">
          <cell r="R3205">
            <v>5937.95</v>
          </cell>
        </row>
        <row r="3214">
          <cell r="I3214">
            <v>6.5</v>
          </cell>
        </row>
        <row r="3218">
          <cell r="K3218">
            <v>77.7</v>
          </cell>
        </row>
        <row r="3233">
          <cell r="K3233">
            <v>127.06</v>
          </cell>
        </row>
        <row r="3249">
          <cell r="K3249">
            <v>110.82</v>
          </cell>
        </row>
        <row r="3274">
          <cell r="R3274">
            <v>5907.58</v>
          </cell>
        </row>
        <row r="3277">
          <cell r="K3277">
            <v>72.95</v>
          </cell>
        </row>
        <row r="3307">
          <cell r="R3307">
            <v>5224.93</v>
          </cell>
        </row>
        <row r="3333">
          <cell r="K3333">
            <v>4607.8900000000003</v>
          </cell>
        </row>
        <row r="3341">
          <cell r="R3341">
            <v>4609.45</v>
          </cell>
        </row>
        <row r="3353">
          <cell r="H3353" t="str">
            <v>Plastic Emulsion PAINT two coat for old wall</v>
          </cell>
        </row>
        <row r="3360">
          <cell r="K3360">
            <v>129.27000000000001</v>
          </cell>
        </row>
        <row r="3366">
          <cell r="H3366" t="str">
            <v>Plastic Emulsion PAINT one coat for old wall</v>
          </cell>
        </row>
        <row r="3373">
          <cell r="K3373">
            <v>63.12</v>
          </cell>
        </row>
        <row r="3376">
          <cell r="R3376">
            <v>5192.58</v>
          </cell>
        </row>
        <row r="3410">
          <cell r="R3410">
            <v>4689.8</v>
          </cell>
        </row>
        <row r="3436">
          <cell r="K3436">
            <v>4766.0200000000004</v>
          </cell>
        </row>
        <row r="3454">
          <cell r="R3454">
            <v>5451.76</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921">
          <cell r="U921">
            <v>21464614.489999998</v>
          </cell>
        </row>
        <row r="922">
          <cell r="T922">
            <v>0</v>
          </cell>
        </row>
        <row r="923">
          <cell r="T923">
            <v>0</v>
          </cell>
        </row>
        <row r="924">
          <cell r="T924">
            <v>0</v>
          </cell>
        </row>
        <row r="925">
          <cell r="T925">
            <v>0</v>
          </cell>
        </row>
        <row r="926">
          <cell r="T926">
            <v>0</v>
          </cell>
        </row>
        <row r="927">
          <cell r="T927">
            <v>0</v>
          </cell>
        </row>
        <row r="928">
          <cell r="T928">
            <v>0</v>
          </cell>
        </row>
        <row r="929">
          <cell r="T929">
            <v>0</v>
          </cell>
        </row>
        <row r="930">
          <cell r="T930">
            <v>0</v>
          </cell>
        </row>
        <row r="931">
          <cell r="T931">
            <v>0</v>
          </cell>
        </row>
        <row r="932">
          <cell r="T932">
            <v>0</v>
          </cell>
        </row>
        <row r="933">
          <cell r="T933">
            <v>0</v>
          </cell>
        </row>
        <row r="934">
          <cell r="T934">
            <v>0</v>
          </cell>
        </row>
        <row r="935">
          <cell r="T935">
            <v>0</v>
          </cell>
        </row>
        <row r="936">
          <cell r="T936">
            <v>0</v>
          </cell>
        </row>
        <row r="937">
          <cell r="T937">
            <v>0</v>
          </cell>
        </row>
        <row r="938">
          <cell r="T938">
            <v>0</v>
          </cell>
        </row>
        <row r="939">
          <cell r="T939">
            <v>0</v>
          </cell>
        </row>
        <row r="940">
          <cell r="T940">
            <v>0</v>
          </cell>
        </row>
        <row r="941">
          <cell r="T941">
            <v>0</v>
          </cell>
        </row>
        <row r="942">
          <cell r="T942">
            <v>0</v>
          </cell>
        </row>
        <row r="943">
          <cell r="T943">
            <v>0</v>
          </cell>
        </row>
        <row r="944">
          <cell r="T944">
            <v>0</v>
          </cell>
        </row>
        <row r="945">
          <cell r="T945">
            <v>0</v>
          </cell>
        </row>
        <row r="946">
          <cell r="T946">
            <v>0</v>
          </cell>
        </row>
        <row r="947">
          <cell r="T947">
            <v>0</v>
          </cell>
        </row>
        <row r="948">
          <cell r="T948">
            <v>0</v>
          </cell>
        </row>
        <row r="949">
          <cell r="T949">
            <v>0</v>
          </cell>
        </row>
        <row r="950">
          <cell r="T950">
            <v>0</v>
          </cell>
        </row>
        <row r="951">
          <cell r="T951">
            <v>0</v>
          </cell>
        </row>
        <row r="952">
          <cell r="T952">
            <v>0</v>
          </cell>
        </row>
        <row r="953">
          <cell r="T953">
            <v>0</v>
          </cell>
        </row>
        <row r="954">
          <cell r="T954">
            <v>0</v>
          </cell>
        </row>
        <row r="955">
          <cell r="T955">
            <v>0</v>
          </cell>
        </row>
        <row r="956">
          <cell r="T956">
            <v>0</v>
          </cell>
        </row>
        <row r="957">
          <cell r="T957">
            <v>0</v>
          </cell>
        </row>
        <row r="958">
          <cell r="T958">
            <v>0</v>
          </cell>
        </row>
        <row r="959">
          <cell r="T959">
            <v>0</v>
          </cell>
        </row>
        <row r="960">
          <cell r="T960">
            <v>0</v>
          </cell>
        </row>
        <row r="961">
          <cell r="T961">
            <v>0</v>
          </cell>
        </row>
        <row r="962">
          <cell r="T962">
            <v>0</v>
          </cell>
        </row>
        <row r="963">
          <cell r="T963">
            <v>0</v>
          </cell>
        </row>
        <row r="964">
          <cell r="T964">
            <v>0</v>
          </cell>
        </row>
        <row r="965">
          <cell r="T965">
            <v>0</v>
          </cell>
        </row>
        <row r="966">
          <cell r="T966">
            <v>0</v>
          </cell>
        </row>
        <row r="967">
          <cell r="T967">
            <v>0</v>
          </cell>
        </row>
        <row r="968">
          <cell r="T968">
            <v>0</v>
          </cell>
        </row>
      </sheetData>
      <sheetData sheetId="21" refreshError="1"/>
      <sheetData sheetId="22" refreshError="1">
        <row r="5">
          <cell r="A5" t="str">
            <v>Construction of  Dining room, Pigeon hole rack with locker box for usage of Prison  staff  at Women Prison in Coimbatore.</v>
          </cell>
        </row>
      </sheetData>
      <sheetData sheetId="2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pile data ( M20 grade)"/>
      <sheetName val="pile data (2)"/>
      <sheetName val="  Coastal  Elec.Data "/>
      <sheetName val="duplicate"/>
      <sheetName val="lead  charge"/>
      <sheetName val="Elec.Data"/>
      <sheetName val="Elec.abs"/>
      <sheetName val="Data"/>
      <sheetName val="Develop"/>
      <sheetName val="Building (2)"/>
      <sheetName val="Det for 8 in 1 G+3 (2)"/>
      <sheetName val="Det for 8 in 1 G+3"/>
      <sheetName val="Det for 4 in 1 G+3"/>
      <sheetName val="Det for 6 in 1 G+2"/>
      <sheetName val="Building+Dev( Main)"/>
      <sheetName val="Building+Dev( Coding)"/>
      <sheetName val="Dev (cod)"/>
      <sheetName val="Abstract"/>
      <sheetName val="G.Abstract"/>
      <sheetName val="Sheet1"/>
      <sheetName val="data -1"/>
      <sheetName val="Water tank"/>
      <sheetName val="sump"/>
      <sheetName val="PP"/>
      <sheetName val="paver road"/>
      <sheetName val="culvert"/>
      <sheetName val="septic tank"/>
      <sheetName val="sulla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5">
          <cell r="AD5" t="str">
            <v>*</v>
          </cell>
        </row>
      </sheetData>
      <sheetData sheetId="15">
        <row r="867">
          <cell r="AD867">
            <v>142895581.52000001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pile data ( M30 grade) (2)"/>
      <sheetName val="Abstract (21.4.18)"/>
      <sheetName val="G. Abstract (2)"/>
      <sheetName val="pile data ( M20 grade)"/>
      <sheetName val="Building (2)"/>
      <sheetName val="  Coastal  Elec.Data "/>
      <sheetName val="lead  charge"/>
      <sheetName val="Elec.Data"/>
      <sheetName val="Elec.abs"/>
      <sheetName val="Data"/>
      <sheetName val="Sheet1"/>
      <sheetName val="OHT(A4)"/>
      <sheetName val="Sheet3"/>
      <sheetName val="paver"/>
      <sheetName val="SEPTIC TANK (A4)"/>
      <sheetName val="P.P WALL (A4)"/>
      <sheetName val="SL DRAIN (A4)"/>
      <sheetName val="Storm Water Drain"/>
      <sheetName val="SUMP (A4)"/>
      <sheetName val="Culvert"/>
      <sheetName val="Sliding and french window"/>
      <sheetName val="development"/>
      <sheetName val="G. Abstractfinal"/>
    </sheetNames>
    <sheetDataSet>
      <sheetData sheetId="0"/>
      <sheetData sheetId="1"/>
      <sheetData sheetId="2"/>
      <sheetData sheetId="3"/>
      <sheetData sheetId="4"/>
      <sheetData sheetId="5"/>
      <sheetData sheetId="6"/>
      <sheetData sheetId="7">
        <row r="3092">
          <cell r="K3092">
            <v>187</v>
          </cell>
        </row>
        <row r="3105">
          <cell r="K3105">
            <v>219</v>
          </cell>
        </row>
        <row r="3294">
          <cell r="K3294">
            <v>21.6</v>
          </cell>
        </row>
      </sheetData>
      <sheetData sheetId="8"/>
      <sheetData sheetId="9">
        <row r="88">
          <cell r="K88">
            <v>195.54</v>
          </cell>
        </row>
        <row r="144">
          <cell r="K144">
            <v>1547.97</v>
          </cell>
        </row>
        <row r="204">
          <cell r="K204">
            <v>4266.42</v>
          </cell>
        </row>
        <row r="321">
          <cell r="AG321">
            <v>5985.26</v>
          </cell>
        </row>
        <row r="347">
          <cell r="AG347">
            <v>5994.7</v>
          </cell>
        </row>
        <row r="409">
          <cell r="AG409">
            <v>747.85</v>
          </cell>
        </row>
        <row r="411">
          <cell r="AG411">
            <v>755.27</v>
          </cell>
        </row>
        <row r="412">
          <cell r="AG412">
            <v>770.23</v>
          </cell>
        </row>
        <row r="448">
          <cell r="AG448">
            <v>525.83000000000004</v>
          </cell>
        </row>
        <row r="482">
          <cell r="K482">
            <v>32.229999999999997</v>
          </cell>
        </row>
        <row r="557">
          <cell r="K557">
            <v>1384.43</v>
          </cell>
        </row>
        <row r="590">
          <cell r="K590">
            <v>519.79</v>
          </cell>
        </row>
        <row r="659">
          <cell r="K659">
            <v>2521.35</v>
          </cell>
        </row>
        <row r="718">
          <cell r="X718">
            <v>7041.59</v>
          </cell>
        </row>
        <row r="720">
          <cell r="X720">
            <v>7140.48</v>
          </cell>
        </row>
        <row r="889">
          <cell r="K889">
            <v>2359.17</v>
          </cell>
        </row>
        <row r="923">
          <cell r="K923">
            <v>122902.5</v>
          </cell>
        </row>
        <row r="930">
          <cell r="K930">
            <v>110702.5</v>
          </cell>
        </row>
        <row r="1170">
          <cell r="K1170">
            <v>52</v>
          </cell>
        </row>
        <row r="1185">
          <cell r="K1185">
            <v>704.8</v>
          </cell>
        </row>
        <row r="1191">
          <cell r="K1191">
            <v>60.9</v>
          </cell>
        </row>
        <row r="1213">
          <cell r="K1213">
            <v>440.71</v>
          </cell>
        </row>
        <row r="1230">
          <cell r="R1230">
            <v>1313.29</v>
          </cell>
        </row>
        <row r="1264">
          <cell r="K1264">
            <v>1062.29</v>
          </cell>
        </row>
        <row r="1272">
          <cell r="R1272">
            <v>1137.45</v>
          </cell>
        </row>
        <row r="1278">
          <cell r="K1278">
            <v>1206.7</v>
          </cell>
        </row>
        <row r="1312">
          <cell r="K1312">
            <v>386.56</v>
          </cell>
        </row>
        <row r="1326">
          <cell r="R1326">
            <v>203.84</v>
          </cell>
        </row>
        <row r="1400">
          <cell r="K1400">
            <v>217.01</v>
          </cell>
        </row>
        <row r="1414">
          <cell r="K1414">
            <v>222.86</v>
          </cell>
        </row>
        <row r="1426">
          <cell r="K1426">
            <v>248.14</v>
          </cell>
        </row>
        <row r="1460">
          <cell r="K1460">
            <v>68.75</v>
          </cell>
        </row>
        <row r="1472">
          <cell r="K1472">
            <v>44.7</v>
          </cell>
        </row>
        <row r="1498">
          <cell r="K1498">
            <v>38.54</v>
          </cell>
        </row>
        <row r="1540">
          <cell r="K1540">
            <v>209.27</v>
          </cell>
        </row>
        <row r="1553">
          <cell r="K1553">
            <v>124.12</v>
          </cell>
        </row>
        <row r="1608">
          <cell r="K1608">
            <v>71117</v>
          </cell>
        </row>
        <row r="1638">
          <cell r="K1638">
            <v>316.45999999999998</v>
          </cell>
        </row>
        <row r="1670">
          <cell r="K1670">
            <v>58</v>
          </cell>
        </row>
        <row r="1682">
          <cell r="K1682">
            <v>95</v>
          </cell>
        </row>
        <row r="1793">
          <cell r="K1793">
            <v>33.9</v>
          </cell>
        </row>
        <row r="1882">
          <cell r="K1882">
            <v>207.43</v>
          </cell>
        </row>
        <row r="1890">
          <cell r="K1890">
            <v>223.25</v>
          </cell>
        </row>
        <row r="1927">
          <cell r="K1927">
            <v>281.19</v>
          </cell>
        </row>
        <row r="1948">
          <cell r="K1948">
            <v>3066.82</v>
          </cell>
        </row>
        <row r="1954">
          <cell r="K1954">
            <v>202</v>
          </cell>
        </row>
        <row r="2015">
          <cell r="K2015">
            <v>6440.15</v>
          </cell>
        </row>
        <row r="2063">
          <cell r="K2063">
            <v>641.9</v>
          </cell>
        </row>
        <row r="2087">
          <cell r="K2087">
            <v>529.1</v>
          </cell>
        </row>
        <row r="2119">
          <cell r="K2119">
            <v>136.69999999999999</v>
          </cell>
        </row>
        <row r="2255">
          <cell r="K2255">
            <v>2292.0700000000002</v>
          </cell>
        </row>
        <row r="2261">
          <cell r="K2261">
            <v>1340</v>
          </cell>
        </row>
        <row r="2262">
          <cell r="K2262">
            <v>1344</v>
          </cell>
        </row>
        <row r="2264">
          <cell r="K2264">
            <v>1399</v>
          </cell>
        </row>
        <row r="2266">
          <cell r="K2266">
            <v>688</v>
          </cell>
        </row>
        <row r="2267">
          <cell r="K2267">
            <v>934</v>
          </cell>
        </row>
        <row r="2268">
          <cell r="K2268">
            <v>129</v>
          </cell>
        </row>
        <row r="2274">
          <cell r="K2274">
            <v>33.9</v>
          </cell>
        </row>
        <row r="2276">
          <cell r="K2276">
            <v>3250</v>
          </cell>
        </row>
        <row r="2277">
          <cell r="K2277">
            <v>467</v>
          </cell>
        </row>
        <row r="2278">
          <cell r="K2278">
            <v>1185</v>
          </cell>
        </row>
        <row r="2285">
          <cell r="K2285">
            <v>80</v>
          </cell>
        </row>
        <row r="2286">
          <cell r="K2286">
            <v>2355</v>
          </cell>
        </row>
        <row r="2354">
          <cell r="I2354">
            <v>722.82</v>
          </cell>
        </row>
        <row r="2356">
          <cell r="I2356">
            <v>813.94</v>
          </cell>
        </row>
        <row r="2358">
          <cell r="I2358">
            <v>976.73</v>
          </cell>
        </row>
        <row r="2415">
          <cell r="K2415">
            <v>1988.15</v>
          </cell>
        </row>
        <row r="2416">
          <cell r="R2416">
            <v>1283.5899999999999</v>
          </cell>
        </row>
        <row r="2716">
          <cell r="K2716">
            <v>52.84</v>
          </cell>
        </row>
        <row r="3014">
          <cell r="K3014">
            <v>375.7</v>
          </cell>
        </row>
        <row r="3018">
          <cell r="K3018">
            <v>1770</v>
          </cell>
        </row>
        <row r="3100">
          <cell r="I3100">
            <v>111600</v>
          </cell>
        </row>
        <row r="3101">
          <cell r="I3101">
            <v>99400</v>
          </cell>
        </row>
        <row r="3102">
          <cell r="I3102">
            <v>11302.5</v>
          </cell>
        </row>
        <row r="3103">
          <cell r="I3103">
            <v>387.4</v>
          </cell>
        </row>
        <row r="3104">
          <cell r="I3104">
            <v>1059.3</v>
          </cell>
        </row>
        <row r="3106">
          <cell r="I3106">
            <v>43.6</v>
          </cell>
        </row>
        <row r="3107">
          <cell r="I3107">
            <v>53.8</v>
          </cell>
        </row>
        <row r="3108">
          <cell r="I3108">
            <v>63.2</v>
          </cell>
        </row>
        <row r="3109">
          <cell r="I3109">
            <v>209.27</v>
          </cell>
        </row>
        <row r="3110">
          <cell r="I3110">
            <v>2.37</v>
          </cell>
        </row>
        <row r="3115">
          <cell r="AF3115">
            <v>464</v>
          </cell>
          <cell r="AH3115">
            <v>416</v>
          </cell>
        </row>
        <row r="3348">
          <cell r="K3348">
            <v>107.65</v>
          </cell>
        </row>
        <row r="3494">
          <cell r="K3494">
            <v>15051.44</v>
          </cell>
        </row>
        <row r="3549">
          <cell r="AG3549">
            <v>3023.81</v>
          </cell>
        </row>
        <row r="3677">
          <cell r="K3677">
            <v>345.37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pile data ( M20 grade)"/>
      <sheetName val="  Coastal  Elec.Data "/>
      <sheetName val="lead  charge"/>
      <sheetName val="Elec.Data"/>
      <sheetName val="Elec.abs"/>
      <sheetName val="Data"/>
      <sheetName val="Develop"/>
      <sheetName val="Building (2)"/>
      <sheetName val="Abstract"/>
      <sheetName val="G. Abstract (2.11.2017)"/>
      <sheetName val="Sheet1"/>
    </sheetNames>
    <sheetDataSet>
      <sheetData sheetId="0" refreshError="1"/>
      <sheetData sheetId="1" refreshError="1"/>
      <sheetData sheetId="2" refreshError="1"/>
      <sheetData sheetId="3" refreshError="1">
        <row r="3154">
          <cell r="K3154">
            <v>562</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pile data ( M30 grade) (2)"/>
      <sheetName val="Abstract (21.4.18)"/>
      <sheetName val="UNIT"/>
      <sheetName val="G. Abstract (2)"/>
      <sheetName val="pile data ( M20 grade)"/>
      <sheetName val="  Coastal  Elec.Data "/>
      <sheetName val="G. Abstractfinal"/>
      <sheetName val="OTHER"/>
      <sheetName val="lead  charge"/>
      <sheetName val="Elec.abs"/>
      <sheetName val="OHT(A4)"/>
      <sheetName val="paver"/>
      <sheetName val="Culvert"/>
      <sheetName val="Sliding and french window"/>
      <sheetName val="Data1"/>
      <sheetName val="NEW TENDER FORMAT"/>
      <sheetName val="Det"/>
      <sheetName val="Abs"/>
      <sheetName val="Sheet1"/>
      <sheetName val="Building+Dev (2)"/>
      <sheetName val="PP "/>
      <sheetName val="Building (2)"/>
      <sheetName val="Building+Dev"/>
      <sheetName val="det -detail"/>
      <sheetName val="Main Building Details"/>
      <sheetName val="Building (3)"/>
      <sheetName val="ABSTRACT"/>
      <sheetName val="G.Abstract (2)"/>
      <sheetName val="Estimate Full Data"/>
      <sheetName val="Main door and FW"/>
      <sheetName val="Data"/>
      <sheetName val="Data est"/>
      <sheetName val="Elec.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row r="3087">
          <cell r="F3087" t="str">
            <v>Annexure</v>
          </cell>
          <cell r="G3087">
            <v>0</v>
          </cell>
          <cell r="H3087" t="str">
            <v>TW  frame &amp; TW styles &amp; rails with 9 mm thick BWR double leaf shutter for ward robe / cup board</v>
          </cell>
          <cell r="I3087">
            <v>0</v>
          </cell>
          <cell r="J3087">
            <v>0</v>
          </cell>
          <cell r="K3087">
            <v>0</v>
          </cell>
        </row>
        <row r="3088">
          <cell r="F3088">
            <v>0</v>
          </cell>
          <cell r="G3088">
            <v>0</v>
          </cell>
          <cell r="H3088" t="str">
            <v>-</v>
          </cell>
          <cell r="I3088" t="str">
            <v>-</v>
          </cell>
          <cell r="J3088" t="str">
            <v>-</v>
          </cell>
          <cell r="K3088">
            <v>0</v>
          </cell>
        </row>
        <row r="3089">
          <cell r="F3089">
            <v>0</v>
          </cell>
          <cell r="G3089">
            <v>0</v>
          </cell>
          <cell r="H3089">
            <v>0</v>
          </cell>
          <cell r="I3089">
            <v>0</v>
          </cell>
          <cell r="J3089">
            <v>0</v>
          </cell>
          <cell r="K3089">
            <v>0</v>
          </cell>
        </row>
        <row r="3090">
          <cell r="F3090">
            <v>0</v>
          </cell>
          <cell r="G3090">
            <v>0</v>
          </cell>
          <cell r="K3090">
            <v>0</v>
          </cell>
        </row>
        <row r="3091">
          <cell r="F3091">
            <v>0</v>
          </cell>
          <cell r="G3091">
            <v>0</v>
          </cell>
          <cell r="H3091">
            <v>0</v>
          </cell>
          <cell r="I3091">
            <v>0</v>
          </cell>
          <cell r="J3091">
            <v>0</v>
          </cell>
          <cell r="K3091">
            <v>0</v>
          </cell>
        </row>
        <row r="3092">
          <cell r="F3092">
            <v>0</v>
          </cell>
          <cell r="G3092">
            <v>0</v>
          </cell>
          <cell r="J3092">
            <v>0</v>
          </cell>
          <cell r="K3092">
            <v>0</v>
          </cell>
        </row>
        <row r="3093">
          <cell r="F3093">
            <v>0</v>
          </cell>
          <cell r="G3093">
            <v>0</v>
          </cell>
          <cell r="J3093">
            <v>0</v>
          </cell>
          <cell r="K3093">
            <v>0</v>
          </cell>
        </row>
        <row r="3097">
          <cell r="F3097">
            <v>0</v>
          </cell>
          <cell r="G3097">
            <v>0</v>
          </cell>
          <cell r="J3097" t="str">
            <v/>
          </cell>
          <cell r="K3097" t="str">
            <v/>
          </cell>
        </row>
        <row r="3098">
          <cell r="F3098">
            <v>0</v>
          </cell>
          <cell r="G3098">
            <v>0</v>
          </cell>
          <cell r="J3098">
            <v>0</v>
          </cell>
          <cell r="K3098" t="str">
            <v/>
          </cell>
        </row>
        <row r="3099">
          <cell r="F3099">
            <v>0</v>
          </cell>
          <cell r="G3099">
            <v>0</v>
          </cell>
          <cell r="H3099">
            <v>0</v>
          </cell>
          <cell r="I3099">
            <v>0</v>
          </cell>
          <cell r="J3099">
            <v>0</v>
          </cell>
          <cell r="K3099">
            <v>0</v>
          </cell>
        </row>
        <row r="3100">
          <cell r="G3100" t="str">
            <v>CUM</v>
          </cell>
          <cell r="H3100" t="str">
            <v>T.W.SCANTLING above 2M length</v>
          </cell>
          <cell r="J3100" t="str">
            <v>CUM</v>
          </cell>
        </row>
        <row r="3101">
          <cell r="G3101" t="str">
            <v>CUM</v>
          </cell>
          <cell r="H3101" t="str">
            <v>T.W.SCANTLING below 2M length</v>
          </cell>
          <cell r="J3101" t="str">
            <v>CUM</v>
          </cell>
        </row>
        <row r="3102">
          <cell r="G3102" t="str">
            <v>CUM</v>
          </cell>
          <cell r="H3102" t="str">
            <v>LABOUR FOR WROUGHT &amp;PUTUP</v>
          </cell>
          <cell r="J3102" t="str">
            <v>CUM</v>
          </cell>
        </row>
        <row r="3103">
          <cell r="G3103" t="str">
            <v>SQM</v>
          </cell>
          <cell r="H3103" t="str">
            <v xml:space="preserve">9mm thick BWR ply wood </v>
          </cell>
          <cell r="J3103" t="str">
            <v>SQM</v>
          </cell>
        </row>
        <row r="3104">
          <cell r="G3104" t="str">
            <v>SQM</v>
          </cell>
          <cell r="H3104" t="str">
            <v>LABOUR CHARGE FOR SHUTTER</v>
          </cell>
          <cell r="J3104" t="str">
            <v>SQM</v>
          </cell>
        </row>
        <row r="3106">
          <cell r="G3106" t="str">
            <v>NO.</v>
          </cell>
          <cell r="H3106" t="str">
            <v xml:space="preserve"> 3" ALU BUTT HINGES</v>
          </cell>
          <cell r="J3106" t="str">
            <v>NO.</v>
          </cell>
        </row>
        <row r="3107">
          <cell r="G3107" t="str">
            <v>NO.</v>
          </cell>
          <cell r="H3107" t="str">
            <v xml:space="preserve"> ORNAMENTAL  HANDLE WITH SCREWS</v>
          </cell>
          <cell r="J3107" t="str">
            <v>NO.</v>
          </cell>
        </row>
        <row r="3108">
          <cell r="G3108" t="str">
            <v>NO.</v>
          </cell>
          <cell r="H3108" t="str">
            <v>LOCKS &amp;KEY</v>
          </cell>
          <cell r="J3108" t="str">
            <v>NO.</v>
          </cell>
        </row>
        <row r="3109">
          <cell r="G3109" t="str">
            <v>SQM</v>
          </cell>
          <cell r="H3109" t="str">
            <v>TWO COATS of enamel paint incl. Primer</v>
          </cell>
          <cell r="J3109" t="str">
            <v>SQM</v>
          </cell>
        </row>
        <row r="3110">
          <cell r="G3110" t="str">
            <v>Nos</v>
          </cell>
          <cell r="H3110" t="str">
            <v>SUNDRIES FOR NAILS,PLUGS &amp; Brass screws ETC.</v>
          </cell>
          <cell r="J3110">
            <v>0</v>
          </cell>
        </row>
        <row r="3111">
          <cell r="F3111">
            <v>0</v>
          </cell>
          <cell r="G3111">
            <v>0</v>
          </cell>
          <cell r="H3111">
            <v>0</v>
          </cell>
          <cell r="I3111">
            <v>0</v>
          </cell>
          <cell r="J3111">
            <v>0</v>
          </cell>
        </row>
        <row r="3112">
          <cell r="F3112">
            <v>0</v>
          </cell>
          <cell r="G3112">
            <v>0</v>
          </cell>
          <cell r="I3112">
            <v>0</v>
          </cell>
          <cell r="J3112">
            <v>0</v>
          </cell>
        </row>
        <row r="3113">
          <cell r="F3113">
            <v>0</v>
          </cell>
          <cell r="G3113" t="str">
            <v/>
          </cell>
          <cell r="H3113">
            <v>0</v>
          </cell>
          <cell r="I3113">
            <v>0</v>
          </cell>
          <cell r="J3113">
            <v>0</v>
          </cell>
        </row>
        <row r="3114">
          <cell r="F3114">
            <v>0</v>
          </cell>
          <cell r="G3114">
            <v>0</v>
          </cell>
          <cell r="H3114" t="str">
            <v>RATE PER SQM</v>
          </cell>
          <cell r="I3114">
            <v>0</v>
          </cell>
          <cell r="J3114">
            <v>0</v>
          </cell>
        </row>
        <row r="3115">
          <cell r="F3115">
            <v>0</v>
          </cell>
          <cell r="G3115">
            <v>0</v>
          </cell>
          <cell r="H3115">
            <v>0</v>
          </cell>
          <cell r="I3115">
            <v>0</v>
          </cell>
          <cell r="J3115">
            <v>0</v>
          </cell>
        </row>
      </sheetData>
      <sheetData sheetId="31" refreshError="1"/>
      <sheetData sheetId="3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file:///G:\2273" TargetMode="External"/><Relationship Id="rId1" Type="http://schemas.openxmlformats.org/officeDocument/2006/relationships/hyperlink" Target="file:///G:\2273"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rgb="FF00B050"/>
  </sheetPr>
  <dimension ref="A1:J17"/>
  <sheetViews>
    <sheetView view="pageBreakPreview" zoomScale="80" zoomScaleNormal="75" zoomScaleSheetLayoutView="80" workbookViewId="0">
      <selection activeCell="D5" sqref="D5"/>
    </sheetView>
  </sheetViews>
  <sheetFormatPr defaultRowHeight="35.1" customHeight="1"/>
  <cols>
    <col min="1" max="1" width="10.28515625" style="152" customWidth="1"/>
    <col min="2" max="2" width="8.5703125" style="152" customWidth="1"/>
    <col min="3" max="3" width="48.7109375" style="152" customWidth="1"/>
    <col min="4" max="4" width="20.140625" style="152" customWidth="1"/>
    <col min="5" max="5" width="9.42578125" style="152" customWidth="1"/>
    <col min="6" max="6" width="23.85546875" style="152" customWidth="1"/>
    <col min="7" max="7" width="24.5703125" style="152" customWidth="1"/>
    <col min="8" max="8" width="24.42578125" style="152" customWidth="1"/>
    <col min="9" max="9" width="12.85546875" style="152" bestFit="1" customWidth="1"/>
    <col min="10" max="10" width="43.85546875" style="152" customWidth="1"/>
    <col min="11" max="256" width="9.140625" style="152"/>
    <col min="257" max="257" width="10.28515625" style="152" customWidth="1"/>
    <col min="258" max="258" width="8.5703125" style="152" customWidth="1"/>
    <col min="259" max="259" width="55.28515625" style="152" customWidth="1"/>
    <col min="260" max="260" width="20.140625" style="152" customWidth="1"/>
    <col min="261" max="261" width="9.42578125" style="152" customWidth="1"/>
    <col min="262" max="262" width="23.85546875" style="152" customWidth="1"/>
    <col min="263" max="263" width="24.5703125" style="152" customWidth="1"/>
    <col min="264" max="264" width="24.42578125" style="152" customWidth="1"/>
    <col min="265" max="265" width="12.85546875" style="152" bestFit="1" customWidth="1"/>
    <col min="266" max="266" width="43.85546875" style="152" customWidth="1"/>
    <col min="267" max="512" width="9.140625" style="152"/>
    <col min="513" max="513" width="10.28515625" style="152" customWidth="1"/>
    <col min="514" max="514" width="8.5703125" style="152" customWidth="1"/>
    <col min="515" max="515" width="55.28515625" style="152" customWidth="1"/>
    <col min="516" max="516" width="20.140625" style="152" customWidth="1"/>
    <col min="517" max="517" width="9.42578125" style="152" customWidth="1"/>
    <col min="518" max="518" width="23.85546875" style="152" customWidth="1"/>
    <col min="519" max="519" width="24.5703125" style="152" customWidth="1"/>
    <col min="520" max="520" width="24.42578125" style="152" customWidth="1"/>
    <col min="521" max="521" width="12.85546875" style="152" bestFit="1" customWidth="1"/>
    <col min="522" max="522" width="43.85546875" style="152" customWidth="1"/>
    <col min="523" max="768" width="9.140625" style="152"/>
    <col min="769" max="769" width="10.28515625" style="152" customWidth="1"/>
    <col min="770" max="770" width="8.5703125" style="152" customWidth="1"/>
    <col min="771" max="771" width="55.28515625" style="152" customWidth="1"/>
    <col min="772" max="772" width="20.140625" style="152" customWidth="1"/>
    <col min="773" max="773" width="9.42578125" style="152" customWidth="1"/>
    <col min="774" max="774" width="23.85546875" style="152" customWidth="1"/>
    <col min="775" max="775" width="24.5703125" style="152" customWidth="1"/>
    <col min="776" max="776" width="24.42578125" style="152" customWidth="1"/>
    <col min="777" max="777" width="12.85546875" style="152" bestFit="1" customWidth="1"/>
    <col min="778" max="778" width="43.85546875" style="152" customWidth="1"/>
    <col min="779" max="1024" width="9.140625" style="152"/>
    <col min="1025" max="1025" width="10.28515625" style="152" customWidth="1"/>
    <col min="1026" max="1026" width="8.5703125" style="152" customWidth="1"/>
    <col min="1027" max="1027" width="55.28515625" style="152" customWidth="1"/>
    <col min="1028" max="1028" width="20.140625" style="152" customWidth="1"/>
    <col min="1029" max="1029" width="9.42578125" style="152" customWidth="1"/>
    <col min="1030" max="1030" width="23.85546875" style="152" customWidth="1"/>
    <col min="1031" max="1031" width="24.5703125" style="152" customWidth="1"/>
    <col min="1032" max="1032" width="24.42578125" style="152" customWidth="1"/>
    <col min="1033" max="1033" width="12.85546875" style="152" bestFit="1" customWidth="1"/>
    <col min="1034" max="1034" width="43.85546875" style="152" customWidth="1"/>
    <col min="1035" max="1280" width="9.140625" style="152"/>
    <col min="1281" max="1281" width="10.28515625" style="152" customWidth="1"/>
    <col min="1282" max="1282" width="8.5703125" style="152" customWidth="1"/>
    <col min="1283" max="1283" width="55.28515625" style="152" customWidth="1"/>
    <col min="1284" max="1284" width="20.140625" style="152" customWidth="1"/>
    <col min="1285" max="1285" width="9.42578125" style="152" customWidth="1"/>
    <col min="1286" max="1286" width="23.85546875" style="152" customWidth="1"/>
    <col min="1287" max="1287" width="24.5703125" style="152" customWidth="1"/>
    <col min="1288" max="1288" width="24.42578125" style="152" customWidth="1"/>
    <col min="1289" max="1289" width="12.85546875" style="152" bestFit="1" customWidth="1"/>
    <col min="1290" max="1290" width="43.85546875" style="152" customWidth="1"/>
    <col min="1291" max="1536" width="9.140625" style="152"/>
    <col min="1537" max="1537" width="10.28515625" style="152" customWidth="1"/>
    <col min="1538" max="1538" width="8.5703125" style="152" customWidth="1"/>
    <col min="1539" max="1539" width="55.28515625" style="152" customWidth="1"/>
    <col min="1540" max="1540" width="20.140625" style="152" customWidth="1"/>
    <col min="1541" max="1541" width="9.42578125" style="152" customWidth="1"/>
    <col min="1542" max="1542" width="23.85546875" style="152" customWidth="1"/>
    <col min="1543" max="1543" width="24.5703125" style="152" customWidth="1"/>
    <col min="1544" max="1544" width="24.42578125" style="152" customWidth="1"/>
    <col min="1545" max="1545" width="12.85546875" style="152" bestFit="1" customWidth="1"/>
    <col min="1546" max="1546" width="43.85546875" style="152" customWidth="1"/>
    <col min="1547" max="1792" width="9.140625" style="152"/>
    <col min="1793" max="1793" width="10.28515625" style="152" customWidth="1"/>
    <col min="1794" max="1794" width="8.5703125" style="152" customWidth="1"/>
    <col min="1795" max="1795" width="55.28515625" style="152" customWidth="1"/>
    <col min="1796" max="1796" width="20.140625" style="152" customWidth="1"/>
    <col min="1797" max="1797" width="9.42578125" style="152" customWidth="1"/>
    <col min="1798" max="1798" width="23.85546875" style="152" customWidth="1"/>
    <col min="1799" max="1799" width="24.5703125" style="152" customWidth="1"/>
    <col min="1800" max="1800" width="24.42578125" style="152" customWidth="1"/>
    <col min="1801" max="1801" width="12.85546875" style="152" bestFit="1" customWidth="1"/>
    <col min="1802" max="1802" width="43.85546875" style="152" customWidth="1"/>
    <col min="1803" max="2048" width="9.140625" style="152"/>
    <col min="2049" max="2049" width="10.28515625" style="152" customWidth="1"/>
    <col min="2050" max="2050" width="8.5703125" style="152" customWidth="1"/>
    <col min="2051" max="2051" width="55.28515625" style="152" customWidth="1"/>
    <col min="2052" max="2052" width="20.140625" style="152" customWidth="1"/>
    <col min="2053" max="2053" width="9.42578125" style="152" customWidth="1"/>
    <col min="2054" max="2054" width="23.85546875" style="152" customWidth="1"/>
    <col min="2055" max="2055" width="24.5703125" style="152" customWidth="1"/>
    <col min="2056" max="2056" width="24.42578125" style="152" customWidth="1"/>
    <col min="2057" max="2057" width="12.85546875" style="152" bestFit="1" customWidth="1"/>
    <col min="2058" max="2058" width="43.85546875" style="152" customWidth="1"/>
    <col min="2059" max="2304" width="9.140625" style="152"/>
    <col min="2305" max="2305" width="10.28515625" style="152" customWidth="1"/>
    <col min="2306" max="2306" width="8.5703125" style="152" customWidth="1"/>
    <col min="2307" max="2307" width="55.28515625" style="152" customWidth="1"/>
    <col min="2308" max="2308" width="20.140625" style="152" customWidth="1"/>
    <col min="2309" max="2309" width="9.42578125" style="152" customWidth="1"/>
    <col min="2310" max="2310" width="23.85546875" style="152" customWidth="1"/>
    <col min="2311" max="2311" width="24.5703125" style="152" customWidth="1"/>
    <col min="2312" max="2312" width="24.42578125" style="152" customWidth="1"/>
    <col min="2313" max="2313" width="12.85546875" style="152" bestFit="1" customWidth="1"/>
    <col min="2314" max="2314" width="43.85546875" style="152" customWidth="1"/>
    <col min="2315" max="2560" width="9.140625" style="152"/>
    <col min="2561" max="2561" width="10.28515625" style="152" customWidth="1"/>
    <col min="2562" max="2562" width="8.5703125" style="152" customWidth="1"/>
    <col min="2563" max="2563" width="55.28515625" style="152" customWidth="1"/>
    <col min="2564" max="2564" width="20.140625" style="152" customWidth="1"/>
    <col min="2565" max="2565" width="9.42578125" style="152" customWidth="1"/>
    <col min="2566" max="2566" width="23.85546875" style="152" customWidth="1"/>
    <col min="2567" max="2567" width="24.5703125" style="152" customWidth="1"/>
    <col min="2568" max="2568" width="24.42578125" style="152" customWidth="1"/>
    <col min="2569" max="2569" width="12.85546875" style="152" bestFit="1" customWidth="1"/>
    <col min="2570" max="2570" width="43.85546875" style="152" customWidth="1"/>
    <col min="2571" max="2816" width="9.140625" style="152"/>
    <col min="2817" max="2817" width="10.28515625" style="152" customWidth="1"/>
    <col min="2818" max="2818" width="8.5703125" style="152" customWidth="1"/>
    <col min="2819" max="2819" width="55.28515625" style="152" customWidth="1"/>
    <col min="2820" max="2820" width="20.140625" style="152" customWidth="1"/>
    <col min="2821" max="2821" width="9.42578125" style="152" customWidth="1"/>
    <col min="2822" max="2822" width="23.85546875" style="152" customWidth="1"/>
    <col min="2823" max="2823" width="24.5703125" style="152" customWidth="1"/>
    <col min="2824" max="2824" width="24.42578125" style="152" customWidth="1"/>
    <col min="2825" max="2825" width="12.85546875" style="152" bestFit="1" customWidth="1"/>
    <col min="2826" max="2826" width="43.85546875" style="152" customWidth="1"/>
    <col min="2827" max="3072" width="9.140625" style="152"/>
    <col min="3073" max="3073" width="10.28515625" style="152" customWidth="1"/>
    <col min="3074" max="3074" width="8.5703125" style="152" customWidth="1"/>
    <col min="3075" max="3075" width="55.28515625" style="152" customWidth="1"/>
    <col min="3076" max="3076" width="20.140625" style="152" customWidth="1"/>
    <col min="3077" max="3077" width="9.42578125" style="152" customWidth="1"/>
    <col min="3078" max="3078" width="23.85546875" style="152" customWidth="1"/>
    <col min="3079" max="3079" width="24.5703125" style="152" customWidth="1"/>
    <col min="3080" max="3080" width="24.42578125" style="152" customWidth="1"/>
    <col min="3081" max="3081" width="12.85546875" style="152" bestFit="1" customWidth="1"/>
    <col min="3082" max="3082" width="43.85546875" style="152" customWidth="1"/>
    <col min="3083" max="3328" width="9.140625" style="152"/>
    <col min="3329" max="3329" width="10.28515625" style="152" customWidth="1"/>
    <col min="3330" max="3330" width="8.5703125" style="152" customWidth="1"/>
    <col min="3331" max="3331" width="55.28515625" style="152" customWidth="1"/>
    <col min="3332" max="3332" width="20.140625" style="152" customWidth="1"/>
    <col min="3333" max="3333" width="9.42578125" style="152" customWidth="1"/>
    <col min="3334" max="3334" width="23.85546875" style="152" customWidth="1"/>
    <col min="3335" max="3335" width="24.5703125" style="152" customWidth="1"/>
    <col min="3336" max="3336" width="24.42578125" style="152" customWidth="1"/>
    <col min="3337" max="3337" width="12.85546875" style="152" bestFit="1" customWidth="1"/>
    <col min="3338" max="3338" width="43.85546875" style="152" customWidth="1"/>
    <col min="3339" max="3584" width="9.140625" style="152"/>
    <col min="3585" max="3585" width="10.28515625" style="152" customWidth="1"/>
    <col min="3586" max="3586" width="8.5703125" style="152" customWidth="1"/>
    <col min="3587" max="3587" width="55.28515625" style="152" customWidth="1"/>
    <col min="3588" max="3588" width="20.140625" style="152" customWidth="1"/>
    <col min="3589" max="3589" width="9.42578125" style="152" customWidth="1"/>
    <col min="3590" max="3590" width="23.85546875" style="152" customWidth="1"/>
    <col min="3591" max="3591" width="24.5703125" style="152" customWidth="1"/>
    <col min="3592" max="3592" width="24.42578125" style="152" customWidth="1"/>
    <col min="3593" max="3593" width="12.85546875" style="152" bestFit="1" customWidth="1"/>
    <col min="3594" max="3594" width="43.85546875" style="152" customWidth="1"/>
    <col min="3595" max="3840" width="9.140625" style="152"/>
    <col min="3841" max="3841" width="10.28515625" style="152" customWidth="1"/>
    <col min="3842" max="3842" width="8.5703125" style="152" customWidth="1"/>
    <col min="3843" max="3843" width="55.28515625" style="152" customWidth="1"/>
    <col min="3844" max="3844" width="20.140625" style="152" customWidth="1"/>
    <col min="3845" max="3845" width="9.42578125" style="152" customWidth="1"/>
    <col min="3846" max="3846" width="23.85546875" style="152" customWidth="1"/>
    <col min="3847" max="3847" width="24.5703125" style="152" customWidth="1"/>
    <col min="3848" max="3848" width="24.42578125" style="152" customWidth="1"/>
    <col min="3849" max="3849" width="12.85546875" style="152" bestFit="1" customWidth="1"/>
    <col min="3850" max="3850" width="43.85546875" style="152" customWidth="1"/>
    <col min="3851" max="4096" width="9.140625" style="152"/>
    <col min="4097" max="4097" width="10.28515625" style="152" customWidth="1"/>
    <col min="4098" max="4098" width="8.5703125" style="152" customWidth="1"/>
    <col min="4099" max="4099" width="55.28515625" style="152" customWidth="1"/>
    <col min="4100" max="4100" width="20.140625" style="152" customWidth="1"/>
    <col min="4101" max="4101" width="9.42578125" style="152" customWidth="1"/>
    <col min="4102" max="4102" width="23.85546875" style="152" customWidth="1"/>
    <col min="4103" max="4103" width="24.5703125" style="152" customWidth="1"/>
    <col min="4104" max="4104" width="24.42578125" style="152" customWidth="1"/>
    <col min="4105" max="4105" width="12.85546875" style="152" bestFit="1" customWidth="1"/>
    <col min="4106" max="4106" width="43.85546875" style="152" customWidth="1"/>
    <col min="4107" max="4352" width="9.140625" style="152"/>
    <col min="4353" max="4353" width="10.28515625" style="152" customWidth="1"/>
    <col min="4354" max="4354" width="8.5703125" style="152" customWidth="1"/>
    <col min="4355" max="4355" width="55.28515625" style="152" customWidth="1"/>
    <col min="4356" max="4356" width="20.140625" style="152" customWidth="1"/>
    <col min="4357" max="4357" width="9.42578125" style="152" customWidth="1"/>
    <col min="4358" max="4358" width="23.85546875" style="152" customWidth="1"/>
    <col min="4359" max="4359" width="24.5703125" style="152" customWidth="1"/>
    <col min="4360" max="4360" width="24.42578125" style="152" customWidth="1"/>
    <col min="4361" max="4361" width="12.85546875" style="152" bestFit="1" customWidth="1"/>
    <col min="4362" max="4362" width="43.85546875" style="152" customWidth="1"/>
    <col min="4363" max="4608" width="9.140625" style="152"/>
    <col min="4609" max="4609" width="10.28515625" style="152" customWidth="1"/>
    <col min="4610" max="4610" width="8.5703125" style="152" customWidth="1"/>
    <col min="4611" max="4611" width="55.28515625" style="152" customWidth="1"/>
    <col min="4612" max="4612" width="20.140625" style="152" customWidth="1"/>
    <col min="4613" max="4613" width="9.42578125" style="152" customWidth="1"/>
    <col min="4614" max="4614" width="23.85546875" style="152" customWidth="1"/>
    <col min="4615" max="4615" width="24.5703125" style="152" customWidth="1"/>
    <col min="4616" max="4616" width="24.42578125" style="152" customWidth="1"/>
    <col min="4617" max="4617" width="12.85546875" style="152" bestFit="1" customWidth="1"/>
    <col min="4618" max="4618" width="43.85546875" style="152" customWidth="1"/>
    <col min="4619" max="4864" width="9.140625" style="152"/>
    <col min="4865" max="4865" width="10.28515625" style="152" customWidth="1"/>
    <col min="4866" max="4866" width="8.5703125" style="152" customWidth="1"/>
    <col min="4867" max="4867" width="55.28515625" style="152" customWidth="1"/>
    <col min="4868" max="4868" width="20.140625" style="152" customWidth="1"/>
    <col min="4869" max="4869" width="9.42578125" style="152" customWidth="1"/>
    <col min="4870" max="4870" width="23.85546875" style="152" customWidth="1"/>
    <col min="4871" max="4871" width="24.5703125" style="152" customWidth="1"/>
    <col min="4872" max="4872" width="24.42578125" style="152" customWidth="1"/>
    <col min="4873" max="4873" width="12.85546875" style="152" bestFit="1" customWidth="1"/>
    <col min="4874" max="4874" width="43.85546875" style="152" customWidth="1"/>
    <col min="4875" max="5120" width="9.140625" style="152"/>
    <col min="5121" max="5121" width="10.28515625" style="152" customWidth="1"/>
    <col min="5122" max="5122" width="8.5703125" style="152" customWidth="1"/>
    <col min="5123" max="5123" width="55.28515625" style="152" customWidth="1"/>
    <col min="5124" max="5124" width="20.140625" style="152" customWidth="1"/>
    <col min="5125" max="5125" width="9.42578125" style="152" customWidth="1"/>
    <col min="5126" max="5126" width="23.85546875" style="152" customWidth="1"/>
    <col min="5127" max="5127" width="24.5703125" style="152" customWidth="1"/>
    <col min="5128" max="5128" width="24.42578125" style="152" customWidth="1"/>
    <col min="5129" max="5129" width="12.85546875" style="152" bestFit="1" customWidth="1"/>
    <col min="5130" max="5130" width="43.85546875" style="152" customWidth="1"/>
    <col min="5131" max="5376" width="9.140625" style="152"/>
    <col min="5377" max="5377" width="10.28515625" style="152" customWidth="1"/>
    <col min="5378" max="5378" width="8.5703125" style="152" customWidth="1"/>
    <col min="5379" max="5379" width="55.28515625" style="152" customWidth="1"/>
    <col min="5380" max="5380" width="20.140625" style="152" customWidth="1"/>
    <col min="5381" max="5381" width="9.42578125" style="152" customWidth="1"/>
    <col min="5382" max="5382" width="23.85546875" style="152" customWidth="1"/>
    <col min="5383" max="5383" width="24.5703125" style="152" customWidth="1"/>
    <col min="5384" max="5384" width="24.42578125" style="152" customWidth="1"/>
    <col min="5385" max="5385" width="12.85546875" style="152" bestFit="1" customWidth="1"/>
    <col min="5386" max="5386" width="43.85546875" style="152" customWidth="1"/>
    <col min="5387" max="5632" width="9.140625" style="152"/>
    <col min="5633" max="5633" width="10.28515625" style="152" customWidth="1"/>
    <col min="5634" max="5634" width="8.5703125" style="152" customWidth="1"/>
    <col min="5635" max="5635" width="55.28515625" style="152" customWidth="1"/>
    <col min="5636" max="5636" width="20.140625" style="152" customWidth="1"/>
    <col min="5637" max="5637" width="9.42578125" style="152" customWidth="1"/>
    <col min="5638" max="5638" width="23.85546875" style="152" customWidth="1"/>
    <col min="5639" max="5639" width="24.5703125" style="152" customWidth="1"/>
    <col min="5640" max="5640" width="24.42578125" style="152" customWidth="1"/>
    <col min="5641" max="5641" width="12.85546875" style="152" bestFit="1" customWidth="1"/>
    <col min="5642" max="5642" width="43.85546875" style="152" customWidth="1"/>
    <col min="5643" max="5888" width="9.140625" style="152"/>
    <col min="5889" max="5889" width="10.28515625" style="152" customWidth="1"/>
    <col min="5890" max="5890" width="8.5703125" style="152" customWidth="1"/>
    <col min="5891" max="5891" width="55.28515625" style="152" customWidth="1"/>
    <col min="5892" max="5892" width="20.140625" style="152" customWidth="1"/>
    <col min="5893" max="5893" width="9.42578125" style="152" customWidth="1"/>
    <col min="5894" max="5894" width="23.85546875" style="152" customWidth="1"/>
    <col min="5895" max="5895" width="24.5703125" style="152" customWidth="1"/>
    <col min="5896" max="5896" width="24.42578125" style="152" customWidth="1"/>
    <col min="5897" max="5897" width="12.85546875" style="152" bestFit="1" customWidth="1"/>
    <col min="5898" max="5898" width="43.85546875" style="152" customWidth="1"/>
    <col min="5899" max="6144" width="9.140625" style="152"/>
    <col min="6145" max="6145" width="10.28515625" style="152" customWidth="1"/>
    <col min="6146" max="6146" width="8.5703125" style="152" customWidth="1"/>
    <col min="6147" max="6147" width="55.28515625" style="152" customWidth="1"/>
    <col min="6148" max="6148" width="20.140625" style="152" customWidth="1"/>
    <col min="6149" max="6149" width="9.42578125" style="152" customWidth="1"/>
    <col min="6150" max="6150" width="23.85546875" style="152" customWidth="1"/>
    <col min="6151" max="6151" width="24.5703125" style="152" customWidth="1"/>
    <col min="6152" max="6152" width="24.42578125" style="152" customWidth="1"/>
    <col min="6153" max="6153" width="12.85546875" style="152" bestFit="1" customWidth="1"/>
    <col min="6154" max="6154" width="43.85546875" style="152" customWidth="1"/>
    <col min="6155" max="6400" width="9.140625" style="152"/>
    <col min="6401" max="6401" width="10.28515625" style="152" customWidth="1"/>
    <col min="6402" max="6402" width="8.5703125" style="152" customWidth="1"/>
    <col min="6403" max="6403" width="55.28515625" style="152" customWidth="1"/>
    <col min="6404" max="6404" width="20.140625" style="152" customWidth="1"/>
    <col min="6405" max="6405" width="9.42578125" style="152" customWidth="1"/>
    <col min="6406" max="6406" width="23.85546875" style="152" customWidth="1"/>
    <col min="6407" max="6407" width="24.5703125" style="152" customWidth="1"/>
    <col min="6408" max="6408" width="24.42578125" style="152" customWidth="1"/>
    <col min="6409" max="6409" width="12.85546875" style="152" bestFit="1" customWidth="1"/>
    <col min="6410" max="6410" width="43.85546875" style="152" customWidth="1"/>
    <col min="6411" max="6656" width="9.140625" style="152"/>
    <col min="6657" max="6657" width="10.28515625" style="152" customWidth="1"/>
    <col min="6658" max="6658" width="8.5703125" style="152" customWidth="1"/>
    <col min="6659" max="6659" width="55.28515625" style="152" customWidth="1"/>
    <col min="6660" max="6660" width="20.140625" style="152" customWidth="1"/>
    <col min="6661" max="6661" width="9.42578125" style="152" customWidth="1"/>
    <col min="6662" max="6662" width="23.85546875" style="152" customWidth="1"/>
    <col min="6663" max="6663" width="24.5703125" style="152" customWidth="1"/>
    <col min="6664" max="6664" width="24.42578125" style="152" customWidth="1"/>
    <col min="6665" max="6665" width="12.85546875" style="152" bestFit="1" customWidth="1"/>
    <col min="6666" max="6666" width="43.85546875" style="152" customWidth="1"/>
    <col min="6667" max="6912" width="9.140625" style="152"/>
    <col min="6913" max="6913" width="10.28515625" style="152" customWidth="1"/>
    <col min="6914" max="6914" width="8.5703125" style="152" customWidth="1"/>
    <col min="6915" max="6915" width="55.28515625" style="152" customWidth="1"/>
    <col min="6916" max="6916" width="20.140625" style="152" customWidth="1"/>
    <col min="6917" max="6917" width="9.42578125" style="152" customWidth="1"/>
    <col min="6918" max="6918" width="23.85546875" style="152" customWidth="1"/>
    <col min="6919" max="6919" width="24.5703125" style="152" customWidth="1"/>
    <col min="6920" max="6920" width="24.42578125" style="152" customWidth="1"/>
    <col min="6921" max="6921" width="12.85546875" style="152" bestFit="1" customWidth="1"/>
    <col min="6922" max="6922" width="43.85546875" style="152" customWidth="1"/>
    <col min="6923" max="7168" width="9.140625" style="152"/>
    <col min="7169" max="7169" width="10.28515625" style="152" customWidth="1"/>
    <col min="7170" max="7170" width="8.5703125" style="152" customWidth="1"/>
    <col min="7171" max="7171" width="55.28515625" style="152" customWidth="1"/>
    <col min="7172" max="7172" width="20.140625" style="152" customWidth="1"/>
    <col min="7173" max="7173" width="9.42578125" style="152" customWidth="1"/>
    <col min="7174" max="7174" width="23.85546875" style="152" customWidth="1"/>
    <col min="7175" max="7175" width="24.5703125" style="152" customWidth="1"/>
    <col min="7176" max="7176" width="24.42578125" style="152" customWidth="1"/>
    <col min="7177" max="7177" width="12.85546875" style="152" bestFit="1" customWidth="1"/>
    <col min="7178" max="7178" width="43.85546875" style="152" customWidth="1"/>
    <col min="7179" max="7424" width="9.140625" style="152"/>
    <col min="7425" max="7425" width="10.28515625" style="152" customWidth="1"/>
    <col min="7426" max="7426" width="8.5703125" style="152" customWidth="1"/>
    <col min="7427" max="7427" width="55.28515625" style="152" customWidth="1"/>
    <col min="7428" max="7428" width="20.140625" style="152" customWidth="1"/>
    <col min="7429" max="7429" width="9.42578125" style="152" customWidth="1"/>
    <col min="7430" max="7430" width="23.85546875" style="152" customWidth="1"/>
    <col min="7431" max="7431" width="24.5703125" style="152" customWidth="1"/>
    <col min="7432" max="7432" width="24.42578125" style="152" customWidth="1"/>
    <col min="7433" max="7433" width="12.85546875" style="152" bestFit="1" customWidth="1"/>
    <col min="7434" max="7434" width="43.85546875" style="152" customWidth="1"/>
    <col min="7435" max="7680" width="9.140625" style="152"/>
    <col min="7681" max="7681" width="10.28515625" style="152" customWidth="1"/>
    <col min="7682" max="7682" width="8.5703125" style="152" customWidth="1"/>
    <col min="7683" max="7683" width="55.28515625" style="152" customWidth="1"/>
    <col min="7684" max="7684" width="20.140625" style="152" customWidth="1"/>
    <col min="7685" max="7685" width="9.42578125" style="152" customWidth="1"/>
    <col min="7686" max="7686" width="23.85546875" style="152" customWidth="1"/>
    <col min="7687" max="7687" width="24.5703125" style="152" customWidth="1"/>
    <col min="7688" max="7688" width="24.42578125" style="152" customWidth="1"/>
    <col min="7689" max="7689" width="12.85546875" style="152" bestFit="1" customWidth="1"/>
    <col min="7690" max="7690" width="43.85546875" style="152" customWidth="1"/>
    <col min="7691" max="7936" width="9.140625" style="152"/>
    <col min="7937" max="7937" width="10.28515625" style="152" customWidth="1"/>
    <col min="7938" max="7938" width="8.5703125" style="152" customWidth="1"/>
    <col min="7939" max="7939" width="55.28515625" style="152" customWidth="1"/>
    <col min="7940" max="7940" width="20.140625" style="152" customWidth="1"/>
    <col min="7941" max="7941" width="9.42578125" style="152" customWidth="1"/>
    <col min="7942" max="7942" width="23.85546875" style="152" customWidth="1"/>
    <col min="7943" max="7943" width="24.5703125" style="152" customWidth="1"/>
    <col min="7944" max="7944" width="24.42578125" style="152" customWidth="1"/>
    <col min="7945" max="7945" width="12.85546875" style="152" bestFit="1" customWidth="1"/>
    <col min="7946" max="7946" width="43.85546875" style="152" customWidth="1"/>
    <col min="7947" max="8192" width="9.140625" style="152"/>
    <col min="8193" max="8193" width="10.28515625" style="152" customWidth="1"/>
    <col min="8194" max="8194" width="8.5703125" style="152" customWidth="1"/>
    <col min="8195" max="8195" width="55.28515625" style="152" customWidth="1"/>
    <col min="8196" max="8196" width="20.140625" style="152" customWidth="1"/>
    <col min="8197" max="8197" width="9.42578125" style="152" customWidth="1"/>
    <col min="8198" max="8198" width="23.85546875" style="152" customWidth="1"/>
    <col min="8199" max="8199" width="24.5703125" style="152" customWidth="1"/>
    <col min="8200" max="8200" width="24.42578125" style="152" customWidth="1"/>
    <col min="8201" max="8201" width="12.85546875" style="152" bestFit="1" customWidth="1"/>
    <col min="8202" max="8202" width="43.85546875" style="152" customWidth="1"/>
    <col min="8203" max="8448" width="9.140625" style="152"/>
    <col min="8449" max="8449" width="10.28515625" style="152" customWidth="1"/>
    <col min="8450" max="8450" width="8.5703125" style="152" customWidth="1"/>
    <col min="8451" max="8451" width="55.28515625" style="152" customWidth="1"/>
    <col min="8452" max="8452" width="20.140625" style="152" customWidth="1"/>
    <col min="8453" max="8453" width="9.42578125" style="152" customWidth="1"/>
    <col min="8454" max="8454" width="23.85546875" style="152" customWidth="1"/>
    <col min="8455" max="8455" width="24.5703125" style="152" customWidth="1"/>
    <col min="8456" max="8456" width="24.42578125" style="152" customWidth="1"/>
    <col min="8457" max="8457" width="12.85546875" style="152" bestFit="1" customWidth="1"/>
    <col min="8458" max="8458" width="43.85546875" style="152" customWidth="1"/>
    <col min="8459" max="8704" width="9.140625" style="152"/>
    <col min="8705" max="8705" width="10.28515625" style="152" customWidth="1"/>
    <col min="8706" max="8706" width="8.5703125" style="152" customWidth="1"/>
    <col min="8707" max="8707" width="55.28515625" style="152" customWidth="1"/>
    <col min="8708" max="8708" width="20.140625" style="152" customWidth="1"/>
    <col min="8709" max="8709" width="9.42578125" style="152" customWidth="1"/>
    <col min="8710" max="8710" width="23.85546875" style="152" customWidth="1"/>
    <col min="8711" max="8711" width="24.5703125" style="152" customWidth="1"/>
    <col min="8712" max="8712" width="24.42578125" style="152" customWidth="1"/>
    <col min="8713" max="8713" width="12.85546875" style="152" bestFit="1" customWidth="1"/>
    <col min="8714" max="8714" width="43.85546875" style="152" customWidth="1"/>
    <col min="8715" max="8960" width="9.140625" style="152"/>
    <col min="8961" max="8961" width="10.28515625" style="152" customWidth="1"/>
    <col min="8962" max="8962" width="8.5703125" style="152" customWidth="1"/>
    <col min="8963" max="8963" width="55.28515625" style="152" customWidth="1"/>
    <col min="8964" max="8964" width="20.140625" style="152" customWidth="1"/>
    <col min="8965" max="8965" width="9.42578125" style="152" customWidth="1"/>
    <col min="8966" max="8966" width="23.85546875" style="152" customWidth="1"/>
    <col min="8967" max="8967" width="24.5703125" style="152" customWidth="1"/>
    <col min="8968" max="8968" width="24.42578125" style="152" customWidth="1"/>
    <col min="8969" max="8969" width="12.85546875" style="152" bestFit="1" customWidth="1"/>
    <col min="8970" max="8970" width="43.85546875" style="152" customWidth="1"/>
    <col min="8971" max="9216" width="9.140625" style="152"/>
    <col min="9217" max="9217" width="10.28515625" style="152" customWidth="1"/>
    <col min="9218" max="9218" width="8.5703125" style="152" customWidth="1"/>
    <col min="9219" max="9219" width="55.28515625" style="152" customWidth="1"/>
    <col min="9220" max="9220" width="20.140625" style="152" customWidth="1"/>
    <col min="9221" max="9221" width="9.42578125" style="152" customWidth="1"/>
    <col min="9222" max="9222" width="23.85546875" style="152" customWidth="1"/>
    <col min="9223" max="9223" width="24.5703125" style="152" customWidth="1"/>
    <col min="9224" max="9224" width="24.42578125" style="152" customWidth="1"/>
    <col min="9225" max="9225" width="12.85546875" style="152" bestFit="1" customWidth="1"/>
    <col min="9226" max="9226" width="43.85546875" style="152" customWidth="1"/>
    <col min="9227" max="9472" width="9.140625" style="152"/>
    <col min="9473" max="9473" width="10.28515625" style="152" customWidth="1"/>
    <col min="9474" max="9474" width="8.5703125" style="152" customWidth="1"/>
    <col min="9475" max="9475" width="55.28515625" style="152" customWidth="1"/>
    <col min="9476" max="9476" width="20.140625" style="152" customWidth="1"/>
    <col min="9477" max="9477" width="9.42578125" style="152" customWidth="1"/>
    <col min="9478" max="9478" width="23.85546875" style="152" customWidth="1"/>
    <col min="9479" max="9479" width="24.5703125" style="152" customWidth="1"/>
    <col min="9480" max="9480" width="24.42578125" style="152" customWidth="1"/>
    <col min="9481" max="9481" width="12.85546875" style="152" bestFit="1" customWidth="1"/>
    <col min="9482" max="9482" width="43.85546875" style="152" customWidth="1"/>
    <col min="9483" max="9728" width="9.140625" style="152"/>
    <col min="9729" max="9729" width="10.28515625" style="152" customWidth="1"/>
    <col min="9730" max="9730" width="8.5703125" style="152" customWidth="1"/>
    <col min="9731" max="9731" width="55.28515625" style="152" customWidth="1"/>
    <col min="9732" max="9732" width="20.140625" style="152" customWidth="1"/>
    <col min="9733" max="9733" width="9.42578125" style="152" customWidth="1"/>
    <col min="9734" max="9734" width="23.85546875" style="152" customWidth="1"/>
    <col min="9735" max="9735" width="24.5703125" style="152" customWidth="1"/>
    <col min="9736" max="9736" width="24.42578125" style="152" customWidth="1"/>
    <col min="9737" max="9737" width="12.85546875" style="152" bestFit="1" customWidth="1"/>
    <col min="9738" max="9738" width="43.85546875" style="152" customWidth="1"/>
    <col min="9739" max="9984" width="9.140625" style="152"/>
    <col min="9985" max="9985" width="10.28515625" style="152" customWidth="1"/>
    <col min="9986" max="9986" width="8.5703125" style="152" customWidth="1"/>
    <col min="9987" max="9987" width="55.28515625" style="152" customWidth="1"/>
    <col min="9988" max="9988" width="20.140625" style="152" customWidth="1"/>
    <col min="9989" max="9989" width="9.42578125" style="152" customWidth="1"/>
    <col min="9990" max="9990" width="23.85546875" style="152" customWidth="1"/>
    <col min="9991" max="9991" width="24.5703125" style="152" customWidth="1"/>
    <col min="9992" max="9992" width="24.42578125" style="152" customWidth="1"/>
    <col min="9993" max="9993" width="12.85546875" style="152" bestFit="1" customWidth="1"/>
    <col min="9994" max="9994" width="43.85546875" style="152" customWidth="1"/>
    <col min="9995" max="10240" width="9.140625" style="152"/>
    <col min="10241" max="10241" width="10.28515625" style="152" customWidth="1"/>
    <col min="10242" max="10242" width="8.5703125" style="152" customWidth="1"/>
    <col min="10243" max="10243" width="55.28515625" style="152" customWidth="1"/>
    <col min="10244" max="10244" width="20.140625" style="152" customWidth="1"/>
    <col min="10245" max="10245" width="9.42578125" style="152" customWidth="1"/>
    <col min="10246" max="10246" width="23.85546875" style="152" customWidth="1"/>
    <col min="10247" max="10247" width="24.5703125" style="152" customWidth="1"/>
    <col min="10248" max="10248" width="24.42578125" style="152" customWidth="1"/>
    <col min="10249" max="10249" width="12.85546875" style="152" bestFit="1" customWidth="1"/>
    <col min="10250" max="10250" width="43.85546875" style="152" customWidth="1"/>
    <col min="10251" max="10496" width="9.140625" style="152"/>
    <col min="10497" max="10497" width="10.28515625" style="152" customWidth="1"/>
    <col min="10498" max="10498" width="8.5703125" style="152" customWidth="1"/>
    <col min="10499" max="10499" width="55.28515625" style="152" customWidth="1"/>
    <col min="10500" max="10500" width="20.140625" style="152" customWidth="1"/>
    <col min="10501" max="10501" width="9.42578125" style="152" customWidth="1"/>
    <col min="10502" max="10502" width="23.85546875" style="152" customWidth="1"/>
    <col min="10503" max="10503" width="24.5703125" style="152" customWidth="1"/>
    <col min="10504" max="10504" width="24.42578125" style="152" customWidth="1"/>
    <col min="10505" max="10505" width="12.85546875" style="152" bestFit="1" customWidth="1"/>
    <col min="10506" max="10506" width="43.85546875" style="152" customWidth="1"/>
    <col min="10507" max="10752" width="9.140625" style="152"/>
    <col min="10753" max="10753" width="10.28515625" style="152" customWidth="1"/>
    <col min="10754" max="10754" width="8.5703125" style="152" customWidth="1"/>
    <col min="10755" max="10755" width="55.28515625" style="152" customWidth="1"/>
    <col min="10756" max="10756" width="20.140625" style="152" customWidth="1"/>
    <col min="10757" max="10757" width="9.42578125" style="152" customWidth="1"/>
    <col min="10758" max="10758" width="23.85546875" style="152" customWidth="1"/>
    <col min="10759" max="10759" width="24.5703125" style="152" customWidth="1"/>
    <col min="10760" max="10760" width="24.42578125" style="152" customWidth="1"/>
    <col min="10761" max="10761" width="12.85546875" style="152" bestFit="1" customWidth="1"/>
    <col min="10762" max="10762" width="43.85546875" style="152" customWidth="1"/>
    <col min="10763" max="11008" width="9.140625" style="152"/>
    <col min="11009" max="11009" width="10.28515625" style="152" customWidth="1"/>
    <col min="11010" max="11010" width="8.5703125" style="152" customWidth="1"/>
    <col min="11011" max="11011" width="55.28515625" style="152" customWidth="1"/>
    <col min="11012" max="11012" width="20.140625" style="152" customWidth="1"/>
    <col min="11013" max="11013" width="9.42578125" style="152" customWidth="1"/>
    <col min="11014" max="11014" width="23.85546875" style="152" customWidth="1"/>
    <col min="11015" max="11015" width="24.5703125" style="152" customWidth="1"/>
    <col min="11016" max="11016" width="24.42578125" style="152" customWidth="1"/>
    <col min="11017" max="11017" width="12.85546875" style="152" bestFit="1" customWidth="1"/>
    <col min="11018" max="11018" width="43.85546875" style="152" customWidth="1"/>
    <col min="11019" max="11264" width="9.140625" style="152"/>
    <col min="11265" max="11265" width="10.28515625" style="152" customWidth="1"/>
    <col min="11266" max="11266" width="8.5703125" style="152" customWidth="1"/>
    <col min="11267" max="11267" width="55.28515625" style="152" customWidth="1"/>
    <col min="11268" max="11268" width="20.140625" style="152" customWidth="1"/>
    <col min="11269" max="11269" width="9.42578125" style="152" customWidth="1"/>
    <col min="11270" max="11270" width="23.85546875" style="152" customWidth="1"/>
    <col min="11271" max="11271" width="24.5703125" style="152" customWidth="1"/>
    <col min="11272" max="11272" width="24.42578125" style="152" customWidth="1"/>
    <col min="11273" max="11273" width="12.85546875" style="152" bestFit="1" customWidth="1"/>
    <col min="11274" max="11274" width="43.85546875" style="152" customWidth="1"/>
    <col min="11275" max="11520" width="9.140625" style="152"/>
    <col min="11521" max="11521" width="10.28515625" style="152" customWidth="1"/>
    <col min="11522" max="11522" width="8.5703125" style="152" customWidth="1"/>
    <col min="11523" max="11523" width="55.28515625" style="152" customWidth="1"/>
    <col min="11524" max="11524" width="20.140625" style="152" customWidth="1"/>
    <col min="11525" max="11525" width="9.42578125" style="152" customWidth="1"/>
    <col min="11526" max="11526" width="23.85546875" style="152" customWidth="1"/>
    <col min="11527" max="11527" width="24.5703125" style="152" customWidth="1"/>
    <col min="11528" max="11528" width="24.42578125" style="152" customWidth="1"/>
    <col min="11529" max="11529" width="12.85546875" style="152" bestFit="1" customWidth="1"/>
    <col min="11530" max="11530" width="43.85546875" style="152" customWidth="1"/>
    <col min="11531" max="11776" width="9.140625" style="152"/>
    <col min="11777" max="11777" width="10.28515625" style="152" customWidth="1"/>
    <col min="11778" max="11778" width="8.5703125" style="152" customWidth="1"/>
    <col min="11779" max="11779" width="55.28515625" style="152" customWidth="1"/>
    <col min="11780" max="11780" width="20.140625" style="152" customWidth="1"/>
    <col min="11781" max="11781" width="9.42578125" style="152" customWidth="1"/>
    <col min="11782" max="11782" width="23.85546875" style="152" customWidth="1"/>
    <col min="11783" max="11783" width="24.5703125" style="152" customWidth="1"/>
    <col min="11784" max="11784" width="24.42578125" style="152" customWidth="1"/>
    <col min="11785" max="11785" width="12.85546875" style="152" bestFit="1" customWidth="1"/>
    <col min="11786" max="11786" width="43.85546875" style="152" customWidth="1"/>
    <col min="11787" max="12032" width="9.140625" style="152"/>
    <col min="12033" max="12033" width="10.28515625" style="152" customWidth="1"/>
    <col min="12034" max="12034" width="8.5703125" style="152" customWidth="1"/>
    <col min="12035" max="12035" width="55.28515625" style="152" customWidth="1"/>
    <col min="12036" max="12036" width="20.140625" style="152" customWidth="1"/>
    <col min="12037" max="12037" width="9.42578125" style="152" customWidth="1"/>
    <col min="12038" max="12038" width="23.85546875" style="152" customWidth="1"/>
    <col min="12039" max="12039" width="24.5703125" style="152" customWidth="1"/>
    <col min="12040" max="12040" width="24.42578125" style="152" customWidth="1"/>
    <col min="12041" max="12041" width="12.85546875" style="152" bestFit="1" customWidth="1"/>
    <col min="12042" max="12042" width="43.85546875" style="152" customWidth="1"/>
    <col min="12043" max="12288" width="9.140625" style="152"/>
    <col min="12289" max="12289" width="10.28515625" style="152" customWidth="1"/>
    <col min="12290" max="12290" width="8.5703125" style="152" customWidth="1"/>
    <col min="12291" max="12291" width="55.28515625" style="152" customWidth="1"/>
    <col min="12292" max="12292" width="20.140625" style="152" customWidth="1"/>
    <col min="12293" max="12293" width="9.42578125" style="152" customWidth="1"/>
    <col min="12294" max="12294" width="23.85546875" style="152" customWidth="1"/>
    <col min="12295" max="12295" width="24.5703125" style="152" customWidth="1"/>
    <col min="12296" max="12296" width="24.42578125" style="152" customWidth="1"/>
    <col min="12297" max="12297" width="12.85546875" style="152" bestFit="1" customWidth="1"/>
    <col min="12298" max="12298" width="43.85546875" style="152" customWidth="1"/>
    <col min="12299" max="12544" width="9.140625" style="152"/>
    <col min="12545" max="12545" width="10.28515625" style="152" customWidth="1"/>
    <col min="12546" max="12546" width="8.5703125" style="152" customWidth="1"/>
    <col min="12547" max="12547" width="55.28515625" style="152" customWidth="1"/>
    <col min="12548" max="12548" width="20.140625" style="152" customWidth="1"/>
    <col min="12549" max="12549" width="9.42578125" style="152" customWidth="1"/>
    <col min="12550" max="12550" width="23.85546875" style="152" customWidth="1"/>
    <col min="12551" max="12551" width="24.5703125" style="152" customWidth="1"/>
    <col min="12552" max="12552" width="24.42578125" style="152" customWidth="1"/>
    <col min="12553" max="12553" width="12.85546875" style="152" bestFit="1" customWidth="1"/>
    <col min="12554" max="12554" width="43.85546875" style="152" customWidth="1"/>
    <col min="12555" max="12800" width="9.140625" style="152"/>
    <col min="12801" max="12801" width="10.28515625" style="152" customWidth="1"/>
    <col min="12802" max="12802" width="8.5703125" style="152" customWidth="1"/>
    <col min="12803" max="12803" width="55.28515625" style="152" customWidth="1"/>
    <col min="12804" max="12804" width="20.140625" style="152" customWidth="1"/>
    <col min="12805" max="12805" width="9.42578125" style="152" customWidth="1"/>
    <col min="12806" max="12806" width="23.85546875" style="152" customWidth="1"/>
    <col min="12807" max="12807" width="24.5703125" style="152" customWidth="1"/>
    <col min="12808" max="12808" width="24.42578125" style="152" customWidth="1"/>
    <col min="12809" max="12809" width="12.85546875" style="152" bestFit="1" customWidth="1"/>
    <col min="12810" max="12810" width="43.85546875" style="152" customWidth="1"/>
    <col min="12811" max="13056" width="9.140625" style="152"/>
    <col min="13057" max="13057" width="10.28515625" style="152" customWidth="1"/>
    <col min="13058" max="13058" width="8.5703125" style="152" customWidth="1"/>
    <col min="13059" max="13059" width="55.28515625" style="152" customWidth="1"/>
    <col min="13060" max="13060" width="20.140625" style="152" customWidth="1"/>
    <col min="13061" max="13061" width="9.42578125" style="152" customWidth="1"/>
    <col min="13062" max="13062" width="23.85546875" style="152" customWidth="1"/>
    <col min="13063" max="13063" width="24.5703125" style="152" customWidth="1"/>
    <col min="13064" max="13064" width="24.42578125" style="152" customWidth="1"/>
    <col min="13065" max="13065" width="12.85546875" style="152" bestFit="1" customWidth="1"/>
    <col min="13066" max="13066" width="43.85546875" style="152" customWidth="1"/>
    <col min="13067" max="13312" width="9.140625" style="152"/>
    <col min="13313" max="13313" width="10.28515625" style="152" customWidth="1"/>
    <col min="13314" max="13314" width="8.5703125" style="152" customWidth="1"/>
    <col min="13315" max="13315" width="55.28515625" style="152" customWidth="1"/>
    <col min="13316" max="13316" width="20.140625" style="152" customWidth="1"/>
    <col min="13317" max="13317" width="9.42578125" style="152" customWidth="1"/>
    <col min="13318" max="13318" width="23.85546875" style="152" customWidth="1"/>
    <col min="13319" max="13319" width="24.5703125" style="152" customWidth="1"/>
    <col min="13320" max="13320" width="24.42578125" style="152" customWidth="1"/>
    <col min="13321" max="13321" width="12.85546875" style="152" bestFit="1" customWidth="1"/>
    <col min="13322" max="13322" width="43.85546875" style="152" customWidth="1"/>
    <col min="13323" max="13568" width="9.140625" style="152"/>
    <col min="13569" max="13569" width="10.28515625" style="152" customWidth="1"/>
    <col min="13570" max="13570" width="8.5703125" style="152" customWidth="1"/>
    <col min="13571" max="13571" width="55.28515625" style="152" customWidth="1"/>
    <col min="13572" max="13572" width="20.140625" style="152" customWidth="1"/>
    <col min="13573" max="13573" width="9.42578125" style="152" customWidth="1"/>
    <col min="13574" max="13574" width="23.85546875" style="152" customWidth="1"/>
    <col min="13575" max="13575" width="24.5703125" style="152" customWidth="1"/>
    <col min="13576" max="13576" width="24.42578125" style="152" customWidth="1"/>
    <col min="13577" max="13577" width="12.85546875" style="152" bestFit="1" customWidth="1"/>
    <col min="13578" max="13578" width="43.85546875" style="152" customWidth="1"/>
    <col min="13579" max="13824" width="9.140625" style="152"/>
    <col min="13825" max="13825" width="10.28515625" style="152" customWidth="1"/>
    <col min="13826" max="13826" width="8.5703125" style="152" customWidth="1"/>
    <col min="13827" max="13827" width="55.28515625" style="152" customWidth="1"/>
    <col min="13828" max="13828" width="20.140625" style="152" customWidth="1"/>
    <col min="13829" max="13829" width="9.42578125" style="152" customWidth="1"/>
    <col min="13830" max="13830" width="23.85546875" style="152" customWidth="1"/>
    <col min="13831" max="13831" width="24.5703125" style="152" customWidth="1"/>
    <col min="13832" max="13832" width="24.42578125" style="152" customWidth="1"/>
    <col min="13833" max="13833" width="12.85546875" style="152" bestFit="1" customWidth="1"/>
    <col min="13834" max="13834" width="43.85546875" style="152" customWidth="1"/>
    <col min="13835" max="14080" width="9.140625" style="152"/>
    <col min="14081" max="14081" width="10.28515625" style="152" customWidth="1"/>
    <col min="14082" max="14082" width="8.5703125" style="152" customWidth="1"/>
    <col min="14083" max="14083" width="55.28515625" style="152" customWidth="1"/>
    <col min="14084" max="14084" width="20.140625" style="152" customWidth="1"/>
    <col min="14085" max="14085" width="9.42578125" style="152" customWidth="1"/>
    <col min="14086" max="14086" width="23.85546875" style="152" customWidth="1"/>
    <col min="14087" max="14087" width="24.5703125" style="152" customWidth="1"/>
    <col min="14088" max="14088" width="24.42578125" style="152" customWidth="1"/>
    <col min="14089" max="14089" width="12.85546875" style="152" bestFit="1" customWidth="1"/>
    <col min="14090" max="14090" width="43.85546875" style="152" customWidth="1"/>
    <col min="14091" max="14336" width="9.140625" style="152"/>
    <col min="14337" max="14337" width="10.28515625" style="152" customWidth="1"/>
    <col min="14338" max="14338" width="8.5703125" style="152" customWidth="1"/>
    <col min="14339" max="14339" width="55.28515625" style="152" customWidth="1"/>
    <col min="14340" max="14340" width="20.140625" style="152" customWidth="1"/>
    <col min="14341" max="14341" width="9.42578125" style="152" customWidth="1"/>
    <col min="14342" max="14342" width="23.85546875" style="152" customWidth="1"/>
    <col min="14343" max="14343" width="24.5703125" style="152" customWidth="1"/>
    <col min="14344" max="14344" width="24.42578125" style="152" customWidth="1"/>
    <col min="14345" max="14345" width="12.85546875" style="152" bestFit="1" customWidth="1"/>
    <col min="14346" max="14346" width="43.85546875" style="152" customWidth="1"/>
    <col min="14347" max="14592" width="9.140625" style="152"/>
    <col min="14593" max="14593" width="10.28515625" style="152" customWidth="1"/>
    <col min="14594" max="14594" width="8.5703125" style="152" customWidth="1"/>
    <col min="14595" max="14595" width="55.28515625" style="152" customWidth="1"/>
    <col min="14596" max="14596" width="20.140625" style="152" customWidth="1"/>
    <col min="14597" max="14597" width="9.42578125" style="152" customWidth="1"/>
    <col min="14598" max="14598" width="23.85546875" style="152" customWidth="1"/>
    <col min="14599" max="14599" width="24.5703125" style="152" customWidth="1"/>
    <col min="14600" max="14600" width="24.42578125" style="152" customWidth="1"/>
    <col min="14601" max="14601" width="12.85546875" style="152" bestFit="1" customWidth="1"/>
    <col min="14602" max="14602" width="43.85546875" style="152" customWidth="1"/>
    <col min="14603" max="14848" width="9.140625" style="152"/>
    <col min="14849" max="14849" width="10.28515625" style="152" customWidth="1"/>
    <col min="14850" max="14850" width="8.5703125" style="152" customWidth="1"/>
    <col min="14851" max="14851" width="55.28515625" style="152" customWidth="1"/>
    <col min="14852" max="14852" width="20.140625" style="152" customWidth="1"/>
    <col min="14853" max="14853" width="9.42578125" style="152" customWidth="1"/>
    <col min="14854" max="14854" width="23.85546875" style="152" customWidth="1"/>
    <col min="14855" max="14855" width="24.5703125" style="152" customWidth="1"/>
    <col min="14856" max="14856" width="24.42578125" style="152" customWidth="1"/>
    <col min="14857" max="14857" width="12.85546875" style="152" bestFit="1" customWidth="1"/>
    <col min="14858" max="14858" width="43.85546875" style="152" customWidth="1"/>
    <col min="14859" max="15104" width="9.140625" style="152"/>
    <col min="15105" max="15105" width="10.28515625" style="152" customWidth="1"/>
    <col min="15106" max="15106" width="8.5703125" style="152" customWidth="1"/>
    <col min="15107" max="15107" width="55.28515625" style="152" customWidth="1"/>
    <col min="15108" max="15108" width="20.140625" style="152" customWidth="1"/>
    <col min="15109" max="15109" width="9.42578125" style="152" customWidth="1"/>
    <col min="15110" max="15110" width="23.85546875" style="152" customWidth="1"/>
    <col min="15111" max="15111" width="24.5703125" style="152" customWidth="1"/>
    <col min="15112" max="15112" width="24.42578125" style="152" customWidth="1"/>
    <col min="15113" max="15113" width="12.85546875" style="152" bestFit="1" customWidth="1"/>
    <col min="15114" max="15114" width="43.85546875" style="152" customWidth="1"/>
    <col min="15115" max="15360" width="9.140625" style="152"/>
    <col min="15361" max="15361" width="10.28515625" style="152" customWidth="1"/>
    <col min="15362" max="15362" width="8.5703125" style="152" customWidth="1"/>
    <col min="15363" max="15363" width="55.28515625" style="152" customWidth="1"/>
    <col min="15364" max="15364" width="20.140625" style="152" customWidth="1"/>
    <col min="15365" max="15365" width="9.42578125" style="152" customWidth="1"/>
    <col min="15366" max="15366" width="23.85546875" style="152" customWidth="1"/>
    <col min="15367" max="15367" width="24.5703125" style="152" customWidth="1"/>
    <col min="15368" max="15368" width="24.42578125" style="152" customWidth="1"/>
    <col min="15369" max="15369" width="12.85546875" style="152" bestFit="1" customWidth="1"/>
    <col min="15370" max="15370" width="43.85546875" style="152" customWidth="1"/>
    <col min="15371" max="15616" width="9.140625" style="152"/>
    <col min="15617" max="15617" width="10.28515625" style="152" customWidth="1"/>
    <col min="15618" max="15618" width="8.5703125" style="152" customWidth="1"/>
    <col min="15619" max="15619" width="55.28515625" style="152" customWidth="1"/>
    <col min="15620" max="15620" width="20.140625" style="152" customWidth="1"/>
    <col min="15621" max="15621" width="9.42578125" style="152" customWidth="1"/>
    <col min="15622" max="15622" width="23.85546875" style="152" customWidth="1"/>
    <col min="15623" max="15623" width="24.5703125" style="152" customWidth="1"/>
    <col min="15624" max="15624" width="24.42578125" style="152" customWidth="1"/>
    <col min="15625" max="15625" width="12.85546875" style="152" bestFit="1" customWidth="1"/>
    <col min="15626" max="15626" width="43.85546875" style="152" customWidth="1"/>
    <col min="15627" max="15872" width="9.140625" style="152"/>
    <col min="15873" max="15873" width="10.28515625" style="152" customWidth="1"/>
    <col min="15874" max="15874" width="8.5703125" style="152" customWidth="1"/>
    <col min="15875" max="15875" width="55.28515625" style="152" customWidth="1"/>
    <col min="15876" max="15876" width="20.140625" style="152" customWidth="1"/>
    <col min="15877" max="15877" width="9.42578125" style="152" customWidth="1"/>
    <col min="15878" max="15878" width="23.85546875" style="152" customWidth="1"/>
    <col min="15879" max="15879" width="24.5703125" style="152" customWidth="1"/>
    <col min="15880" max="15880" width="24.42578125" style="152" customWidth="1"/>
    <col min="15881" max="15881" width="12.85546875" style="152" bestFit="1" customWidth="1"/>
    <col min="15882" max="15882" width="43.85546875" style="152" customWidth="1"/>
    <col min="15883" max="16128" width="9.140625" style="152"/>
    <col min="16129" max="16129" width="10.28515625" style="152" customWidth="1"/>
    <col min="16130" max="16130" width="8.5703125" style="152" customWidth="1"/>
    <col min="16131" max="16131" width="55.28515625" style="152" customWidth="1"/>
    <col min="16132" max="16132" width="20.140625" style="152" customWidth="1"/>
    <col min="16133" max="16133" width="9.42578125" style="152" customWidth="1"/>
    <col min="16134" max="16134" width="23.85546875" style="152" customWidth="1"/>
    <col min="16135" max="16135" width="24.5703125" style="152" customWidth="1"/>
    <col min="16136" max="16136" width="24.42578125" style="152" customWidth="1"/>
    <col min="16137" max="16137" width="12.85546875" style="152" bestFit="1" customWidth="1"/>
    <col min="16138" max="16138" width="43.85546875" style="152" customWidth="1"/>
    <col min="16139" max="16384" width="9.140625" style="152"/>
  </cols>
  <sheetData>
    <row r="1" spans="1:10" ht="51.75" customHeight="1">
      <c r="A1" s="945" t="str">
        <f>'C.Abstract '!A1:F1</f>
        <v>CONSTRUCTION OF  DINING ROOM, PIGEON HOLE RACK WITH LOCKER BOX FOR USAGE OF PRISON STAFF  AT CENTRAL PRISON IN COIMBATORE CITY.</v>
      </c>
      <c r="B1" s="945"/>
      <c r="C1" s="945"/>
      <c r="D1" s="945"/>
      <c r="E1" s="945"/>
      <c r="F1" s="945"/>
    </row>
    <row r="2" spans="1:10" ht="30" customHeight="1">
      <c r="A2" s="944" t="s">
        <v>511</v>
      </c>
      <c r="B2" s="944"/>
      <c r="C2" s="944"/>
      <c r="D2" s="944"/>
      <c r="E2" s="944"/>
      <c r="F2" s="944"/>
    </row>
    <row r="3" spans="1:10" ht="43.5" customHeight="1">
      <c r="A3" s="884" t="s">
        <v>512</v>
      </c>
      <c r="B3" s="884" t="s">
        <v>5</v>
      </c>
      <c r="C3" s="884" t="s">
        <v>299</v>
      </c>
      <c r="D3" s="884" t="s">
        <v>300</v>
      </c>
      <c r="E3" s="884" t="s">
        <v>301</v>
      </c>
      <c r="F3" s="884" t="s">
        <v>302</v>
      </c>
    </row>
    <row r="4" spans="1:10" ht="33.75" customHeight="1">
      <c r="A4" s="885"/>
      <c r="B4" s="885"/>
      <c r="C4" s="885" t="s">
        <v>513</v>
      </c>
      <c r="D4" s="946" t="s">
        <v>3389</v>
      </c>
      <c r="E4" s="946"/>
      <c r="F4" s="946"/>
    </row>
    <row r="5" spans="1:10" ht="40.5" customHeight="1">
      <c r="A5" s="739">
        <v>1</v>
      </c>
      <c r="B5" s="740">
        <v>1</v>
      </c>
      <c r="C5" s="740" t="s">
        <v>3372</v>
      </c>
      <c r="D5" s="740">
        <f>'Abstract A3'!F114</f>
        <v>1470423.1538047383</v>
      </c>
      <c r="E5" s="740" t="s">
        <v>514</v>
      </c>
      <c r="F5" s="740">
        <f>B5*D5</f>
        <v>1470423.1538047383</v>
      </c>
    </row>
    <row r="6" spans="1:10" ht="40.5" customHeight="1">
      <c r="A6" s="741"/>
      <c r="B6" s="742"/>
      <c r="C6" s="807"/>
      <c r="D6" s="943" t="s">
        <v>515</v>
      </c>
      <c r="E6" s="943"/>
      <c r="F6" s="743">
        <f>SUM(F5:F5)</f>
        <v>1470423.1538047383</v>
      </c>
      <c r="G6" s="804"/>
    </row>
    <row r="7" spans="1:10" ht="40.5" customHeight="1">
      <c r="A7" s="739">
        <v>2</v>
      </c>
      <c r="B7" s="744">
        <v>1</v>
      </c>
      <c r="C7" s="740" t="s">
        <v>516</v>
      </c>
      <c r="D7" s="740">
        <f>'Abstract A3'!H114</f>
        <v>35148.946000000004</v>
      </c>
      <c r="E7" s="740" t="str">
        <f>E5</f>
        <v>1 unit</v>
      </c>
      <c r="F7" s="740">
        <f>D7*B7</f>
        <v>35148.946000000004</v>
      </c>
      <c r="G7" s="804"/>
    </row>
    <row r="8" spans="1:10" ht="40.5" customHeight="1">
      <c r="A8" s="739"/>
      <c r="B8" s="883"/>
      <c r="C8" s="807"/>
      <c r="D8" s="943" t="s">
        <v>517</v>
      </c>
      <c r="E8" s="943"/>
      <c r="F8" s="745">
        <f>SUM(F6:F7)</f>
        <v>1505572.0998047383</v>
      </c>
      <c r="G8" s="804">
        <f>'C.Abstract '!F115</f>
        <v>1505572.0998047383</v>
      </c>
      <c r="H8" s="152">
        <f>G8-F8</f>
        <v>0</v>
      </c>
      <c r="J8" s="153"/>
    </row>
    <row r="9" spans="1:10" ht="40.5" customHeight="1">
      <c r="A9" s="739"/>
      <c r="B9" s="883"/>
      <c r="C9" s="746"/>
      <c r="D9" s="943" t="s">
        <v>3385</v>
      </c>
      <c r="E9" s="943"/>
      <c r="F9" s="747">
        <f>F8*12%</f>
        <v>180668.6519765686</v>
      </c>
      <c r="G9" s="804"/>
      <c r="J9" s="153"/>
    </row>
    <row r="10" spans="1:10" ht="40.5" customHeight="1">
      <c r="A10" s="739"/>
      <c r="B10" s="883"/>
      <c r="C10" s="943" t="s">
        <v>518</v>
      </c>
      <c r="D10" s="943"/>
      <c r="E10" s="943"/>
      <c r="F10" s="745">
        <f>SUM(F8:F9)</f>
        <v>1686240.7517813069</v>
      </c>
      <c r="G10" s="804"/>
      <c r="J10" s="153"/>
    </row>
    <row r="11" spans="1:10" ht="40.5" customHeight="1">
      <c r="A11" s="739">
        <v>3</v>
      </c>
      <c r="B11" s="883"/>
      <c r="C11" s="748" t="s">
        <v>520</v>
      </c>
      <c r="D11" s="947"/>
      <c r="E11" s="947"/>
      <c r="F11" s="740">
        <f>F10*1%</f>
        <v>16862.40751781307</v>
      </c>
      <c r="G11" s="805"/>
    </row>
    <row r="12" spans="1:10" ht="40.5" customHeight="1">
      <c r="A12" s="739">
        <v>4</v>
      </c>
      <c r="B12" s="883"/>
      <c r="C12" s="748" t="s">
        <v>521</v>
      </c>
      <c r="D12" s="948"/>
      <c r="E12" s="948"/>
      <c r="F12" s="740">
        <f>F10*5%</f>
        <v>84312.037589065352</v>
      </c>
      <c r="G12" s="805"/>
    </row>
    <row r="13" spans="1:10" ht="40.5" customHeight="1">
      <c r="A13" s="749"/>
      <c r="B13" s="883"/>
      <c r="C13" s="943" t="s">
        <v>522</v>
      </c>
      <c r="D13" s="943"/>
      <c r="E13" s="943"/>
      <c r="F13" s="743">
        <f>SUM(F10:F12)</f>
        <v>1787415.1968881853</v>
      </c>
      <c r="G13" s="806"/>
    </row>
    <row r="14" spans="1:10" ht="40.5" customHeight="1">
      <c r="A14" s="739">
        <v>5</v>
      </c>
      <c r="B14" s="883"/>
      <c r="C14" s="748" t="s">
        <v>523</v>
      </c>
      <c r="D14" s="949" t="s">
        <v>519</v>
      </c>
      <c r="E14" s="949"/>
      <c r="F14" s="740">
        <v>10000</v>
      </c>
      <c r="G14" s="804"/>
    </row>
    <row r="15" spans="1:10" ht="40.5" customHeight="1">
      <c r="A15" s="750"/>
      <c r="B15" s="883"/>
      <c r="C15" s="943" t="s">
        <v>524</v>
      </c>
      <c r="D15" s="943"/>
      <c r="E15" s="943"/>
      <c r="F15" s="743">
        <f>SUM(F13:F14)</f>
        <v>1797415.1968881853</v>
      </c>
      <c r="G15" s="804"/>
    </row>
    <row r="16" spans="1:10" s="700" customFormat="1" ht="40.5" customHeight="1">
      <c r="A16" s="750"/>
      <c r="B16" s="883"/>
      <c r="C16" s="943" t="s">
        <v>3390</v>
      </c>
      <c r="D16" s="943"/>
      <c r="E16" s="943"/>
      <c r="F16" s="743">
        <v>1797500</v>
      </c>
      <c r="G16" s="804"/>
    </row>
    <row r="17" spans="6:7" ht="35.1" customHeight="1">
      <c r="F17" s="152">
        <v>1798000</v>
      </c>
      <c r="G17" s="152">
        <f>F17-F15</f>
        <v>584.80311181466095</v>
      </c>
    </row>
  </sheetData>
  <mergeCells count="13">
    <mergeCell ref="C16:E16"/>
    <mergeCell ref="C10:E10"/>
    <mergeCell ref="C15:E15"/>
    <mergeCell ref="D11:E11"/>
    <mergeCell ref="D12:E12"/>
    <mergeCell ref="C13:E13"/>
    <mergeCell ref="D14:E14"/>
    <mergeCell ref="D9:E9"/>
    <mergeCell ref="D6:E6"/>
    <mergeCell ref="D8:E8"/>
    <mergeCell ref="A2:F2"/>
    <mergeCell ref="A1:F1"/>
    <mergeCell ref="D4:F4"/>
  </mergeCells>
  <printOptions horizontalCentered="1"/>
  <pageMargins left="0.70866141732283472" right="0.47244094488188981" top="0.86614173228346458" bottom="0.6692913385826772" header="0.43307086614173229" footer="0.27559055118110237"/>
  <pageSetup paperSize="9" scale="72" orientation="portrait" r:id="rId1"/>
  <headerFooter alignWithMargins="0">
    <oddHeader>&amp;CInamkulathur Qtrs&amp;R&amp;P</oddHeader>
  </headerFooter>
</worksheet>
</file>

<file path=xl/worksheets/sheet2.xml><?xml version="1.0" encoding="utf-8"?>
<worksheet xmlns="http://schemas.openxmlformats.org/spreadsheetml/2006/main" xmlns:r="http://schemas.openxmlformats.org/officeDocument/2006/relationships">
  <sheetPr>
    <tabColor rgb="FFFFFF00"/>
  </sheetPr>
  <dimension ref="A1:Q115"/>
  <sheetViews>
    <sheetView showZeros="0" view="pageBreakPreview" topLeftCell="A109" zoomScaleSheetLayoutView="100" workbookViewId="0">
      <selection activeCell="C50" sqref="C50"/>
    </sheetView>
  </sheetViews>
  <sheetFormatPr defaultRowHeight="45" customHeight="1"/>
  <cols>
    <col min="1" max="1" width="6.7109375" style="92" customWidth="1"/>
    <col min="2" max="2" width="10.42578125" style="733" customWidth="1"/>
    <col min="3" max="3" width="45.85546875" style="112" customWidth="1"/>
    <col min="4" max="4" width="24.140625" style="111" customWidth="1"/>
    <col min="5" max="5" width="8" style="92" customWidth="1"/>
    <col min="6" max="6" width="18" style="111" customWidth="1"/>
    <col min="7" max="7" width="9.140625" style="92"/>
    <col min="8" max="8" width="17.42578125" style="933" customWidth="1"/>
    <col min="9" max="254" width="9.140625" style="92"/>
    <col min="255" max="255" width="6.7109375" style="92" customWidth="1"/>
    <col min="256" max="256" width="11.140625" style="92" customWidth="1"/>
    <col min="257" max="257" width="52.7109375" style="92" customWidth="1"/>
    <col min="258" max="258" width="24.140625" style="92" customWidth="1"/>
    <col min="259" max="259" width="8" style="92" customWidth="1"/>
    <col min="260" max="260" width="18" style="92" customWidth="1"/>
    <col min="261" max="261" width="14.85546875" style="92" bestFit="1" customWidth="1"/>
    <col min="262" max="262" width="16.140625" style="92" customWidth="1"/>
    <col min="263" max="510" width="9.140625" style="92"/>
    <col min="511" max="511" width="6.7109375" style="92" customWidth="1"/>
    <col min="512" max="512" width="11.140625" style="92" customWidth="1"/>
    <col min="513" max="513" width="52.7109375" style="92" customWidth="1"/>
    <col min="514" max="514" width="24.140625" style="92" customWidth="1"/>
    <col min="515" max="515" width="8" style="92" customWidth="1"/>
    <col min="516" max="516" width="18" style="92" customWidth="1"/>
    <col min="517" max="517" width="14.85546875" style="92" bestFit="1" customWidth="1"/>
    <col min="518" max="518" width="16.140625" style="92" customWidth="1"/>
    <col min="519" max="766" width="9.140625" style="92"/>
    <col min="767" max="767" width="6.7109375" style="92" customWidth="1"/>
    <col min="768" max="768" width="11.140625" style="92" customWidth="1"/>
    <col min="769" max="769" width="52.7109375" style="92" customWidth="1"/>
    <col min="770" max="770" width="24.140625" style="92" customWidth="1"/>
    <col min="771" max="771" width="8" style="92" customWidth="1"/>
    <col min="772" max="772" width="18" style="92" customWidth="1"/>
    <col min="773" max="773" width="14.85546875" style="92" bestFit="1" customWidth="1"/>
    <col min="774" max="774" width="16.140625" style="92" customWidth="1"/>
    <col min="775" max="1022" width="9.140625" style="92"/>
    <col min="1023" max="1023" width="6.7109375" style="92" customWidth="1"/>
    <col min="1024" max="1024" width="11.140625" style="92" customWidth="1"/>
    <col min="1025" max="1025" width="52.7109375" style="92" customWidth="1"/>
    <col min="1026" max="1026" width="24.140625" style="92" customWidth="1"/>
    <col min="1027" max="1027" width="8" style="92" customWidth="1"/>
    <col min="1028" max="1028" width="18" style="92" customWidth="1"/>
    <col min="1029" max="1029" width="14.85546875" style="92" bestFit="1" customWidth="1"/>
    <col min="1030" max="1030" width="16.140625" style="92" customWidth="1"/>
    <col min="1031" max="1278" width="9.140625" style="92"/>
    <col min="1279" max="1279" width="6.7109375" style="92" customWidth="1"/>
    <col min="1280" max="1280" width="11.140625" style="92" customWidth="1"/>
    <col min="1281" max="1281" width="52.7109375" style="92" customWidth="1"/>
    <col min="1282" max="1282" width="24.140625" style="92" customWidth="1"/>
    <col min="1283" max="1283" width="8" style="92" customWidth="1"/>
    <col min="1284" max="1284" width="18" style="92" customWidth="1"/>
    <col min="1285" max="1285" width="14.85546875" style="92" bestFit="1" customWidth="1"/>
    <col min="1286" max="1286" width="16.140625" style="92" customWidth="1"/>
    <col min="1287" max="1534" width="9.140625" style="92"/>
    <col min="1535" max="1535" width="6.7109375" style="92" customWidth="1"/>
    <col min="1536" max="1536" width="11.140625" style="92" customWidth="1"/>
    <col min="1537" max="1537" width="52.7109375" style="92" customWidth="1"/>
    <col min="1538" max="1538" width="24.140625" style="92" customWidth="1"/>
    <col min="1539" max="1539" width="8" style="92" customWidth="1"/>
    <col min="1540" max="1540" width="18" style="92" customWidth="1"/>
    <col min="1541" max="1541" width="14.85546875" style="92" bestFit="1" customWidth="1"/>
    <col min="1542" max="1542" width="16.140625" style="92" customWidth="1"/>
    <col min="1543" max="1790" width="9.140625" style="92"/>
    <col min="1791" max="1791" width="6.7109375" style="92" customWidth="1"/>
    <col min="1792" max="1792" width="11.140625" style="92" customWidth="1"/>
    <col min="1793" max="1793" width="52.7109375" style="92" customWidth="1"/>
    <col min="1794" max="1794" width="24.140625" style="92" customWidth="1"/>
    <col min="1795" max="1795" width="8" style="92" customWidth="1"/>
    <col min="1796" max="1796" width="18" style="92" customWidth="1"/>
    <col min="1797" max="1797" width="14.85546875" style="92" bestFit="1" customWidth="1"/>
    <col min="1798" max="1798" width="16.140625" style="92" customWidth="1"/>
    <col min="1799" max="2046" width="9.140625" style="92"/>
    <col min="2047" max="2047" width="6.7109375" style="92" customWidth="1"/>
    <col min="2048" max="2048" width="11.140625" style="92" customWidth="1"/>
    <col min="2049" max="2049" width="52.7109375" style="92" customWidth="1"/>
    <col min="2050" max="2050" width="24.140625" style="92" customWidth="1"/>
    <col min="2051" max="2051" width="8" style="92" customWidth="1"/>
    <col min="2052" max="2052" width="18" style="92" customWidth="1"/>
    <col min="2053" max="2053" width="14.85546875" style="92" bestFit="1" customWidth="1"/>
    <col min="2054" max="2054" width="16.140625" style="92" customWidth="1"/>
    <col min="2055" max="2302" width="9.140625" style="92"/>
    <col min="2303" max="2303" width="6.7109375" style="92" customWidth="1"/>
    <col min="2304" max="2304" width="11.140625" style="92" customWidth="1"/>
    <col min="2305" max="2305" width="52.7109375" style="92" customWidth="1"/>
    <col min="2306" max="2306" width="24.140625" style="92" customWidth="1"/>
    <col min="2307" max="2307" width="8" style="92" customWidth="1"/>
    <col min="2308" max="2308" width="18" style="92" customWidth="1"/>
    <col min="2309" max="2309" width="14.85546875" style="92" bestFit="1" customWidth="1"/>
    <col min="2310" max="2310" width="16.140625" style="92" customWidth="1"/>
    <col min="2311" max="2558" width="9.140625" style="92"/>
    <col min="2559" max="2559" width="6.7109375" style="92" customWidth="1"/>
    <col min="2560" max="2560" width="11.140625" style="92" customWidth="1"/>
    <col min="2561" max="2561" width="52.7109375" style="92" customWidth="1"/>
    <col min="2562" max="2562" width="24.140625" style="92" customWidth="1"/>
    <col min="2563" max="2563" width="8" style="92" customWidth="1"/>
    <col min="2564" max="2564" width="18" style="92" customWidth="1"/>
    <col min="2565" max="2565" width="14.85546875" style="92" bestFit="1" customWidth="1"/>
    <col min="2566" max="2566" width="16.140625" style="92" customWidth="1"/>
    <col min="2567" max="2814" width="9.140625" style="92"/>
    <col min="2815" max="2815" width="6.7109375" style="92" customWidth="1"/>
    <col min="2816" max="2816" width="11.140625" style="92" customWidth="1"/>
    <col min="2817" max="2817" width="52.7109375" style="92" customWidth="1"/>
    <col min="2818" max="2818" width="24.140625" style="92" customWidth="1"/>
    <col min="2819" max="2819" width="8" style="92" customWidth="1"/>
    <col min="2820" max="2820" width="18" style="92" customWidth="1"/>
    <col min="2821" max="2821" width="14.85546875" style="92" bestFit="1" customWidth="1"/>
    <col min="2822" max="2822" width="16.140625" style="92" customWidth="1"/>
    <col min="2823" max="3070" width="9.140625" style="92"/>
    <col min="3071" max="3071" width="6.7109375" style="92" customWidth="1"/>
    <col min="3072" max="3072" width="11.140625" style="92" customWidth="1"/>
    <col min="3073" max="3073" width="52.7109375" style="92" customWidth="1"/>
    <col min="3074" max="3074" width="24.140625" style="92" customWidth="1"/>
    <col min="3075" max="3075" width="8" style="92" customWidth="1"/>
    <col min="3076" max="3076" width="18" style="92" customWidth="1"/>
    <col min="3077" max="3077" width="14.85546875" style="92" bestFit="1" customWidth="1"/>
    <col min="3078" max="3078" width="16.140625" style="92" customWidth="1"/>
    <col min="3079" max="3326" width="9.140625" style="92"/>
    <col min="3327" max="3327" width="6.7109375" style="92" customWidth="1"/>
    <col min="3328" max="3328" width="11.140625" style="92" customWidth="1"/>
    <col min="3329" max="3329" width="52.7109375" style="92" customWidth="1"/>
    <col min="3330" max="3330" width="24.140625" style="92" customWidth="1"/>
    <col min="3331" max="3331" width="8" style="92" customWidth="1"/>
    <col min="3332" max="3332" width="18" style="92" customWidth="1"/>
    <col min="3333" max="3333" width="14.85546875" style="92" bestFit="1" customWidth="1"/>
    <col min="3334" max="3334" width="16.140625" style="92" customWidth="1"/>
    <col min="3335" max="3582" width="9.140625" style="92"/>
    <col min="3583" max="3583" width="6.7109375" style="92" customWidth="1"/>
    <col min="3584" max="3584" width="11.140625" style="92" customWidth="1"/>
    <col min="3585" max="3585" width="52.7109375" style="92" customWidth="1"/>
    <col min="3586" max="3586" width="24.140625" style="92" customWidth="1"/>
    <col min="3587" max="3587" width="8" style="92" customWidth="1"/>
    <col min="3588" max="3588" width="18" style="92" customWidth="1"/>
    <col min="3589" max="3589" width="14.85546875" style="92" bestFit="1" customWidth="1"/>
    <col min="3590" max="3590" width="16.140625" style="92" customWidth="1"/>
    <col min="3591" max="3838" width="9.140625" style="92"/>
    <col min="3839" max="3839" width="6.7109375" style="92" customWidth="1"/>
    <col min="3840" max="3840" width="11.140625" style="92" customWidth="1"/>
    <col min="3841" max="3841" width="52.7109375" style="92" customWidth="1"/>
    <col min="3842" max="3842" width="24.140625" style="92" customWidth="1"/>
    <col min="3843" max="3843" width="8" style="92" customWidth="1"/>
    <col min="3844" max="3844" width="18" style="92" customWidth="1"/>
    <col min="3845" max="3845" width="14.85546875" style="92" bestFit="1" customWidth="1"/>
    <col min="3846" max="3846" width="16.140625" style="92" customWidth="1"/>
    <col min="3847" max="4094" width="9.140625" style="92"/>
    <col min="4095" max="4095" width="6.7109375" style="92" customWidth="1"/>
    <col min="4096" max="4096" width="11.140625" style="92" customWidth="1"/>
    <col min="4097" max="4097" width="52.7109375" style="92" customWidth="1"/>
    <col min="4098" max="4098" width="24.140625" style="92" customWidth="1"/>
    <col min="4099" max="4099" width="8" style="92" customWidth="1"/>
    <col min="4100" max="4100" width="18" style="92" customWidth="1"/>
    <col min="4101" max="4101" width="14.85546875" style="92" bestFit="1" customWidth="1"/>
    <col min="4102" max="4102" width="16.140625" style="92" customWidth="1"/>
    <col min="4103" max="4350" width="9.140625" style="92"/>
    <col min="4351" max="4351" width="6.7109375" style="92" customWidth="1"/>
    <col min="4352" max="4352" width="11.140625" style="92" customWidth="1"/>
    <col min="4353" max="4353" width="52.7109375" style="92" customWidth="1"/>
    <col min="4354" max="4354" width="24.140625" style="92" customWidth="1"/>
    <col min="4355" max="4355" width="8" style="92" customWidth="1"/>
    <col min="4356" max="4356" width="18" style="92" customWidth="1"/>
    <col min="4357" max="4357" width="14.85546875" style="92" bestFit="1" customWidth="1"/>
    <col min="4358" max="4358" width="16.140625" style="92" customWidth="1"/>
    <col min="4359" max="4606" width="9.140625" style="92"/>
    <col min="4607" max="4607" width="6.7109375" style="92" customWidth="1"/>
    <col min="4608" max="4608" width="11.140625" style="92" customWidth="1"/>
    <col min="4609" max="4609" width="52.7109375" style="92" customWidth="1"/>
    <col min="4610" max="4610" width="24.140625" style="92" customWidth="1"/>
    <col min="4611" max="4611" width="8" style="92" customWidth="1"/>
    <col min="4612" max="4612" width="18" style="92" customWidth="1"/>
    <col min="4613" max="4613" width="14.85546875" style="92" bestFit="1" customWidth="1"/>
    <col min="4614" max="4614" width="16.140625" style="92" customWidth="1"/>
    <col min="4615" max="4862" width="9.140625" style="92"/>
    <col min="4863" max="4863" width="6.7109375" style="92" customWidth="1"/>
    <col min="4864" max="4864" width="11.140625" style="92" customWidth="1"/>
    <col min="4865" max="4865" width="52.7109375" style="92" customWidth="1"/>
    <col min="4866" max="4866" width="24.140625" style="92" customWidth="1"/>
    <col min="4867" max="4867" width="8" style="92" customWidth="1"/>
    <col min="4868" max="4868" width="18" style="92" customWidth="1"/>
    <col min="4869" max="4869" width="14.85546875" style="92" bestFit="1" customWidth="1"/>
    <col min="4870" max="4870" width="16.140625" style="92" customWidth="1"/>
    <col min="4871" max="5118" width="9.140625" style="92"/>
    <col min="5119" max="5119" width="6.7109375" style="92" customWidth="1"/>
    <col min="5120" max="5120" width="11.140625" style="92" customWidth="1"/>
    <col min="5121" max="5121" width="52.7109375" style="92" customWidth="1"/>
    <col min="5122" max="5122" width="24.140625" style="92" customWidth="1"/>
    <col min="5123" max="5123" width="8" style="92" customWidth="1"/>
    <col min="5124" max="5124" width="18" style="92" customWidth="1"/>
    <col min="5125" max="5125" width="14.85546875" style="92" bestFit="1" customWidth="1"/>
    <col min="5126" max="5126" width="16.140625" style="92" customWidth="1"/>
    <col min="5127" max="5374" width="9.140625" style="92"/>
    <col min="5375" max="5375" width="6.7109375" style="92" customWidth="1"/>
    <col min="5376" max="5376" width="11.140625" style="92" customWidth="1"/>
    <col min="5377" max="5377" width="52.7109375" style="92" customWidth="1"/>
    <col min="5378" max="5378" width="24.140625" style="92" customWidth="1"/>
    <col min="5379" max="5379" width="8" style="92" customWidth="1"/>
    <col min="5380" max="5380" width="18" style="92" customWidth="1"/>
    <col min="5381" max="5381" width="14.85546875" style="92" bestFit="1" customWidth="1"/>
    <col min="5382" max="5382" width="16.140625" style="92" customWidth="1"/>
    <col min="5383" max="5630" width="9.140625" style="92"/>
    <col min="5631" max="5631" width="6.7109375" style="92" customWidth="1"/>
    <col min="5632" max="5632" width="11.140625" style="92" customWidth="1"/>
    <col min="5633" max="5633" width="52.7109375" style="92" customWidth="1"/>
    <col min="5634" max="5634" width="24.140625" style="92" customWidth="1"/>
    <col min="5635" max="5635" width="8" style="92" customWidth="1"/>
    <col min="5636" max="5636" width="18" style="92" customWidth="1"/>
    <col min="5637" max="5637" width="14.85546875" style="92" bestFit="1" customWidth="1"/>
    <col min="5638" max="5638" width="16.140625" style="92" customWidth="1"/>
    <col min="5639" max="5886" width="9.140625" style="92"/>
    <col min="5887" max="5887" width="6.7109375" style="92" customWidth="1"/>
    <col min="5888" max="5888" width="11.140625" style="92" customWidth="1"/>
    <col min="5889" max="5889" width="52.7109375" style="92" customWidth="1"/>
    <col min="5890" max="5890" width="24.140625" style="92" customWidth="1"/>
    <col min="5891" max="5891" width="8" style="92" customWidth="1"/>
    <col min="5892" max="5892" width="18" style="92" customWidth="1"/>
    <col min="5893" max="5893" width="14.85546875" style="92" bestFit="1" customWidth="1"/>
    <col min="5894" max="5894" width="16.140625" style="92" customWidth="1"/>
    <col min="5895" max="6142" width="9.140625" style="92"/>
    <col min="6143" max="6143" width="6.7109375" style="92" customWidth="1"/>
    <col min="6144" max="6144" width="11.140625" style="92" customWidth="1"/>
    <col min="6145" max="6145" width="52.7109375" style="92" customWidth="1"/>
    <col min="6146" max="6146" width="24.140625" style="92" customWidth="1"/>
    <col min="6147" max="6147" width="8" style="92" customWidth="1"/>
    <col min="6148" max="6148" width="18" style="92" customWidth="1"/>
    <col min="6149" max="6149" width="14.85546875" style="92" bestFit="1" customWidth="1"/>
    <col min="6150" max="6150" width="16.140625" style="92" customWidth="1"/>
    <col min="6151" max="6398" width="9.140625" style="92"/>
    <col min="6399" max="6399" width="6.7109375" style="92" customWidth="1"/>
    <col min="6400" max="6400" width="11.140625" style="92" customWidth="1"/>
    <col min="6401" max="6401" width="52.7109375" style="92" customWidth="1"/>
    <col min="6402" max="6402" width="24.140625" style="92" customWidth="1"/>
    <col min="6403" max="6403" width="8" style="92" customWidth="1"/>
    <col min="6404" max="6404" width="18" style="92" customWidth="1"/>
    <col min="6405" max="6405" width="14.85546875" style="92" bestFit="1" customWidth="1"/>
    <col min="6406" max="6406" width="16.140625" style="92" customWidth="1"/>
    <col min="6407" max="6654" width="9.140625" style="92"/>
    <col min="6655" max="6655" width="6.7109375" style="92" customWidth="1"/>
    <col min="6656" max="6656" width="11.140625" style="92" customWidth="1"/>
    <col min="6657" max="6657" width="52.7109375" style="92" customWidth="1"/>
    <col min="6658" max="6658" width="24.140625" style="92" customWidth="1"/>
    <col min="6659" max="6659" width="8" style="92" customWidth="1"/>
    <col min="6660" max="6660" width="18" style="92" customWidth="1"/>
    <col min="6661" max="6661" width="14.85546875" style="92" bestFit="1" customWidth="1"/>
    <col min="6662" max="6662" width="16.140625" style="92" customWidth="1"/>
    <col min="6663" max="6910" width="9.140625" style="92"/>
    <col min="6911" max="6911" width="6.7109375" style="92" customWidth="1"/>
    <col min="6912" max="6912" width="11.140625" style="92" customWidth="1"/>
    <col min="6913" max="6913" width="52.7109375" style="92" customWidth="1"/>
    <col min="6914" max="6914" width="24.140625" style="92" customWidth="1"/>
    <col min="6915" max="6915" width="8" style="92" customWidth="1"/>
    <col min="6916" max="6916" width="18" style="92" customWidth="1"/>
    <col min="6917" max="6917" width="14.85546875" style="92" bestFit="1" customWidth="1"/>
    <col min="6918" max="6918" width="16.140625" style="92" customWidth="1"/>
    <col min="6919" max="7166" width="9.140625" style="92"/>
    <col min="7167" max="7167" width="6.7109375" style="92" customWidth="1"/>
    <col min="7168" max="7168" width="11.140625" style="92" customWidth="1"/>
    <col min="7169" max="7169" width="52.7109375" style="92" customWidth="1"/>
    <col min="7170" max="7170" width="24.140625" style="92" customWidth="1"/>
    <col min="7171" max="7171" width="8" style="92" customWidth="1"/>
    <col min="7172" max="7172" width="18" style="92" customWidth="1"/>
    <col min="7173" max="7173" width="14.85546875" style="92" bestFit="1" customWidth="1"/>
    <col min="7174" max="7174" width="16.140625" style="92" customWidth="1"/>
    <col min="7175" max="7422" width="9.140625" style="92"/>
    <col min="7423" max="7423" width="6.7109375" style="92" customWidth="1"/>
    <col min="7424" max="7424" width="11.140625" style="92" customWidth="1"/>
    <col min="7425" max="7425" width="52.7109375" style="92" customWidth="1"/>
    <col min="7426" max="7426" width="24.140625" style="92" customWidth="1"/>
    <col min="7427" max="7427" width="8" style="92" customWidth="1"/>
    <col min="7428" max="7428" width="18" style="92" customWidth="1"/>
    <col min="7429" max="7429" width="14.85546875" style="92" bestFit="1" customWidth="1"/>
    <col min="7430" max="7430" width="16.140625" style="92" customWidth="1"/>
    <col min="7431" max="7678" width="9.140625" style="92"/>
    <col min="7679" max="7679" width="6.7109375" style="92" customWidth="1"/>
    <col min="7680" max="7680" width="11.140625" style="92" customWidth="1"/>
    <col min="7681" max="7681" width="52.7109375" style="92" customWidth="1"/>
    <col min="7682" max="7682" width="24.140625" style="92" customWidth="1"/>
    <col min="7683" max="7683" width="8" style="92" customWidth="1"/>
    <col min="7684" max="7684" width="18" style="92" customWidth="1"/>
    <col min="7685" max="7685" width="14.85546875" style="92" bestFit="1" customWidth="1"/>
    <col min="7686" max="7686" width="16.140625" style="92" customWidth="1"/>
    <col min="7687" max="7934" width="9.140625" style="92"/>
    <col min="7935" max="7935" width="6.7109375" style="92" customWidth="1"/>
    <col min="7936" max="7936" width="11.140625" style="92" customWidth="1"/>
    <col min="7937" max="7937" width="52.7109375" style="92" customWidth="1"/>
    <col min="7938" max="7938" width="24.140625" style="92" customWidth="1"/>
    <col min="7939" max="7939" width="8" style="92" customWidth="1"/>
    <col min="7940" max="7940" width="18" style="92" customWidth="1"/>
    <col min="7941" max="7941" width="14.85546875" style="92" bestFit="1" customWidth="1"/>
    <col min="7942" max="7942" width="16.140625" style="92" customWidth="1"/>
    <col min="7943" max="8190" width="9.140625" style="92"/>
    <col min="8191" max="8191" width="6.7109375" style="92" customWidth="1"/>
    <col min="8192" max="8192" width="11.140625" style="92" customWidth="1"/>
    <col min="8193" max="8193" width="52.7109375" style="92" customWidth="1"/>
    <col min="8194" max="8194" width="24.140625" style="92" customWidth="1"/>
    <col min="8195" max="8195" width="8" style="92" customWidth="1"/>
    <col min="8196" max="8196" width="18" style="92" customWidth="1"/>
    <col min="8197" max="8197" width="14.85546875" style="92" bestFit="1" customWidth="1"/>
    <col min="8198" max="8198" width="16.140625" style="92" customWidth="1"/>
    <col min="8199" max="8446" width="9.140625" style="92"/>
    <col min="8447" max="8447" width="6.7109375" style="92" customWidth="1"/>
    <col min="8448" max="8448" width="11.140625" style="92" customWidth="1"/>
    <col min="8449" max="8449" width="52.7109375" style="92" customWidth="1"/>
    <col min="8450" max="8450" width="24.140625" style="92" customWidth="1"/>
    <col min="8451" max="8451" width="8" style="92" customWidth="1"/>
    <col min="8452" max="8452" width="18" style="92" customWidth="1"/>
    <col min="8453" max="8453" width="14.85546875" style="92" bestFit="1" customWidth="1"/>
    <col min="8454" max="8454" width="16.140625" style="92" customWidth="1"/>
    <col min="8455" max="8702" width="9.140625" style="92"/>
    <col min="8703" max="8703" width="6.7109375" style="92" customWidth="1"/>
    <col min="8704" max="8704" width="11.140625" style="92" customWidth="1"/>
    <col min="8705" max="8705" width="52.7109375" style="92" customWidth="1"/>
    <col min="8706" max="8706" width="24.140625" style="92" customWidth="1"/>
    <col min="8707" max="8707" width="8" style="92" customWidth="1"/>
    <col min="8708" max="8708" width="18" style="92" customWidth="1"/>
    <col min="8709" max="8709" width="14.85546875" style="92" bestFit="1" customWidth="1"/>
    <col min="8710" max="8710" width="16.140625" style="92" customWidth="1"/>
    <col min="8711" max="8958" width="9.140625" style="92"/>
    <col min="8959" max="8959" width="6.7109375" style="92" customWidth="1"/>
    <col min="8960" max="8960" width="11.140625" style="92" customWidth="1"/>
    <col min="8961" max="8961" width="52.7109375" style="92" customWidth="1"/>
    <col min="8962" max="8962" width="24.140625" style="92" customWidth="1"/>
    <col min="8963" max="8963" width="8" style="92" customWidth="1"/>
    <col min="8964" max="8964" width="18" style="92" customWidth="1"/>
    <col min="8965" max="8965" width="14.85546875" style="92" bestFit="1" customWidth="1"/>
    <col min="8966" max="8966" width="16.140625" style="92" customWidth="1"/>
    <col min="8967" max="9214" width="9.140625" style="92"/>
    <col min="9215" max="9215" width="6.7109375" style="92" customWidth="1"/>
    <col min="9216" max="9216" width="11.140625" style="92" customWidth="1"/>
    <col min="9217" max="9217" width="52.7109375" style="92" customWidth="1"/>
    <col min="9218" max="9218" width="24.140625" style="92" customWidth="1"/>
    <col min="9219" max="9219" width="8" style="92" customWidth="1"/>
    <col min="9220" max="9220" width="18" style="92" customWidth="1"/>
    <col min="9221" max="9221" width="14.85546875" style="92" bestFit="1" customWidth="1"/>
    <col min="9222" max="9222" width="16.140625" style="92" customWidth="1"/>
    <col min="9223" max="9470" width="9.140625" style="92"/>
    <col min="9471" max="9471" width="6.7109375" style="92" customWidth="1"/>
    <col min="9472" max="9472" width="11.140625" style="92" customWidth="1"/>
    <col min="9473" max="9473" width="52.7109375" style="92" customWidth="1"/>
    <col min="9474" max="9474" width="24.140625" style="92" customWidth="1"/>
    <col min="9475" max="9475" width="8" style="92" customWidth="1"/>
    <col min="9476" max="9476" width="18" style="92" customWidth="1"/>
    <col min="9477" max="9477" width="14.85546875" style="92" bestFit="1" customWidth="1"/>
    <col min="9478" max="9478" width="16.140625" style="92" customWidth="1"/>
    <col min="9479" max="9726" width="9.140625" style="92"/>
    <col min="9727" max="9727" width="6.7109375" style="92" customWidth="1"/>
    <col min="9728" max="9728" width="11.140625" style="92" customWidth="1"/>
    <col min="9729" max="9729" width="52.7109375" style="92" customWidth="1"/>
    <col min="9730" max="9730" width="24.140625" style="92" customWidth="1"/>
    <col min="9731" max="9731" width="8" style="92" customWidth="1"/>
    <col min="9732" max="9732" width="18" style="92" customWidth="1"/>
    <col min="9733" max="9733" width="14.85546875" style="92" bestFit="1" customWidth="1"/>
    <col min="9734" max="9734" width="16.140625" style="92" customWidth="1"/>
    <col min="9735" max="9982" width="9.140625" style="92"/>
    <col min="9983" max="9983" width="6.7109375" style="92" customWidth="1"/>
    <col min="9984" max="9984" width="11.140625" style="92" customWidth="1"/>
    <col min="9985" max="9985" width="52.7109375" style="92" customWidth="1"/>
    <col min="9986" max="9986" width="24.140625" style="92" customWidth="1"/>
    <col min="9987" max="9987" width="8" style="92" customWidth="1"/>
    <col min="9988" max="9988" width="18" style="92" customWidth="1"/>
    <col min="9989" max="9989" width="14.85546875" style="92" bestFit="1" customWidth="1"/>
    <col min="9990" max="9990" width="16.140625" style="92" customWidth="1"/>
    <col min="9991" max="10238" width="9.140625" style="92"/>
    <col min="10239" max="10239" width="6.7109375" style="92" customWidth="1"/>
    <col min="10240" max="10240" width="11.140625" style="92" customWidth="1"/>
    <col min="10241" max="10241" width="52.7109375" style="92" customWidth="1"/>
    <col min="10242" max="10242" width="24.140625" style="92" customWidth="1"/>
    <col min="10243" max="10243" width="8" style="92" customWidth="1"/>
    <col min="10244" max="10244" width="18" style="92" customWidth="1"/>
    <col min="10245" max="10245" width="14.85546875" style="92" bestFit="1" customWidth="1"/>
    <col min="10246" max="10246" width="16.140625" style="92" customWidth="1"/>
    <col min="10247" max="10494" width="9.140625" style="92"/>
    <col min="10495" max="10495" width="6.7109375" style="92" customWidth="1"/>
    <col min="10496" max="10496" width="11.140625" style="92" customWidth="1"/>
    <col min="10497" max="10497" width="52.7109375" style="92" customWidth="1"/>
    <col min="10498" max="10498" width="24.140625" style="92" customWidth="1"/>
    <col min="10499" max="10499" width="8" style="92" customWidth="1"/>
    <col min="10500" max="10500" width="18" style="92" customWidth="1"/>
    <col min="10501" max="10501" width="14.85546875" style="92" bestFit="1" customWidth="1"/>
    <col min="10502" max="10502" width="16.140625" style="92" customWidth="1"/>
    <col min="10503" max="10750" width="9.140625" style="92"/>
    <col min="10751" max="10751" width="6.7109375" style="92" customWidth="1"/>
    <col min="10752" max="10752" width="11.140625" style="92" customWidth="1"/>
    <col min="10753" max="10753" width="52.7109375" style="92" customWidth="1"/>
    <col min="10754" max="10754" width="24.140625" style="92" customWidth="1"/>
    <col min="10755" max="10755" width="8" style="92" customWidth="1"/>
    <col min="10756" max="10756" width="18" style="92" customWidth="1"/>
    <col min="10757" max="10757" width="14.85546875" style="92" bestFit="1" customWidth="1"/>
    <col min="10758" max="10758" width="16.140625" style="92" customWidth="1"/>
    <col min="10759" max="11006" width="9.140625" style="92"/>
    <col min="11007" max="11007" width="6.7109375" style="92" customWidth="1"/>
    <col min="11008" max="11008" width="11.140625" style="92" customWidth="1"/>
    <col min="11009" max="11009" width="52.7109375" style="92" customWidth="1"/>
    <col min="11010" max="11010" width="24.140625" style="92" customWidth="1"/>
    <col min="11011" max="11011" width="8" style="92" customWidth="1"/>
    <col min="11012" max="11012" width="18" style="92" customWidth="1"/>
    <col min="11013" max="11013" width="14.85546875" style="92" bestFit="1" customWidth="1"/>
    <col min="11014" max="11014" width="16.140625" style="92" customWidth="1"/>
    <col min="11015" max="11262" width="9.140625" style="92"/>
    <col min="11263" max="11263" width="6.7109375" style="92" customWidth="1"/>
    <col min="11264" max="11264" width="11.140625" style="92" customWidth="1"/>
    <col min="11265" max="11265" width="52.7109375" style="92" customWidth="1"/>
    <col min="11266" max="11266" width="24.140625" style="92" customWidth="1"/>
    <col min="11267" max="11267" width="8" style="92" customWidth="1"/>
    <col min="11268" max="11268" width="18" style="92" customWidth="1"/>
    <col min="11269" max="11269" width="14.85546875" style="92" bestFit="1" customWidth="1"/>
    <col min="11270" max="11270" width="16.140625" style="92" customWidth="1"/>
    <col min="11271" max="11518" width="9.140625" style="92"/>
    <col min="11519" max="11519" width="6.7109375" style="92" customWidth="1"/>
    <col min="11520" max="11520" width="11.140625" style="92" customWidth="1"/>
    <col min="11521" max="11521" width="52.7109375" style="92" customWidth="1"/>
    <col min="11522" max="11522" width="24.140625" style="92" customWidth="1"/>
    <col min="11523" max="11523" width="8" style="92" customWidth="1"/>
    <col min="11524" max="11524" width="18" style="92" customWidth="1"/>
    <col min="11525" max="11525" width="14.85546875" style="92" bestFit="1" customWidth="1"/>
    <col min="11526" max="11526" width="16.140625" style="92" customWidth="1"/>
    <col min="11527" max="11774" width="9.140625" style="92"/>
    <col min="11775" max="11775" width="6.7109375" style="92" customWidth="1"/>
    <col min="11776" max="11776" width="11.140625" style="92" customWidth="1"/>
    <col min="11777" max="11777" width="52.7109375" style="92" customWidth="1"/>
    <col min="11778" max="11778" width="24.140625" style="92" customWidth="1"/>
    <col min="11779" max="11779" width="8" style="92" customWidth="1"/>
    <col min="11780" max="11780" width="18" style="92" customWidth="1"/>
    <col min="11781" max="11781" width="14.85546875" style="92" bestFit="1" customWidth="1"/>
    <col min="11782" max="11782" width="16.140625" style="92" customWidth="1"/>
    <col min="11783" max="12030" width="9.140625" style="92"/>
    <col min="12031" max="12031" width="6.7109375" style="92" customWidth="1"/>
    <col min="12032" max="12032" width="11.140625" style="92" customWidth="1"/>
    <col min="12033" max="12033" width="52.7109375" style="92" customWidth="1"/>
    <col min="12034" max="12034" width="24.140625" style="92" customWidth="1"/>
    <col min="12035" max="12035" width="8" style="92" customWidth="1"/>
    <col min="12036" max="12036" width="18" style="92" customWidth="1"/>
    <col min="12037" max="12037" width="14.85546875" style="92" bestFit="1" customWidth="1"/>
    <col min="12038" max="12038" width="16.140625" style="92" customWidth="1"/>
    <col min="12039" max="12286" width="9.140625" style="92"/>
    <col min="12287" max="12287" width="6.7109375" style="92" customWidth="1"/>
    <col min="12288" max="12288" width="11.140625" style="92" customWidth="1"/>
    <col min="12289" max="12289" width="52.7109375" style="92" customWidth="1"/>
    <col min="12290" max="12290" width="24.140625" style="92" customWidth="1"/>
    <col min="12291" max="12291" width="8" style="92" customWidth="1"/>
    <col min="12292" max="12292" width="18" style="92" customWidth="1"/>
    <col min="12293" max="12293" width="14.85546875" style="92" bestFit="1" customWidth="1"/>
    <col min="12294" max="12294" width="16.140625" style="92" customWidth="1"/>
    <col min="12295" max="12542" width="9.140625" style="92"/>
    <col min="12543" max="12543" width="6.7109375" style="92" customWidth="1"/>
    <col min="12544" max="12544" width="11.140625" style="92" customWidth="1"/>
    <col min="12545" max="12545" width="52.7109375" style="92" customWidth="1"/>
    <col min="12546" max="12546" width="24.140625" style="92" customWidth="1"/>
    <col min="12547" max="12547" width="8" style="92" customWidth="1"/>
    <col min="12548" max="12548" width="18" style="92" customWidth="1"/>
    <col min="12549" max="12549" width="14.85546875" style="92" bestFit="1" customWidth="1"/>
    <col min="12550" max="12550" width="16.140625" style="92" customWidth="1"/>
    <col min="12551" max="12798" width="9.140625" style="92"/>
    <col min="12799" max="12799" width="6.7109375" style="92" customWidth="1"/>
    <col min="12800" max="12800" width="11.140625" style="92" customWidth="1"/>
    <col min="12801" max="12801" width="52.7109375" style="92" customWidth="1"/>
    <col min="12802" max="12802" width="24.140625" style="92" customWidth="1"/>
    <col min="12803" max="12803" width="8" style="92" customWidth="1"/>
    <col min="12804" max="12804" width="18" style="92" customWidth="1"/>
    <col min="12805" max="12805" width="14.85546875" style="92" bestFit="1" customWidth="1"/>
    <col min="12806" max="12806" width="16.140625" style="92" customWidth="1"/>
    <col min="12807" max="13054" width="9.140625" style="92"/>
    <col min="13055" max="13055" width="6.7109375" style="92" customWidth="1"/>
    <col min="13056" max="13056" width="11.140625" style="92" customWidth="1"/>
    <col min="13057" max="13057" width="52.7109375" style="92" customWidth="1"/>
    <col min="13058" max="13058" width="24.140625" style="92" customWidth="1"/>
    <col min="13059" max="13059" width="8" style="92" customWidth="1"/>
    <col min="13060" max="13060" width="18" style="92" customWidth="1"/>
    <col min="13061" max="13061" width="14.85546875" style="92" bestFit="1" customWidth="1"/>
    <col min="13062" max="13062" width="16.140625" style="92" customWidth="1"/>
    <col min="13063" max="13310" width="9.140625" style="92"/>
    <col min="13311" max="13311" width="6.7109375" style="92" customWidth="1"/>
    <col min="13312" max="13312" width="11.140625" style="92" customWidth="1"/>
    <col min="13313" max="13313" width="52.7109375" style="92" customWidth="1"/>
    <col min="13314" max="13314" width="24.140625" style="92" customWidth="1"/>
    <col min="13315" max="13315" width="8" style="92" customWidth="1"/>
    <col min="13316" max="13316" width="18" style="92" customWidth="1"/>
    <col min="13317" max="13317" width="14.85546875" style="92" bestFit="1" customWidth="1"/>
    <col min="13318" max="13318" width="16.140625" style="92" customWidth="1"/>
    <col min="13319" max="13566" width="9.140625" style="92"/>
    <col min="13567" max="13567" width="6.7109375" style="92" customWidth="1"/>
    <col min="13568" max="13568" width="11.140625" style="92" customWidth="1"/>
    <col min="13569" max="13569" width="52.7109375" style="92" customWidth="1"/>
    <col min="13570" max="13570" width="24.140625" style="92" customWidth="1"/>
    <col min="13571" max="13571" width="8" style="92" customWidth="1"/>
    <col min="13572" max="13572" width="18" style="92" customWidth="1"/>
    <col min="13573" max="13573" width="14.85546875" style="92" bestFit="1" customWidth="1"/>
    <col min="13574" max="13574" width="16.140625" style="92" customWidth="1"/>
    <col min="13575" max="13822" width="9.140625" style="92"/>
    <col min="13823" max="13823" width="6.7109375" style="92" customWidth="1"/>
    <col min="13824" max="13824" width="11.140625" style="92" customWidth="1"/>
    <col min="13825" max="13825" width="52.7109375" style="92" customWidth="1"/>
    <col min="13826" max="13826" width="24.140625" style="92" customWidth="1"/>
    <col min="13827" max="13827" width="8" style="92" customWidth="1"/>
    <col min="13828" max="13828" width="18" style="92" customWidth="1"/>
    <col min="13829" max="13829" width="14.85546875" style="92" bestFit="1" customWidth="1"/>
    <col min="13830" max="13830" width="16.140625" style="92" customWidth="1"/>
    <col min="13831" max="14078" width="9.140625" style="92"/>
    <col min="14079" max="14079" width="6.7109375" style="92" customWidth="1"/>
    <col min="14080" max="14080" width="11.140625" style="92" customWidth="1"/>
    <col min="14081" max="14081" width="52.7109375" style="92" customWidth="1"/>
    <col min="14082" max="14082" width="24.140625" style="92" customWidth="1"/>
    <col min="14083" max="14083" width="8" style="92" customWidth="1"/>
    <col min="14084" max="14084" width="18" style="92" customWidth="1"/>
    <col min="14085" max="14085" width="14.85546875" style="92" bestFit="1" customWidth="1"/>
    <col min="14086" max="14086" width="16.140625" style="92" customWidth="1"/>
    <col min="14087" max="14334" width="9.140625" style="92"/>
    <col min="14335" max="14335" width="6.7109375" style="92" customWidth="1"/>
    <col min="14336" max="14336" width="11.140625" style="92" customWidth="1"/>
    <col min="14337" max="14337" width="52.7109375" style="92" customWidth="1"/>
    <col min="14338" max="14338" width="24.140625" style="92" customWidth="1"/>
    <col min="14339" max="14339" width="8" style="92" customWidth="1"/>
    <col min="14340" max="14340" width="18" style="92" customWidth="1"/>
    <col min="14341" max="14341" width="14.85546875" style="92" bestFit="1" customWidth="1"/>
    <col min="14342" max="14342" width="16.140625" style="92" customWidth="1"/>
    <col min="14343" max="14590" width="9.140625" style="92"/>
    <col min="14591" max="14591" width="6.7109375" style="92" customWidth="1"/>
    <col min="14592" max="14592" width="11.140625" style="92" customWidth="1"/>
    <col min="14593" max="14593" width="52.7109375" style="92" customWidth="1"/>
    <col min="14594" max="14594" width="24.140625" style="92" customWidth="1"/>
    <col min="14595" max="14595" width="8" style="92" customWidth="1"/>
    <col min="14596" max="14596" width="18" style="92" customWidth="1"/>
    <col min="14597" max="14597" width="14.85546875" style="92" bestFit="1" customWidth="1"/>
    <col min="14598" max="14598" width="16.140625" style="92" customWidth="1"/>
    <col min="14599" max="14846" width="9.140625" style="92"/>
    <col min="14847" max="14847" width="6.7109375" style="92" customWidth="1"/>
    <col min="14848" max="14848" width="11.140625" style="92" customWidth="1"/>
    <col min="14849" max="14849" width="52.7109375" style="92" customWidth="1"/>
    <col min="14850" max="14850" width="24.140625" style="92" customWidth="1"/>
    <col min="14851" max="14851" width="8" style="92" customWidth="1"/>
    <col min="14852" max="14852" width="18" style="92" customWidth="1"/>
    <col min="14853" max="14853" width="14.85546875" style="92" bestFit="1" customWidth="1"/>
    <col min="14854" max="14854" width="16.140625" style="92" customWidth="1"/>
    <col min="14855" max="15102" width="9.140625" style="92"/>
    <col min="15103" max="15103" width="6.7109375" style="92" customWidth="1"/>
    <col min="15104" max="15104" width="11.140625" style="92" customWidth="1"/>
    <col min="15105" max="15105" width="52.7109375" style="92" customWidth="1"/>
    <col min="15106" max="15106" width="24.140625" style="92" customWidth="1"/>
    <col min="15107" max="15107" width="8" style="92" customWidth="1"/>
    <col min="15108" max="15108" width="18" style="92" customWidth="1"/>
    <col min="15109" max="15109" width="14.85546875" style="92" bestFit="1" customWidth="1"/>
    <col min="15110" max="15110" width="16.140625" style="92" customWidth="1"/>
    <col min="15111" max="15358" width="9.140625" style="92"/>
    <col min="15359" max="15359" width="6.7109375" style="92" customWidth="1"/>
    <col min="15360" max="15360" width="11.140625" style="92" customWidth="1"/>
    <col min="15361" max="15361" width="52.7109375" style="92" customWidth="1"/>
    <col min="15362" max="15362" width="24.140625" style="92" customWidth="1"/>
    <col min="15363" max="15363" width="8" style="92" customWidth="1"/>
    <col min="15364" max="15364" width="18" style="92" customWidth="1"/>
    <col min="15365" max="15365" width="14.85546875" style="92" bestFit="1" customWidth="1"/>
    <col min="15366" max="15366" width="16.140625" style="92" customWidth="1"/>
    <col min="15367" max="15614" width="9.140625" style="92"/>
    <col min="15615" max="15615" width="6.7109375" style="92" customWidth="1"/>
    <col min="15616" max="15616" width="11.140625" style="92" customWidth="1"/>
    <col min="15617" max="15617" width="52.7109375" style="92" customWidth="1"/>
    <col min="15618" max="15618" width="24.140625" style="92" customWidth="1"/>
    <col min="15619" max="15619" width="8" style="92" customWidth="1"/>
    <col min="15620" max="15620" width="18" style="92" customWidth="1"/>
    <col min="15621" max="15621" width="14.85546875" style="92" bestFit="1" customWidth="1"/>
    <col min="15622" max="15622" width="16.140625" style="92" customWidth="1"/>
    <col min="15623" max="15870" width="9.140625" style="92"/>
    <col min="15871" max="15871" width="6.7109375" style="92" customWidth="1"/>
    <col min="15872" max="15872" width="11.140625" style="92" customWidth="1"/>
    <col min="15873" max="15873" width="52.7109375" style="92" customWidth="1"/>
    <col min="15874" max="15874" width="24.140625" style="92" customWidth="1"/>
    <col min="15875" max="15875" width="8" style="92" customWidth="1"/>
    <col min="15876" max="15876" width="18" style="92" customWidth="1"/>
    <col min="15877" max="15877" width="14.85546875" style="92" bestFit="1" customWidth="1"/>
    <col min="15878" max="15878" width="16.140625" style="92" customWidth="1"/>
    <col min="15879" max="16126" width="9.140625" style="92"/>
    <col min="16127" max="16127" width="6.7109375" style="92" customWidth="1"/>
    <col min="16128" max="16128" width="11.140625" style="92" customWidth="1"/>
    <col min="16129" max="16129" width="52.7109375" style="92" customWidth="1"/>
    <col min="16130" max="16130" width="24.140625" style="92" customWidth="1"/>
    <col min="16131" max="16131" width="8" style="92" customWidth="1"/>
    <col min="16132" max="16132" width="18" style="92" customWidth="1"/>
    <col min="16133" max="16133" width="14.85546875" style="92" bestFit="1" customWidth="1"/>
    <col min="16134" max="16134" width="16.140625" style="92" customWidth="1"/>
    <col min="16135" max="16384" width="9.140625" style="92"/>
  </cols>
  <sheetData>
    <row r="1" spans="1:17" ht="45" customHeight="1">
      <c r="A1" s="955" t="str">
        <f>'Abstract A3'!A1:J1</f>
        <v>CONSTRUCTION OF  DINING ROOM, PIGEON HOLE RACK WITH LOCKER BOX FOR USAGE OF PRISON STAFF  AT CENTRAL PRISON IN COIMBATORE CITY.</v>
      </c>
      <c r="B1" s="956"/>
      <c r="C1" s="957"/>
      <c r="D1" s="958"/>
      <c r="E1" s="955"/>
      <c r="F1" s="958"/>
      <c r="G1" s="93"/>
      <c r="H1" s="931"/>
      <c r="I1" s="93"/>
      <c r="J1" s="93"/>
      <c r="K1" s="93"/>
      <c r="L1" s="93"/>
      <c r="M1" s="93"/>
      <c r="N1" s="93"/>
      <c r="O1" s="93"/>
      <c r="P1" s="93"/>
      <c r="Q1" s="93"/>
    </row>
    <row r="2" spans="1:17" ht="18.75" customHeight="1">
      <c r="A2" s="951" t="s">
        <v>296</v>
      </c>
      <c r="B2" s="952"/>
      <c r="C2" s="953"/>
      <c r="D2" s="954"/>
      <c r="E2" s="951"/>
      <c r="F2" s="954"/>
      <c r="G2" s="93"/>
      <c r="H2" s="931"/>
      <c r="I2" s="93"/>
      <c r="J2" s="93"/>
      <c r="K2" s="93"/>
      <c r="L2" s="93"/>
      <c r="M2" s="93"/>
      <c r="N2" s="93"/>
      <c r="O2" s="93"/>
      <c r="P2" s="93"/>
      <c r="Q2" s="93"/>
    </row>
    <row r="3" spans="1:17" s="96" customFormat="1" ht="41.25" customHeight="1">
      <c r="A3" s="94" t="s">
        <v>297</v>
      </c>
      <c r="B3" s="732" t="s">
        <v>298</v>
      </c>
      <c r="C3" s="94" t="s">
        <v>299</v>
      </c>
      <c r="D3" s="94" t="s">
        <v>300</v>
      </c>
      <c r="E3" s="699" t="s">
        <v>301</v>
      </c>
      <c r="F3" s="94" t="s">
        <v>302</v>
      </c>
      <c r="G3" s="915"/>
      <c r="H3" s="950"/>
      <c r="I3" s="950"/>
      <c r="J3" s="950"/>
      <c r="K3" s="950"/>
      <c r="L3" s="950"/>
      <c r="M3" s="950"/>
      <c r="N3" s="950"/>
      <c r="O3" s="950"/>
      <c r="P3" s="950"/>
      <c r="Q3" s="950"/>
    </row>
    <row r="4" spans="1:17" s="96" customFormat="1" ht="15.75">
      <c r="A4" s="94"/>
      <c r="B4" s="732"/>
      <c r="C4" s="97"/>
      <c r="D4" s="98"/>
      <c r="E4" s="699"/>
      <c r="F4" s="98"/>
      <c r="G4" s="95"/>
      <c r="H4" s="932"/>
      <c r="I4" s="99"/>
      <c r="J4" s="99"/>
      <c r="K4" s="99"/>
      <c r="L4" s="99"/>
      <c r="M4" s="99"/>
      <c r="N4" s="99"/>
      <c r="O4" s="99"/>
      <c r="P4" s="99"/>
      <c r="Q4" s="99"/>
    </row>
    <row r="5" spans="1:17" ht="38.25" customHeight="1">
      <c r="A5" s="100">
        <f>'[3]Building (2)'!A5</f>
        <v>1.1000000000000001</v>
      </c>
      <c r="B5" s="101" t="str">
        <f>'[3]Building (2)'!I5</f>
        <v>*</v>
      </c>
      <c r="C5" s="102" t="str">
        <f>'[3]Building (2)'!B5</f>
        <v>Earth work excavation in all soils (including refilling)</v>
      </c>
      <c r="D5" s="103"/>
      <c r="E5" s="104" t="str">
        <f>'[3]Building (2)'!D5</f>
        <v/>
      </c>
      <c r="F5" s="105" t="str">
        <f>'[4]Building+Dev( Main)'!AD5</f>
        <v>*</v>
      </c>
      <c r="G5" s="106"/>
      <c r="I5" s="106"/>
      <c r="J5" s="106"/>
      <c r="K5" s="106"/>
      <c r="L5" s="106"/>
      <c r="M5" s="106"/>
      <c r="N5" s="106"/>
      <c r="O5" s="106"/>
      <c r="P5" s="106"/>
      <c r="Q5" s="106"/>
    </row>
    <row r="6" spans="1:17" ht="24" customHeight="1">
      <c r="A6" s="100"/>
      <c r="B6" s="104">
        <f>'Abstract A3'!I6</f>
        <v>45.703359999999989</v>
      </c>
      <c r="C6" s="102" t="str">
        <f>'[3]Building (2)'!B6</f>
        <v>a. 0 to 2 mt.</v>
      </c>
      <c r="D6" s="103">
        <f>'Abstract A3'!C6</f>
        <v>195.54</v>
      </c>
      <c r="E6" s="104" t="str">
        <f>'[3]Building (2)'!D6</f>
        <v>Cum.</v>
      </c>
      <c r="F6" s="103">
        <f>D6*B6</f>
        <v>8936.8350143999978</v>
      </c>
      <c r="G6" s="106"/>
      <c r="I6" s="106"/>
      <c r="J6" s="106"/>
      <c r="K6" s="106"/>
      <c r="L6" s="106"/>
      <c r="M6" s="106"/>
      <c r="N6" s="106"/>
      <c r="O6" s="106"/>
      <c r="P6" s="106"/>
      <c r="Q6" s="106"/>
    </row>
    <row r="7" spans="1:17" s="107" customFormat="1" ht="30" customHeight="1">
      <c r="A7" s="100">
        <f>'[3]Building (2)'!A38</f>
        <v>2.1</v>
      </c>
      <c r="B7" s="104">
        <f>'Abstract A3'!I7</f>
        <v>13.549619999999999</v>
      </c>
      <c r="C7" s="102" t="str">
        <f>'[3]Building (2)'!B38</f>
        <v>Filling sand</v>
      </c>
      <c r="D7" s="103">
        <f>'Abstract A3'!C7</f>
        <v>1547.97</v>
      </c>
      <c r="E7" s="104" t="str">
        <f>'[3]Building (2)'!D38</f>
        <v>Cum.</v>
      </c>
      <c r="F7" s="103">
        <f t="shared" ref="F7:F9" si="0">D7*B7</f>
        <v>20974.405271399999</v>
      </c>
      <c r="G7" s="106"/>
      <c r="H7" s="934"/>
    </row>
    <row r="8" spans="1:17" s="107" customFormat="1" ht="30" customHeight="1">
      <c r="A8" s="100">
        <f>'[3]Building (2)'!A45</f>
        <v>3.1</v>
      </c>
      <c r="B8" s="104">
        <f>'Abstract A3'!I8</f>
        <v>5.60222</v>
      </c>
      <c r="C8" s="102" t="str">
        <f>'[3]Building (2)'!B45</f>
        <v>C.C.1:5:10 for Foundation &amp; Basement</v>
      </c>
      <c r="D8" s="103">
        <f>'Abstract A3'!C8</f>
        <v>4266.42</v>
      </c>
      <c r="E8" s="104" t="str">
        <f>'[3]Building (2)'!D45</f>
        <v>Cum.</v>
      </c>
      <c r="F8" s="103">
        <f t="shared" si="0"/>
        <v>23901.423452399998</v>
      </c>
      <c r="G8" s="106"/>
      <c r="H8" s="934"/>
    </row>
    <row r="9" spans="1:17" s="107" customFormat="1" ht="47.25">
      <c r="A9" s="100">
        <f>'[3]Building (2)'!A56</f>
        <v>6.2</v>
      </c>
      <c r="B9" s="104">
        <f>'Abstract A3'!I9</f>
        <v>7.7012379999999991</v>
      </c>
      <c r="C9" s="102" t="str">
        <f>'[3]Building (2)'!B56</f>
        <v>Brick work in C.M. 1:5 (F&amp; B) using chamber Burnt bricks of size 23 x 11.4 x 7.5 cm (9" x 4 1/2"x 3")</v>
      </c>
      <c r="D9" s="103">
        <f>'Abstract A3'!C9</f>
        <v>5985.26</v>
      </c>
      <c r="E9" s="104" t="str">
        <f>'[3]Building (2)'!D56</f>
        <v>Cum.</v>
      </c>
      <c r="F9" s="103">
        <f t="shared" si="0"/>
        <v>46093.911751879998</v>
      </c>
      <c r="G9" s="106"/>
      <c r="H9" s="934"/>
    </row>
    <row r="10" spans="1:17" s="107" customFormat="1" ht="31.5">
      <c r="A10" s="100">
        <f>'[3]Building (2)'!A90</f>
        <v>9.1999999999999993</v>
      </c>
      <c r="B10" s="104">
        <f>'[3]Building (2)'!I90</f>
        <v>0</v>
      </c>
      <c r="C10" s="102" t="str">
        <f>'[3]Building (2)'!B90</f>
        <v>Brick work in C.M. 1:6 using chamber Burnt bricks of size 23 x 11.4 x 7.5 cm (9" x 4 1/2"x 3")</v>
      </c>
      <c r="D10" s="103"/>
      <c r="E10" s="104"/>
      <c r="F10" s="103">
        <f t="shared" ref="F10:F15" si="1">D10*B10</f>
        <v>0</v>
      </c>
      <c r="G10" s="106"/>
      <c r="H10" s="934"/>
    </row>
    <row r="11" spans="1:17" s="107" customFormat="1" ht="17.25">
      <c r="A11" s="100"/>
      <c r="B11" s="104">
        <f>'Abstract A3'!I11</f>
        <v>25.000980000000006</v>
      </c>
      <c r="C11" s="102" t="s">
        <v>314</v>
      </c>
      <c r="D11" s="103">
        <f>'Abstract A3'!C11</f>
        <v>5994.7</v>
      </c>
      <c r="E11" s="104" t="str">
        <f>'[3]Building (2)'!D91</f>
        <v>Cum.</v>
      </c>
      <c r="F11" s="103">
        <f t="shared" si="1"/>
        <v>149873.37480600004</v>
      </c>
      <c r="G11" s="106"/>
      <c r="H11" s="934"/>
    </row>
    <row r="12" spans="1:17" s="107" customFormat="1" ht="45.75" customHeight="1">
      <c r="A12" s="100">
        <f>'Abstract A3'!A12</f>
        <v>10.199999999999999</v>
      </c>
      <c r="B12" s="104"/>
      <c r="C12" s="102" t="str">
        <f>'Abstract A3'!B12</f>
        <v>Brick partition work in C.M. 1:4 using chamber Burnt bricks of size 23 x 11.4 x 7.5 cm (9" x 4 1/2"x 3") 114 mm tk (B.P.)</v>
      </c>
      <c r="D12" s="103"/>
      <c r="E12" s="104"/>
      <c r="F12" s="103">
        <f t="shared" si="1"/>
        <v>0</v>
      </c>
      <c r="G12" s="106"/>
      <c r="H12" s="934"/>
    </row>
    <row r="13" spans="1:17" s="107" customFormat="1" ht="17.25">
      <c r="A13" s="100"/>
      <c r="B13" s="104">
        <f>'Abstract A3'!I13</f>
        <v>20.100000000000001</v>
      </c>
      <c r="C13" s="102" t="str">
        <f>'Abstract A3'!B13</f>
        <v>a. In Foundation and basement</v>
      </c>
      <c r="D13" s="103">
        <f>'Abstract A3'!C13</f>
        <v>747.85</v>
      </c>
      <c r="E13" s="104" t="s">
        <v>250</v>
      </c>
      <c r="F13" s="103">
        <f t="shared" si="1"/>
        <v>15031.785000000002</v>
      </c>
      <c r="G13" s="106"/>
      <c r="H13" s="934"/>
    </row>
    <row r="14" spans="1:17" s="107" customFormat="1" ht="17.25">
      <c r="A14" s="100"/>
      <c r="B14" s="104">
        <f>'Abstract A3'!I14</f>
        <v>52.300000000000004</v>
      </c>
      <c r="C14" s="102" t="str">
        <f>'Abstract A3'!B14</f>
        <v>b. In Ground Floor/stilt floor</v>
      </c>
      <c r="D14" s="103">
        <f>'Abstract A3'!C14</f>
        <v>755.27</v>
      </c>
      <c r="E14" s="104" t="str">
        <f>E13</f>
        <v>Sqm</v>
      </c>
      <c r="F14" s="103">
        <f t="shared" si="1"/>
        <v>39500.620999999999</v>
      </c>
      <c r="G14" s="106"/>
      <c r="H14" s="934"/>
    </row>
    <row r="15" spans="1:17" s="107" customFormat="1" ht="17.25">
      <c r="A15" s="100"/>
      <c r="B15" s="104">
        <f>'Abstract A3'!I15</f>
        <v>0</v>
      </c>
      <c r="C15" s="102" t="str">
        <f>'Abstract A3'!B15</f>
        <v>c. In First Floor</v>
      </c>
      <c r="D15" s="103">
        <f>'Abstract A3'!C15</f>
        <v>770.23</v>
      </c>
      <c r="E15" s="104" t="str">
        <f>E14</f>
        <v>Sqm</v>
      </c>
      <c r="F15" s="103">
        <f t="shared" si="1"/>
        <v>0</v>
      </c>
      <c r="G15" s="106"/>
      <c r="H15" s="934"/>
    </row>
    <row r="16" spans="1:17" s="107" customFormat="1" ht="47.25">
      <c r="A16" s="100">
        <f>'[3]Building (2)'!A186</f>
        <v>11.2</v>
      </c>
      <c r="B16" s="104">
        <f>'[3]Building (2)'!I186</f>
        <v>0</v>
      </c>
      <c r="C16" s="102" t="str">
        <f>'[3]Building (2)'!B186</f>
        <v>Brick work in C.M. 1:4 using chamber Burnt bricks of size 23 x 11.4 x 7.5 cm (9" x 4 1/2"x 3") 75 mm tk (B.P.)</v>
      </c>
      <c r="D16" s="103"/>
      <c r="E16" s="104"/>
      <c r="F16" s="103">
        <f t="shared" ref="F16:F17" si="2">D16*B16</f>
        <v>0</v>
      </c>
      <c r="G16" s="106"/>
      <c r="H16" s="934"/>
    </row>
    <row r="17" spans="1:8" s="107" customFormat="1" ht="17.25">
      <c r="A17" s="100"/>
      <c r="B17" s="104">
        <f>'Abstract A3'!I17</f>
        <v>27.799999999999997</v>
      </c>
      <c r="C17" s="102" t="str">
        <f>'[3]Building (2)'!B187</f>
        <v>a. In Ground Floor</v>
      </c>
      <c r="D17" s="103">
        <f>'Abstract A3'!C17</f>
        <v>525.83000000000004</v>
      </c>
      <c r="E17" s="104" t="str">
        <f>'[3]Building (2)'!D187</f>
        <v>Sqm.</v>
      </c>
      <c r="F17" s="103">
        <f t="shared" si="2"/>
        <v>14618.074000000001</v>
      </c>
      <c r="G17" s="106"/>
      <c r="H17" s="934"/>
    </row>
    <row r="18" spans="1:8" s="107" customFormat="1" ht="25.5" customHeight="1">
      <c r="A18" s="100">
        <f>'[3]Building (2)'!A229</f>
        <v>13.1</v>
      </c>
      <c r="B18" s="104">
        <f>'Abstract A3'!I18</f>
        <v>20.953749999999992</v>
      </c>
      <c r="C18" s="102" t="str">
        <f>'[3]Building (2)'!B229</f>
        <v>Filling with Excavated Earth</v>
      </c>
      <c r="D18" s="103">
        <f>'Abstract A3'!C18</f>
        <v>32.229999999999997</v>
      </c>
      <c r="E18" s="104" t="str">
        <f>'[3]Building (2)'!D229</f>
        <v>Cum.</v>
      </c>
      <c r="F18" s="103">
        <f t="shared" ref="F18:F22" si="3">D18*B18</f>
        <v>675.33936249999965</v>
      </c>
      <c r="G18" s="106"/>
      <c r="H18" s="934"/>
    </row>
    <row r="19" spans="1:8" s="107" customFormat="1" ht="17.25">
      <c r="A19" s="100" t="str">
        <f>'[3]Building (2)'!A244</f>
        <v>14.II</v>
      </c>
      <c r="B19" s="104">
        <f>'[3]Building (2)'!I244</f>
        <v>0</v>
      </c>
      <c r="C19" s="102" t="str">
        <f>'[3]Building (2)'!B244</f>
        <v>Precast cupboard slab 40 mm tk.</v>
      </c>
      <c r="D19" s="103"/>
      <c r="E19" s="104"/>
      <c r="F19" s="103">
        <f t="shared" si="3"/>
        <v>0</v>
      </c>
      <c r="G19" s="106"/>
      <c r="H19" s="934"/>
    </row>
    <row r="20" spans="1:8" s="107" customFormat="1" ht="17.25">
      <c r="A20" s="100"/>
      <c r="B20" s="104">
        <f>'Abstract A3'!I20</f>
        <v>1.4449999999999998</v>
      </c>
      <c r="C20" s="102" t="str">
        <f>'[3]Building (2)'!B245</f>
        <v>a. In Foundation &amp; basement</v>
      </c>
      <c r="D20" s="103">
        <f>'Abstract A3'!C20</f>
        <v>1384.43</v>
      </c>
      <c r="E20" s="104" t="str">
        <f>'[3]Building (2)'!D245</f>
        <v>Sqm.</v>
      </c>
      <c r="F20" s="103">
        <f t="shared" si="3"/>
        <v>2000.5013499999998</v>
      </c>
      <c r="G20" s="106"/>
      <c r="H20" s="934"/>
    </row>
    <row r="21" spans="1:8" s="730" customFormat="1" ht="17.25">
      <c r="A21" s="725">
        <f>'[3]Building (2)'!A251</f>
        <v>15.1</v>
      </c>
      <c r="B21" s="729">
        <f>'[3]Building (2)'!I251</f>
        <v>0</v>
      </c>
      <c r="C21" s="727" t="s">
        <v>3392</v>
      </c>
      <c r="D21" s="728"/>
      <c r="E21" s="729"/>
      <c r="F21" s="728">
        <f t="shared" si="3"/>
        <v>0</v>
      </c>
      <c r="G21" s="731"/>
      <c r="H21" s="935"/>
    </row>
    <row r="22" spans="1:8" s="107" customFormat="1" ht="17.25">
      <c r="A22" s="100"/>
      <c r="B22" s="104">
        <f>'Abstract A3'!I22</f>
        <v>25.7</v>
      </c>
      <c r="C22" s="102" t="str">
        <f>'[3]Building (2)'!B252</f>
        <v>a. In Ground floor</v>
      </c>
      <c r="D22" s="103">
        <f>'Abstract A3'!C22</f>
        <v>519.79</v>
      </c>
      <c r="E22" s="104" t="str">
        <f>'[3]Building (2)'!D252</f>
        <v>Sqm.</v>
      </c>
      <c r="F22" s="103">
        <f t="shared" si="3"/>
        <v>13358.602999999999</v>
      </c>
      <c r="G22" s="106"/>
      <c r="H22" s="934"/>
    </row>
    <row r="23" spans="1:8" ht="15.75">
      <c r="A23" s="100">
        <f>'[3]Building (2)'!A263</f>
        <v>16.100000000000001</v>
      </c>
      <c r="B23" s="104">
        <f>'[3]Building (2)'!I263</f>
        <v>0</v>
      </c>
      <c r="C23" s="102" t="str">
        <f>'[3]Building (2)'!B263</f>
        <v>Precast Jally ventilator 50mm tk.</v>
      </c>
      <c r="D23" s="103"/>
      <c r="E23" s="104"/>
      <c r="F23" s="103">
        <f t="shared" ref="F23:F38" si="4">D23*B23</f>
        <v>0</v>
      </c>
      <c r="G23" s="106"/>
    </row>
    <row r="24" spans="1:8" ht="15.75">
      <c r="A24" s="100"/>
      <c r="B24" s="104">
        <f>'Abstract A3'!I24</f>
        <v>2.7</v>
      </c>
      <c r="C24" s="102" t="str">
        <f>'[3]Building (2)'!B264</f>
        <v>a. In Ground Floor</v>
      </c>
      <c r="D24" s="103">
        <f>'Abstract A3'!C24</f>
        <v>2521.35</v>
      </c>
      <c r="E24" s="104" t="str">
        <f>'[3]Building (2)'!D264</f>
        <v>Sqm.</v>
      </c>
      <c r="F24" s="103">
        <f t="shared" si="4"/>
        <v>6807.6450000000004</v>
      </c>
      <c r="G24" s="106"/>
    </row>
    <row r="25" spans="1:8" s="107" customFormat="1" ht="17.25">
      <c r="A25" s="100">
        <f>'[3]Building (2)'!A285</f>
        <v>21.1</v>
      </c>
      <c r="B25" s="104">
        <f>'[3]Building (2)'!I285</f>
        <v>0</v>
      </c>
      <c r="C25" s="102" t="str">
        <f>'[3]Building (2)'!B285</f>
        <v>R.C.C.Door frame</v>
      </c>
      <c r="D25" s="103"/>
      <c r="E25" s="104"/>
      <c r="F25" s="103">
        <f t="shared" si="4"/>
        <v>0</v>
      </c>
      <c r="G25" s="106"/>
      <c r="H25" s="934"/>
    </row>
    <row r="26" spans="1:8" s="107" customFormat="1" ht="17.25">
      <c r="A26" s="100"/>
      <c r="B26" s="104">
        <f>'Abstract A3'!I26</f>
        <v>2</v>
      </c>
      <c r="C26" s="102" t="str">
        <f>'[3]Building (2)'!B286</f>
        <v>a. 900 x 2100 mm</v>
      </c>
      <c r="D26" s="103">
        <f>'Abstract A3'!C26</f>
        <v>2359.17</v>
      </c>
      <c r="E26" s="104" t="str">
        <f>'[3]Building (2)'!D286</f>
        <v>Each</v>
      </c>
      <c r="F26" s="103">
        <f t="shared" si="4"/>
        <v>4718.34</v>
      </c>
      <c r="G26" s="106"/>
      <c r="H26" s="934"/>
    </row>
    <row r="27" spans="1:8" s="107" customFormat="1" ht="26.25" customHeight="1">
      <c r="A27" s="100">
        <f>'[3]Building (2)'!A289</f>
        <v>21.2</v>
      </c>
      <c r="B27" s="101" t="str">
        <f>'[3]Building (2)'!I289</f>
        <v>*</v>
      </c>
      <c r="C27" s="102" t="str">
        <f>'[3]Building (2)'!B289</f>
        <v>Teak wood Wrought &amp; Put up</v>
      </c>
      <c r="D27" s="103"/>
      <c r="E27" s="104"/>
      <c r="F27" s="103"/>
      <c r="G27" s="106"/>
      <c r="H27" s="934"/>
    </row>
    <row r="28" spans="1:8" s="107" customFormat="1" ht="26.25" customHeight="1">
      <c r="A28" s="100"/>
      <c r="B28" s="108">
        <f>'Abstract A3'!I28</f>
        <v>3.3600000000000005E-2</v>
      </c>
      <c r="C28" s="102" t="str">
        <f>'[3]Building (2)'!B290</f>
        <v>a. T.W. over 2 m &amp; below 3 m</v>
      </c>
      <c r="D28" s="103">
        <f>'Abstract A3'!C28</f>
        <v>122902.5</v>
      </c>
      <c r="E28" s="104" t="str">
        <f>'[3]Building (2)'!D290</f>
        <v>Cum.</v>
      </c>
      <c r="F28" s="103">
        <f t="shared" si="4"/>
        <v>4129.5240000000003</v>
      </c>
      <c r="G28" s="106"/>
      <c r="H28" s="934"/>
    </row>
    <row r="29" spans="1:8" s="107" customFormat="1" ht="26.25" customHeight="1">
      <c r="A29" s="100"/>
      <c r="B29" s="108">
        <f>'Abstract A3'!I29</f>
        <v>1.9500000000000003E-2</v>
      </c>
      <c r="C29" s="102" t="str">
        <f>'[3]Building (2)'!B291</f>
        <v>b. T.W. below 2 m length.</v>
      </c>
      <c r="D29" s="103">
        <f>'Abstract A3'!C29</f>
        <v>110702.5</v>
      </c>
      <c r="E29" s="104" t="str">
        <f>'[3]Building (2)'!D291</f>
        <v>Cum.</v>
      </c>
      <c r="F29" s="103">
        <f t="shared" si="4"/>
        <v>2158.6987500000005</v>
      </c>
      <c r="G29" s="106"/>
      <c r="H29" s="934"/>
    </row>
    <row r="30" spans="1:8" s="107" customFormat="1" ht="26.25" customHeight="1">
      <c r="A30" s="100"/>
      <c r="B30" s="104">
        <f>'Abstract A3'!I30</f>
        <v>20.475000000000001</v>
      </c>
      <c r="C30" s="102" t="str">
        <f>'Abstract A3'!B30</f>
        <v>T.W. double leaf shutters for Pigeon hole rack</v>
      </c>
      <c r="D30" s="103">
        <f>'Abstract A3'!C30</f>
        <v>3790.1486744507411</v>
      </c>
      <c r="E30" s="104" t="s">
        <v>311</v>
      </c>
      <c r="F30" s="103">
        <f t="shared" si="4"/>
        <v>77603.294109378927</v>
      </c>
      <c r="G30" s="106"/>
      <c r="H30" s="934"/>
    </row>
    <row r="31" spans="1:8" s="107" customFormat="1" ht="33" customHeight="1">
      <c r="A31" s="100"/>
      <c r="B31" s="104"/>
      <c r="C31" s="102" t="str">
        <f>'Abstract A3'!B31</f>
        <v xml:space="preserve">Supplying and fixing of teak wood panelled door of Double leaves shutters </v>
      </c>
      <c r="D31" s="103"/>
      <c r="E31" s="104"/>
      <c r="F31" s="103">
        <f t="shared" si="4"/>
        <v>0</v>
      </c>
      <c r="G31" s="106"/>
      <c r="H31" s="934"/>
    </row>
    <row r="32" spans="1:8" s="107" customFormat="1" ht="26.25" customHeight="1">
      <c r="A32" s="100"/>
      <c r="B32" s="104">
        <f>'Abstract A3'!I32</f>
        <v>1</v>
      </c>
      <c r="C32" s="102" t="str">
        <f>'Abstract A3'!B32</f>
        <v>a) For door size 1500x2100mm</v>
      </c>
      <c r="D32" s="103">
        <f>'Abstract A3'!C32</f>
        <v>15051.44</v>
      </c>
      <c r="E32" s="104" t="s">
        <v>332</v>
      </c>
      <c r="F32" s="103">
        <f t="shared" si="4"/>
        <v>15051.44</v>
      </c>
      <c r="G32" s="106"/>
      <c r="H32" s="934"/>
    </row>
    <row r="33" spans="1:8" s="107" customFormat="1" ht="79.5" customHeight="1">
      <c r="A33" s="100">
        <f>'[3]Building (2)'!A304</f>
        <v>23.1</v>
      </c>
      <c r="B33" s="104">
        <f>'[3]Building (2)'!I304</f>
        <v>0</v>
      </c>
      <c r="C33" s="102" t="str">
        <f>'Abstract A3'!B33</f>
        <v>Supplying and fixing of flush door single leaf door shutters  and as directed by the departmental officers (The quality and the BWR plywood should be got approved from the Executive Engineer before use).</v>
      </c>
      <c r="D33" s="103"/>
      <c r="E33" s="104"/>
      <c r="F33" s="103">
        <f t="shared" si="4"/>
        <v>0</v>
      </c>
      <c r="G33" s="106"/>
      <c r="H33" s="934"/>
    </row>
    <row r="34" spans="1:8" s="107" customFormat="1" ht="24.75" customHeight="1">
      <c r="A34" s="100"/>
      <c r="B34" s="104">
        <f>'Abstract A3'!I34</f>
        <v>3.8000000000000003</v>
      </c>
      <c r="C34" s="102" t="str">
        <f>'[3]Building (2)'!B305</f>
        <v>a. 900 x 2100 mm</v>
      </c>
      <c r="D34" s="103">
        <f>'Abstract A3'!C34</f>
        <v>3023.81</v>
      </c>
      <c r="E34" s="104" t="str">
        <f>'[3]Building (2)'!D305</f>
        <v>Sqm.</v>
      </c>
      <c r="F34" s="103">
        <f t="shared" si="4"/>
        <v>11490.478000000001</v>
      </c>
      <c r="G34" s="106"/>
      <c r="H34" s="934"/>
    </row>
    <row r="35" spans="1:8" s="107" customFormat="1" ht="26.25" customHeight="1">
      <c r="A35" s="100">
        <f>'[3]Building (2)'!A307</f>
        <v>23.3</v>
      </c>
      <c r="B35" s="104">
        <f>'Abstract A3'!I35</f>
        <v>2</v>
      </c>
      <c r="C35" s="102" t="str">
        <f>'[3]Building (2)'!B307</f>
        <v>S&amp;F of Magnetic door catches</v>
      </c>
      <c r="D35" s="103">
        <f>'Abstract A3'!C35</f>
        <v>52</v>
      </c>
      <c r="E35" s="104" t="str">
        <f>'[3]Building (2)'!D307</f>
        <v>Each</v>
      </c>
      <c r="F35" s="103">
        <f t="shared" si="4"/>
        <v>104</v>
      </c>
      <c r="G35" s="106"/>
      <c r="H35" s="934"/>
    </row>
    <row r="36" spans="1:8" s="107" customFormat="1" ht="34.5" customHeight="1">
      <c r="A36" s="100">
        <f>'[3]Building (2)'!A321</f>
        <v>24</v>
      </c>
      <c r="B36" s="104">
        <f>'Abstract A3'!I36</f>
        <v>186.3</v>
      </c>
      <c r="C36" s="102" t="str">
        <f>'[3]Building (2)'!B321</f>
        <v>Manufacturing &amp; supply of steel windows (Weight basis)</v>
      </c>
      <c r="D36" s="103">
        <f>'Abstract A3'!C36</f>
        <v>60.9</v>
      </c>
      <c r="E36" s="104" t="str">
        <f>'[3]Building (2)'!D321</f>
        <v>Kg.</v>
      </c>
      <c r="F36" s="103">
        <f t="shared" si="4"/>
        <v>11345.67</v>
      </c>
      <c r="G36" s="106"/>
      <c r="H36" s="934"/>
    </row>
    <row r="37" spans="1:8" s="107" customFormat="1" ht="26.25" customHeight="1">
      <c r="A37" s="100">
        <f>'[3]Building (2)'!A322</f>
        <v>25</v>
      </c>
      <c r="B37" s="104">
        <f>'Abstract A3'!I37</f>
        <v>18</v>
      </c>
      <c r="C37" s="102" t="str">
        <f>'[3]Building (2)'!B322</f>
        <v>M.S.Holdfast</v>
      </c>
      <c r="D37" s="103">
        <f>'Abstract A3'!C37</f>
        <v>9.6</v>
      </c>
      <c r="E37" s="104" t="str">
        <f>'[3]Building (2)'!D322</f>
        <v>Each</v>
      </c>
      <c r="F37" s="103">
        <f t="shared" si="4"/>
        <v>172.79999999999998</v>
      </c>
      <c r="G37" s="106"/>
      <c r="H37" s="934"/>
    </row>
    <row r="38" spans="1:8" s="107" customFormat="1" ht="26.25" customHeight="1">
      <c r="A38" s="100">
        <f>'[3]Building (2)'!A323</f>
        <v>26</v>
      </c>
      <c r="B38" s="104">
        <f>'Abstract A3'!I38</f>
        <v>4.6978749999999989</v>
      </c>
      <c r="C38" s="102" t="str">
        <f>'[3]Building (2)'!B323</f>
        <v>Flooring in C.C.1:5:10</v>
      </c>
      <c r="D38" s="103">
        <f>'Abstract A3'!C38</f>
        <v>4266.42</v>
      </c>
      <c r="E38" s="104" t="str">
        <f>'[3]Building (2)'!D323</f>
        <v>Cum.</v>
      </c>
      <c r="F38" s="103">
        <f t="shared" si="4"/>
        <v>20043.107857499996</v>
      </c>
      <c r="G38" s="106"/>
      <c r="H38" s="934"/>
    </row>
    <row r="39" spans="1:8" s="107" customFormat="1" ht="26.25" customHeight="1">
      <c r="A39" s="100">
        <f>'[3]Building (2)'!A330</f>
        <v>28</v>
      </c>
      <c r="B39" s="104">
        <f>'Abstract A3'!I39</f>
        <v>0.72</v>
      </c>
      <c r="C39" s="102" t="str">
        <f>'[3]Building (2)'!B330</f>
        <v>Floor plastering in C.M. 1:4, 20 mm tk.</v>
      </c>
      <c r="D39" s="103">
        <f>'Abstract A3'!C39</f>
        <v>440.71</v>
      </c>
      <c r="E39" s="104" t="str">
        <f>'[3]Building (2)'!D330</f>
        <v>Sqm.</v>
      </c>
      <c r="F39" s="103">
        <f t="shared" ref="F39:F68" si="5">D39*B39</f>
        <v>317.31119999999999</v>
      </c>
      <c r="G39" s="106"/>
      <c r="H39" s="934"/>
    </row>
    <row r="40" spans="1:8" s="107" customFormat="1" ht="17.25">
      <c r="A40" s="100">
        <f>'[3]Building (2)'!A334</f>
        <v>29.4</v>
      </c>
      <c r="B40" s="104">
        <f>'Abstract A3'!I40</f>
        <v>24.695000000000004</v>
      </c>
      <c r="C40" s="102" t="str">
        <f>'[3]Building (2)'!B334</f>
        <v>Glazed tiles</v>
      </c>
      <c r="D40" s="103">
        <f>'Abstract A3'!C40</f>
        <v>1206.7</v>
      </c>
      <c r="E40" s="104" t="str">
        <f>'[3]Building (2)'!D334</f>
        <v>Sqm.</v>
      </c>
      <c r="F40" s="103">
        <f t="shared" si="5"/>
        <v>29799.456500000008</v>
      </c>
      <c r="G40" s="106"/>
      <c r="H40" s="934"/>
    </row>
    <row r="41" spans="1:8" ht="15.75">
      <c r="A41" s="100">
        <f>'[3]Building (2)'!A335</f>
        <v>29.5</v>
      </c>
      <c r="B41" s="104">
        <f>'Abstract A3'!I41</f>
        <v>12.997</v>
      </c>
      <c r="C41" s="102" t="str">
        <f>'[3]Building (2)'!B335</f>
        <v>Floor ceramic tiles (Anti-skid)</v>
      </c>
      <c r="D41" s="103">
        <f>'Abstract A3'!C41</f>
        <v>1062.29</v>
      </c>
      <c r="E41" s="104" t="str">
        <f>'[3]Building (2)'!D335</f>
        <v>Sqm.</v>
      </c>
      <c r="F41" s="103">
        <f t="shared" si="5"/>
        <v>13806.583129999999</v>
      </c>
      <c r="G41" s="106"/>
    </row>
    <row r="42" spans="1:8" s="107" customFormat="1" ht="26.25" customHeight="1">
      <c r="A42" s="100">
        <f>'[3]Building (2)'!A336</f>
        <v>30</v>
      </c>
      <c r="B42" s="104">
        <f>'Abstract A3'!I42</f>
        <v>6.419999999999999</v>
      </c>
      <c r="C42" s="102" t="str">
        <f>'[3]Building (2)'!B336</f>
        <v>Ellispattern</v>
      </c>
      <c r="D42" s="103">
        <f>'Abstract A3'!C42</f>
        <v>386.56</v>
      </c>
      <c r="E42" s="104" t="str">
        <f>'[3]Building (2)'!D336</f>
        <v>Sqm.</v>
      </c>
      <c r="F42" s="103">
        <f t="shared" si="5"/>
        <v>2481.7151999999996</v>
      </c>
      <c r="G42" s="106"/>
      <c r="H42" s="934"/>
    </row>
    <row r="43" spans="1:8" ht="26.25" customHeight="1">
      <c r="A43" s="100">
        <f>'[3]Building (2)'!A341</f>
        <v>33</v>
      </c>
      <c r="B43" s="104">
        <f>'Abstract A3'!I43</f>
        <v>465.85339999999997</v>
      </c>
      <c r="C43" s="102" t="str">
        <f>'[3]Building (2)'!B341</f>
        <v>Plastering in C.M. 1:5, 12 mm tk.</v>
      </c>
      <c r="D43" s="103">
        <f>'Abstract A3'!C43</f>
        <v>217.01</v>
      </c>
      <c r="E43" s="104" t="str">
        <f>'[3]Building (2)'!D341</f>
        <v>Sqm.</v>
      </c>
      <c r="F43" s="103">
        <f t="shared" si="5"/>
        <v>101094.84633399999</v>
      </c>
      <c r="G43" s="106"/>
    </row>
    <row r="44" spans="1:8" ht="26.25" customHeight="1">
      <c r="A44" s="100">
        <f>'[3]Building (2)'!A342</f>
        <v>34</v>
      </c>
      <c r="B44" s="104">
        <f>'Abstract A3'!I44</f>
        <v>3.8999999999999995</v>
      </c>
      <c r="C44" s="102" t="str">
        <f>'[3]Building (2)'!B342</f>
        <v>Plastering in C.M. 1:4, 12 mm tk.</v>
      </c>
      <c r="D44" s="103">
        <f>'Abstract A3'!C44</f>
        <v>222.86</v>
      </c>
      <c r="E44" s="104" t="str">
        <f>'[3]Building (2)'!D342</f>
        <v>Sqm.</v>
      </c>
      <c r="F44" s="103">
        <f t="shared" si="5"/>
        <v>869.15399999999988</v>
      </c>
      <c r="G44" s="106"/>
    </row>
    <row r="45" spans="1:8" s="107" customFormat="1" ht="41.25" customHeight="1">
      <c r="A45" s="100">
        <f>'[3]Building (2)'!A343</f>
        <v>35</v>
      </c>
      <c r="B45" s="104">
        <f>'Abstract A3'!I45</f>
        <v>66.702999999999975</v>
      </c>
      <c r="C45" s="102" t="str">
        <f>'[3]Building (2)'!B343</f>
        <v>Spl. Ceiling plastering in C.M. 1:3, 10 mm tk.</v>
      </c>
      <c r="D45" s="103">
        <f>'Abstract A3'!C45</f>
        <v>248.14</v>
      </c>
      <c r="E45" s="104" t="str">
        <f>'[3]Building (2)'!D343</f>
        <v>Sqm.</v>
      </c>
      <c r="F45" s="103">
        <f t="shared" si="5"/>
        <v>16551.682419999994</v>
      </c>
      <c r="G45" s="106"/>
      <c r="H45" s="934"/>
    </row>
    <row r="46" spans="1:8" s="107" customFormat="1" ht="24.75" customHeight="1">
      <c r="A46" s="100">
        <f>'[3]Building (2)'!A344</f>
        <v>36</v>
      </c>
      <c r="B46" s="101" t="str">
        <f>'[3]Building (2)'!I344</f>
        <v>*</v>
      </c>
      <c r="C46" s="102" t="str">
        <f>'[3]Building (2)'!B344</f>
        <v>Cement mortar Border in  C.M. 1:5, 12 mm tk.</v>
      </c>
      <c r="D46" s="103"/>
      <c r="E46" s="104"/>
      <c r="F46" s="103"/>
      <c r="G46" s="106"/>
      <c r="H46" s="934"/>
    </row>
    <row r="47" spans="1:8" s="107" customFormat="1" ht="24.75" customHeight="1">
      <c r="A47" s="100" t="str">
        <f>'[3]Building (2)'!A345</f>
        <v/>
      </c>
      <c r="B47" s="104">
        <f>'Abstract A3'!I47</f>
        <v>40.18</v>
      </c>
      <c r="C47" s="102" t="str">
        <f>'[3]Building (2)'!B345</f>
        <v>a. 150 mm wide</v>
      </c>
      <c r="D47" s="103">
        <f>'Abstract A3'!C47</f>
        <v>68.75</v>
      </c>
      <c r="E47" s="104" t="str">
        <f>'[3]Building (2)'!D345</f>
        <v>Rmt</v>
      </c>
      <c r="F47" s="103">
        <f t="shared" si="5"/>
        <v>2762.375</v>
      </c>
      <c r="G47" s="106"/>
      <c r="H47" s="934"/>
    </row>
    <row r="48" spans="1:8" ht="24.75" customHeight="1">
      <c r="A48" s="100"/>
      <c r="B48" s="104">
        <f>'Abstract A3'!I48</f>
        <v>40.18</v>
      </c>
      <c r="C48" s="102" t="str">
        <f>'[3]Building (2)'!B346</f>
        <v>b. 75 mm wide</v>
      </c>
      <c r="D48" s="103">
        <f>'Abstract A3'!C48</f>
        <v>44.7</v>
      </c>
      <c r="E48" s="104" t="str">
        <f>'[3]Building (2)'!D346</f>
        <v>Rmt</v>
      </c>
      <c r="F48" s="103">
        <f t="shared" si="5"/>
        <v>1796.046</v>
      </c>
      <c r="G48" s="106"/>
    </row>
    <row r="49" spans="1:8" ht="24" customHeight="1">
      <c r="A49" s="100">
        <f>'[3]Building (2)'!A348</f>
        <v>37.1</v>
      </c>
      <c r="B49" s="104">
        <f>'Abstract A3'!I49</f>
        <v>60.896999999999991</v>
      </c>
      <c r="C49" s="102" t="str">
        <f>'[3]Building (2)'!B348</f>
        <v>White washing 3 coats  (slaked)</v>
      </c>
      <c r="D49" s="103">
        <f>'Abstract A3'!C49</f>
        <v>38.54</v>
      </c>
      <c r="E49" s="104" t="str">
        <f>'[3]Building (2)'!D348</f>
        <v>Sqm.</v>
      </c>
      <c r="F49" s="103">
        <f t="shared" si="5"/>
        <v>2346.9703799999997</v>
      </c>
      <c r="G49" s="106"/>
    </row>
    <row r="50" spans="1:8" ht="45.75" customHeight="1">
      <c r="A50" s="100">
        <f>'[3]Building (2)'!A350</f>
        <v>38.1</v>
      </c>
      <c r="B50" s="104">
        <f>'Abstract A3'!I50</f>
        <v>278.70379999999989</v>
      </c>
      <c r="C50" s="102" t="str">
        <f>'Abstract A3'!B50</f>
        <v xml:space="preserve">Painting Primer coat using  approved quality of white cement over the   cement plastered / concrete wall </v>
      </c>
      <c r="D50" s="103">
        <f>'Abstract A3'!C50</f>
        <v>52.84</v>
      </c>
      <c r="E50" s="104" t="str">
        <f>'[3]Building (2)'!D350</f>
        <v>Sqm.</v>
      </c>
      <c r="F50" s="103">
        <f t="shared" si="5"/>
        <v>14726.708791999996</v>
      </c>
      <c r="G50" s="106"/>
    </row>
    <row r="51" spans="1:8" s="735" customFormat="1" ht="27.75" customHeight="1">
      <c r="A51" s="725">
        <f>'[3]Building (2)'!A353</f>
        <v>40</v>
      </c>
      <c r="B51" s="729">
        <f>'Abstract A3'!I51</f>
        <v>9.8980000000000015</v>
      </c>
      <c r="C51" s="727" t="str">
        <f>'[3]Building (2)'!B353</f>
        <v>Painting - New "wood work"</v>
      </c>
      <c r="D51" s="728">
        <f>'Abstract A3'!C51</f>
        <v>209.27</v>
      </c>
      <c r="E51" s="729" t="str">
        <f>'[3]Building (2)'!D353</f>
        <v>Sqm.</v>
      </c>
      <c r="F51" s="728">
        <f t="shared" si="5"/>
        <v>2071.3544600000005</v>
      </c>
      <c r="G51" s="731"/>
      <c r="H51" s="936"/>
    </row>
    <row r="52" spans="1:8" s="730" customFormat="1" ht="27.75" customHeight="1">
      <c r="A52" s="725">
        <f>'[3]Building (2)'!A354</f>
        <v>41</v>
      </c>
      <c r="B52" s="729">
        <f>'Abstract A3'!I52</f>
        <v>9.3150000000000013</v>
      </c>
      <c r="C52" s="727" t="str">
        <f>'[3]Building (2)'!B354</f>
        <v>Painting - New "iron work"</v>
      </c>
      <c r="D52" s="728">
        <f>'Abstract A3'!C52</f>
        <v>124.12</v>
      </c>
      <c r="E52" s="729" t="str">
        <f>'[3]Building (2)'!D354</f>
        <v>Sqm.</v>
      </c>
      <c r="F52" s="728">
        <f t="shared" si="5"/>
        <v>1156.1778000000002</v>
      </c>
      <c r="G52" s="731"/>
      <c r="H52" s="935"/>
    </row>
    <row r="53" spans="1:8" s="908" customFormat="1" ht="30.75" customHeight="1">
      <c r="A53" s="904">
        <f>'[3]Building (2)'!A358</f>
        <v>43</v>
      </c>
      <c r="B53" s="905">
        <f>'[3]Building (2)'!I358</f>
        <v>0</v>
      </c>
      <c r="C53" s="906" t="s">
        <v>3386</v>
      </c>
      <c r="D53" s="907"/>
      <c r="E53" s="905"/>
      <c r="F53" s="907">
        <f t="shared" si="5"/>
        <v>0</v>
      </c>
      <c r="G53" s="909"/>
      <c r="H53" s="937"/>
    </row>
    <row r="54" spans="1:8" s="908" customFormat="1" ht="25.5" customHeight="1">
      <c r="A54" s="904"/>
      <c r="B54" s="910">
        <f>'Abstract A3'!I54</f>
        <v>2.4542919999999997</v>
      </c>
      <c r="C54" s="906" t="str">
        <f>'[3]Building (2)'!B359</f>
        <v>a. upto 16mm dia rods</v>
      </c>
      <c r="D54" s="907">
        <f>'Abstract A3'!C54</f>
        <v>71117</v>
      </c>
      <c r="E54" s="905" t="str">
        <f>'[3]Building (2)'!D359</f>
        <v>MT</v>
      </c>
      <c r="F54" s="907">
        <f t="shared" si="5"/>
        <v>174541.88416399999</v>
      </c>
      <c r="G54" s="909"/>
      <c r="H54" s="937"/>
    </row>
    <row r="55" spans="1:8" s="107" customFormat="1" ht="17.25">
      <c r="A55" s="100">
        <f>'[3]Building (2)'!A361</f>
        <v>44.1</v>
      </c>
      <c r="B55" s="104">
        <f>'Abstract A3'!I55</f>
        <v>4.5</v>
      </c>
      <c r="C55" s="102" t="str">
        <f>'[3]Building (2)'!B361</f>
        <v>PVC SWR 110 mm dia Rain water pipe</v>
      </c>
      <c r="D55" s="103">
        <f>'Abstract A3'!C55</f>
        <v>316.45999999999998</v>
      </c>
      <c r="E55" s="104" t="str">
        <f>'[3]Building (2)'!D361</f>
        <v>Rmt</v>
      </c>
      <c r="F55" s="103">
        <f t="shared" si="5"/>
        <v>1424.07</v>
      </c>
      <c r="G55" s="106"/>
      <c r="H55" s="934"/>
    </row>
    <row r="56" spans="1:8" s="107" customFormat="1" ht="27.75" customHeight="1">
      <c r="A56" s="100">
        <f>'[3]Building (2)'!A364</f>
        <v>46</v>
      </c>
      <c r="B56" s="104">
        <f>'Abstract A3'!I56</f>
        <v>0</v>
      </c>
      <c r="C56" s="102" t="str">
        <f>'[3]Building (2)'!B364</f>
        <v>S &amp; F 20 mm dia Alu. Hanger Rod</v>
      </c>
      <c r="D56" s="103">
        <f>'Abstract A3'!C56</f>
        <v>58</v>
      </c>
      <c r="E56" s="104" t="str">
        <f>'[3]Building (2)'!D364</f>
        <v>Rmt</v>
      </c>
      <c r="F56" s="103">
        <f t="shared" si="5"/>
        <v>0</v>
      </c>
      <c r="G56" s="106"/>
      <c r="H56" s="934"/>
    </row>
    <row r="57" spans="1:8" s="107" customFormat="1" ht="27.75" customHeight="1">
      <c r="A57" s="100">
        <f>'[3]Building (2)'!A365</f>
        <v>47</v>
      </c>
      <c r="B57" s="104">
        <f>'Abstract A3'!I57</f>
        <v>4</v>
      </c>
      <c r="C57" s="102" t="str">
        <f>'[3]Building (2)'!B365</f>
        <v>S &amp; F Alu  Towel rail 75 cm long</v>
      </c>
      <c r="D57" s="103">
        <f>'Abstract A3'!C57</f>
        <v>95</v>
      </c>
      <c r="E57" s="104" t="str">
        <f>'[3]Building (2)'!D365</f>
        <v>Each</v>
      </c>
      <c r="F57" s="103">
        <f t="shared" si="5"/>
        <v>380</v>
      </c>
      <c r="G57" s="106"/>
      <c r="H57" s="934"/>
    </row>
    <row r="58" spans="1:8" ht="24" customHeight="1">
      <c r="A58" s="100">
        <f>'[3]Building (2)'!A374</f>
        <v>52</v>
      </c>
      <c r="B58" s="101" t="str">
        <f>'[3]Building (2)'!I374</f>
        <v>*</v>
      </c>
      <c r="C58" s="102" t="str">
        <f>'[3]Building (2)'!B374</f>
        <v>PVC Water supply (ASTM)</v>
      </c>
      <c r="D58" s="103"/>
      <c r="E58" s="104"/>
      <c r="F58" s="103"/>
      <c r="G58" s="106"/>
    </row>
    <row r="59" spans="1:8" ht="24" customHeight="1">
      <c r="A59" s="100"/>
      <c r="B59" s="104">
        <f>'Abstract A3'!I59</f>
        <v>25</v>
      </c>
      <c r="C59" s="102" t="str">
        <f>'[3]Building (2)'!B375</f>
        <v xml:space="preserve">a. 32 mm dia </v>
      </c>
      <c r="D59" s="907">
        <f>'Abstract A3'!C59</f>
        <v>223.25</v>
      </c>
      <c r="E59" s="104" t="str">
        <f>'[3]Building (2)'!D375</f>
        <v>Rmt</v>
      </c>
      <c r="F59" s="103">
        <f t="shared" si="5"/>
        <v>5581.25</v>
      </c>
      <c r="G59" s="106"/>
    </row>
    <row r="60" spans="1:8" ht="24" customHeight="1">
      <c r="A60" s="100"/>
      <c r="B60" s="104">
        <f>'Abstract A3'!I60</f>
        <v>14</v>
      </c>
      <c r="C60" s="102" t="str">
        <f>'[3]Building (2)'!B376</f>
        <v xml:space="preserve">b. 25 mm dia </v>
      </c>
      <c r="D60" s="907">
        <f>'Abstract A3'!C60</f>
        <v>207.43</v>
      </c>
      <c r="E60" s="104" t="str">
        <f>'[3]Building (2)'!D376</f>
        <v>Rmt</v>
      </c>
      <c r="F60" s="103">
        <f t="shared" si="5"/>
        <v>2904.02</v>
      </c>
      <c r="G60" s="106"/>
    </row>
    <row r="61" spans="1:8" s="107" customFormat="1" ht="36" customHeight="1">
      <c r="A61" s="100">
        <f>'[3]Building (2)'!A378</f>
        <v>52.1</v>
      </c>
      <c r="B61" s="104">
        <f>'Abstract A3'!I61</f>
        <v>15</v>
      </c>
      <c r="C61" s="102" t="str">
        <f>'[3]Building (2)'!B378</f>
        <v>G.I Pipe 20mm dia for Hot water line (Fully Concealed in walls)</v>
      </c>
      <c r="D61" s="103">
        <f>'Abstract A3'!C61</f>
        <v>281.19</v>
      </c>
      <c r="E61" s="104" t="str">
        <f>'[3]Building (2)'!D378</f>
        <v>Rmt</v>
      </c>
      <c r="F61" s="103">
        <f t="shared" si="5"/>
        <v>4217.8500000000004</v>
      </c>
      <c r="G61" s="106"/>
      <c r="H61" s="934"/>
    </row>
    <row r="62" spans="1:8" ht="15.75">
      <c r="A62" s="100">
        <f>'[3]Building (2)'!A379</f>
        <v>53.1</v>
      </c>
      <c r="B62" s="104">
        <f>'Abstract A3'!I62</f>
        <v>4</v>
      </c>
      <c r="C62" s="102" t="str">
        <f>'[3]Building (2)'!B379</f>
        <v>Wash basin</v>
      </c>
      <c r="D62" s="103">
        <f>'Abstract A3'!C62</f>
        <v>3066.82</v>
      </c>
      <c r="E62" s="104" t="str">
        <f>'[3]Building (2)'!D379</f>
        <v>Each</v>
      </c>
      <c r="F62" s="103">
        <f t="shared" si="5"/>
        <v>12267.28</v>
      </c>
      <c r="G62" s="106"/>
    </row>
    <row r="63" spans="1:8" s="735" customFormat="1" ht="66.75" customHeight="1">
      <c r="A63" s="725">
        <f>'Abstract A3'!A100</f>
        <v>0</v>
      </c>
      <c r="B63" s="729">
        <f>'Abstract A3'!I100</f>
        <v>1</v>
      </c>
      <c r="C63" s="727" t="str">
        <f>'Abstract A3'!B100</f>
        <v>Supply and errection of Rotational Moulded Polyethylenewater storage tanks (HDPE Cylinderical vertical type) for outdoor use having capacity of  700 litres</v>
      </c>
      <c r="D63" s="728">
        <f>'Abstract A3'!C100</f>
        <v>5739.9999999999991</v>
      </c>
      <c r="E63" s="729" t="str">
        <f>E62</f>
        <v>Each</v>
      </c>
      <c r="F63" s="728">
        <f t="shared" si="5"/>
        <v>5739.9999999999991</v>
      </c>
      <c r="G63" s="731"/>
      <c r="H63" s="936"/>
    </row>
    <row r="64" spans="1:8" s="107" customFormat="1" ht="21" customHeight="1">
      <c r="A64" s="100">
        <f>'[3]Building (2)'!A382</f>
        <v>54</v>
      </c>
      <c r="B64" s="104">
        <f>'Abstract A3'!I63</f>
        <v>4</v>
      </c>
      <c r="C64" s="102" t="str">
        <f>'[3]Building (2)'!B382</f>
        <v>Brass tap (with ISI mark)</v>
      </c>
      <c r="D64" s="103">
        <f>'Abstract A3'!C63</f>
        <v>202</v>
      </c>
      <c r="E64" s="104" t="str">
        <f>'[3]Building (2)'!D382</f>
        <v>Each</v>
      </c>
      <c r="F64" s="103">
        <f t="shared" si="5"/>
        <v>808</v>
      </c>
      <c r="G64" s="106"/>
      <c r="H64" s="934"/>
    </row>
    <row r="65" spans="1:8" ht="15.75">
      <c r="A65" s="100">
        <f>'[3]Building (2)'!A383</f>
        <v>54.1</v>
      </c>
      <c r="B65" s="104">
        <f>'Abstract A3'!I64</f>
        <v>2</v>
      </c>
      <c r="C65" s="102" t="str">
        <f>'Abstract A3'!B64</f>
        <v>C.P tap long body half turn tap</v>
      </c>
      <c r="D65" s="103">
        <f>'Abstract A3'!C64</f>
        <v>464</v>
      </c>
      <c r="E65" s="104" t="str">
        <f>'[3]Building (2)'!D383</f>
        <v>Each</v>
      </c>
      <c r="F65" s="103">
        <f t="shared" si="5"/>
        <v>928</v>
      </c>
      <c r="G65" s="106"/>
    </row>
    <row r="66" spans="1:8" ht="21" customHeight="1">
      <c r="A66" s="100">
        <f>'[3]Building (2)'!A384</f>
        <v>54.2</v>
      </c>
      <c r="B66" s="104">
        <f>'Abstract A3'!I65</f>
        <v>2</v>
      </c>
      <c r="C66" s="102" t="str">
        <f>'Abstract A3'!B65</f>
        <v>C.P tap short body half turn tap</v>
      </c>
      <c r="D66" s="103">
        <f>'Abstract A3'!C65</f>
        <v>416</v>
      </c>
      <c r="E66" s="104" t="str">
        <f>'[3]Building (2)'!D384</f>
        <v>Each</v>
      </c>
      <c r="F66" s="103">
        <f t="shared" si="5"/>
        <v>832</v>
      </c>
      <c r="G66" s="106"/>
    </row>
    <row r="67" spans="1:8" ht="15.75">
      <c r="A67" s="100">
        <f>'[3]Building (2)'!A386</f>
        <v>55.2</v>
      </c>
      <c r="B67" s="104">
        <f>'Abstract A3'!I66</f>
        <v>1</v>
      </c>
      <c r="C67" s="102" t="str">
        <f>'[3]Building (2)'!B386</f>
        <v>Flat Back Urinal</v>
      </c>
      <c r="D67" s="103">
        <f>'Abstract A3'!C66</f>
        <v>1988.15</v>
      </c>
      <c r="E67" s="104" t="str">
        <f>'[3]Building (2)'!D386</f>
        <v>Each</v>
      </c>
      <c r="F67" s="103">
        <f t="shared" si="5"/>
        <v>1988.15</v>
      </c>
      <c r="G67" s="106"/>
    </row>
    <row r="68" spans="1:8" s="107" customFormat="1" ht="17.25">
      <c r="A68" s="100">
        <f>'[3]Building (2)'!A389</f>
        <v>57</v>
      </c>
      <c r="B68" s="104">
        <f>'Abstract A3'!I67</f>
        <v>2</v>
      </c>
      <c r="C68" s="102" t="str">
        <f>'[3]Building (2)'!B389</f>
        <v>S &amp; F of E.W.C.(white)</v>
      </c>
      <c r="D68" s="103">
        <f>'Abstract A3'!C67</f>
        <v>6440.15</v>
      </c>
      <c r="E68" s="104" t="str">
        <f>'[3]Building (2)'!D389</f>
        <v>Each</v>
      </c>
      <c r="F68" s="103">
        <f t="shared" si="5"/>
        <v>12880.3</v>
      </c>
      <c r="G68" s="106"/>
      <c r="H68" s="934"/>
    </row>
    <row r="69" spans="1:8" s="107" customFormat="1" ht="17.25">
      <c r="A69" s="100">
        <f>'[3]Building (2)'!A391</f>
        <v>58.1</v>
      </c>
      <c r="B69" s="104">
        <f>'[3]Building (2)'!I391</f>
        <v>0</v>
      </c>
      <c r="C69" s="102" t="str">
        <f>'[3]Building (2)'!B391</f>
        <v>PVC SWR pipe (Soil line)</v>
      </c>
      <c r="D69" s="103"/>
      <c r="E69" s="104"/>
      <c r="F69" s="103">
        <f t="shared" ref="F69:F90" si="6">D69*B69</f>
        <v>0</v>
      </c>
      <c r="G69" s="106"/>
      <c r="H69" s="934"/>
    </row>
    <row r="70" spans="1:8" s="107" customFormat="1" ht="17.25">
      <c r="A70" s="100"/>
      <c r="B70" s="104">
        <f>'Abstract A3'!I69</f>
        <v>8</v>
      </c>
      <c r="C70" s="102" t="str">
        <f>'[3]Building (2)'!B392</f>
        <v>a. 110 mm dia.</v>
      </c>
      <c r="D70" s="103">
        <f>'Abstract A3'!C69</f>
        <v>641.9</v>
      </c>
      <c r="E70" s="104" t="str">
        <f>'[3]Building (2)'!D392</f>
        <v>Rmt</v>
      </c>
      <c r="F70" s="103">
        <f t="shared" si="6"/>
        <v>5135.2</v>
      </c>
      <c r="G70" s="106"/>
      <c r="H70" s="934"/>
    </row>
    <row r="71" spans="1:8" s="107" customFormat="1" ht="17.25">
      <c r="A71" s="100"/>
      <c r="B71" s="104">
        <f>'Abstract A3'!I70</f>
        <v>6</v>
      </c>
      <c r="C71" s="102" t="str">
        <f>'[3]Building (2)'!B393</f>
        <v>b. 75 mm dia.</v>
      </c>
      <c r="D71" s="103">
        <f>'Abstract A3'!C70</f>
        <v>529.1</v>
      </c>
      <c r="E71" s="104" t="str">
        <f>'[3]Building (2)'!D393</f>
        <v>Rmt</v>
      </c>
      <c r="F71" s="103">
        <f t="shared" si="6"/>
        <v>3174.6000000000004</v>
      </c>
      <c r="G71" s="106"/>
      <c r="H71" s="934"/>
    </row>
    <row r="72" spans="1:8" s="730" customFormat="1" ht="24" customHeight="1">
      <c r="A72" s="725">
        <f>'[3]Building (2)'!A401</f>
        <v>60</v>
      </c>
      <c r="B72" s="729">
        <f>'Abstract A3'!I71</f>
        <v>6</v>
      </c>
      <c r="C72" s="727" t="str">
        <f>'[3]Building (2)'!B401</f>
        <v>PVC Nahani trap (4way/2way)</v>
      </c>
      <c r="D72" s="728">
        <f>'Abstract A3'!C71</f>
        <v>136.69999999999999</v>
      </c>
      <c r="E72" s="729" t="str">
        <f>'[3]Building (2)'!D401</f>
        <v>Each</v>
      </c>
      <c r="F72" s="728">
        <f t="shared" si="6"/>
        <v>820.19999999999993</v>
      </c>
      <c r="G72" s="731"/>
      <c r="H72" s="935"/>
    </row>
    <row r="73" spans="1:8" s="107" customFormat="1" ht="22.5" customHeight="1">
      <c r="A73" s="100"/>
      <c r="B73" s="101" t="str">
        <f>'[3]Building (2)'!I415</f>
        <v>*</v>
      </c>
      <c r="C73" s="102" t="str">
        <f>'[3]Building (2)'!B415</f>
        <v>Electrical arrangements</v>
      </c>
      <c r="D73" s="103"/>
      <c r="E73" s="104"/>
      <c r="F73" s="103"/>
      <c r="G73" s="106"/>
      <c r="H73" s="934"/>
    </row>
    <row r="74" spans="1:8" s="107" customFormat="1" ht="17.25">
      <c r="A74" s="100">
        <f>'[3]Building (2)'!A416</f>
        <v>64</v>
      </c>
      <c r="B74" s="104">
        <f>'Abstract A3'!I74</f>
        <v>9</v>
      </c>
      <c r="C74" s="102" t="str">
        <f>'[3]Building (2)'!B416</f>
        <v>a. Light point with ceiling rose</v>
      </c>
      <c r="D74" s="103">
        <f>'Abstract A3'!C74</f>
        <v>1340</v>
      </c>
      <c r="E74" s="104" t="str">
        <f>'[3]Building (2)'!D416</f>
        <v>Each</v>
      </c>
      <c r="F74" s="103">
        <f t="shared" si="6"/>
        <v>12060</v>
      </c>
      <c r="G74" s="106"/>
      <c r="H74" s="934"/>
    </row>
    <row r="75" spans="1:8" s="107" customFormat="1" ht="17.25">
      <c r="A75" s="100"/>
      <c r="B75" s="104">
        <f>'Abstract A3'!I75</f>
        <v>6</v>
      </c>
      <c r="C75" s="102" t="str">
        <f>'[3]Building (2)'!B417</f>
        <v>b. Light point without ceiling rose</v>
      </c>
      <c r="D75" s="103">
        <f>'Abstract A3'!C75</f>
        <v>1344</v>
      </c>
      <c r="E75" s="104" t="str">
        <f>'[3]Building (2)'!D417</f>
        <v>Each</v>
      </c>
      <c r="F75" s="103">
        <f t="shared" si="6"/>
        <v>8064</v>
      </c>
      <c r="G75" s="106"/>
      <c r="H75" s="934"/>
    </row>
    <row r="76" spans="1:8" s="107" customFormat="1" ht="21.75" customHeight="1">
      <c r="A76" s="100">
        <f>'[3]Building (2)'!A419</f>
        <v>65</v>
      </c>
      <c r="B76" s="104">
        <f>'Abstract A3'!I76</f>
        <v>4</v>
      </c>
      <c r="C76" s="102" t="str">
        <f>'[3]Building (2)'!B419</f>
        <v xml:space="preserve">Fan point </v>
      </c>
      <c r="D76" s="103">
        <f>'Abstract A3'!C76</f>
        <v>1399</v>
      </c>
      <c r="E76" s="104" t="str">
        <f>'[3]Building (2)'!D419</f>
        <v>Each</v>
      </c>
      <c r="F76" s="103">
        <f t="shared" si="6"/>
        <v>5596</v>
      </c>
      <c r="G76" s="106"/>
      <c r="H76" s="934"/>
    </row>
    <row r="77" spans="1:8" s="107" customFormat="1" ht="17.25">
      <c r="A77" s="100">
        <f>'[3]Building (2)'!A421</f>
        <v>67</v>
      </c>
      <c r="B77" s="104">
        <f>'Abstract A3'!I77</f>
        <v>2</v>
      </c>
      <c r="C77" s="102" t="str">
        <f>'[3]Building (2)'!B421</f>
        <v>5 amps 5 pin Plug point (Switch board itself)</v>
      </c>
      <c r="D77" s="103">
        <f>'Abstract A3'!C77</f>
        <v>688</v>
      </c>
      <c r="E77" s="104" t="str">
        <f>'[3]Building (2)'!D421</f>
        <v>Each</v>
      </c>
      <c r="F77" s="103">
        <f t="shared" si="6"/>
        <v>1376</v>
      </c>
      <c r="G77" s="106"/>
      <c r="H77" s="934"/>
    </row>
    <row r="78" spans="1:8" s="107" customFormat="1" ht="17.25">
      <c r="A78" s="100">
        <f>'[3]Building (2)'!A422</f>
        <v>68</v>
      </c>
      <c r="B78" s="104">
        <f>'Abstract A3'!I78</f>
        <v>4</v>
      </c>
      <c r="C78" s="102" t="str">
        <f>'[3]Building (2)'!B422</f>
        <v>5 amps 5 pin Plug point (Convenient places)</v>
      </c>
      <c r="D78" s="103">
        <f>'Abstract A3'!C78</f>
        <v>934</v>
      </c>
      <c r="E78" s="104" t="str">
        <f>'[3]Building (2)'!D422</f>
        <v>Each</v>
      </c>
      <c r="F78" s="103">
        <f t="shared" si="6"/>
        <v>3736</v>
      </c>
      <c r="G78" s="106"/>
      <c r="H78" s="934"/>
    </row>
    <row r="79" spans="1:8" s="107" customFormat="1" ht="27" customHeight="1">
      <c r="A79" s="100">
        <f>'[3]Building (2)'!A423</f>
        <v>69</v>
      </c>
      <c r="B79" s="104">
        <f>'Abstract A3'!I79</f>
        <v>1</v>
      </c>
      <c r="C79" s="102" t="str">
        <f>'[3]Building (2)'!B423</f>
        <v>15 Amp. Power plug</v>
      </c>
      <c r="D79" s="103">
        <f>'Abstract A3'!C79</f>
        <v>129</v>
      </c>
      <c r="E79" s="104" t="str">
        <f>'[3]Building (2)'!D423</f>
        <v>Each</v>
      </c>
      <c r="F79" s="103">
        <f t="shared" si="6"/>
        <v>129</v>
      </c>
      <c r="G79" s="106"/>
      <c r="H79" s="934"/>
    </row>
    <row r="80" spans="1:8" s="107" customFormat="1" ht="27" customHeight="1">
      <c r="A80" s="100">
        <f>'[3]Building (2)'!A429</f>
        <v>72</v>
      </c>
      <c r="B80" s="104">
        <f>'Abstract A3'!I80</f>
        <v>4</v>
      </c>
      <c r="C80" s="102" t="str">
        <f>'[3]Building (2)'!B429</f>
        <v>Box type Fibre Fan hook</v>
      </c>
      <c r="D80" s="103">
        <f>'Abstract A3'!C80</f>
        <v>33.9</v>
      </c>
      <c r="E80" s="104" t="str">
        <f>'[3]Building (2)'!D429</f>
        <v>Each</v>
      </c>
      <c r="F80" s="103">
        <f t="shared" si="6"/>
        <v>135.6</v>
      </c>
      <c r="G80" s="106"/>
      <c r="H80" s="934"/>
    </row>
    <row r="81" spans="1:8" s="107" customFormat="1" ht="27" customHeight="1">
      <c r="A81" s="100">
        <f>'[3]Building (2)'!A431</f>
        <v>73.2</v>
      </c>
      <c r="B81" s="104">
        <f>'Abstract A3'!I81</f>
        <v>1</v>
      </c>
      <c r="C81" s="102" t="str">
        <f>'[3]Building (2)'!B431</f>
        <v>4 way - D.B.</v>
      </c>
      <c r="D81" s="103">
        <f>'Abstract A3'!C81</f>
        <v>3250</v>
      </c>
      <c r="E81" s="104" t="str">
        <f>'[3]Building (2)'!D431</f>
        <v>Each</v>
      </c>
      <c r="F81" s="103">
        <f t="shared" si="6"/>
        <v>3250</v>
      </c>
      <c r="G81" s="106"/>
      <c r="H81" s="934"/>
    </row>
    <row r="82" spans="1:8" s="107" customFormat="1" ht="27" customHeight="1">
      <c r="A82" s="100">
        <f>'[3]Building (2)'!A432</f>
        <v>74</v>
      </c>
      <c r="B82" s="104">
        <f>'Abstract A3'!I82</f>
        <v>4</v>
      </c>
      <c r="C82" s="102" t="str">
        <f>'[3]Building (2)'!B432</f>
        <v>Charges for fixing of "Fan"</v>
      </c>
      <c r="D82" s="103">
        <f>'Abstract A3'!C82</f>
        <v>467</v>
      </c>
      <c r="E82" s="104" t="str">
        <f>'[3]Building (2)'!D432</f>
        <v>Each</v>
      </c>
      <c r="F82" s="103">
        <f t="shared" si="6"/>
        <v>1868</v>
      </c>
      <c r="G82" s="106"/>
      <c r="H82" s="934"/>
    </row>
    <row r="83" spans="1:8" s="107" customFormat="1" ht="17.25">
      <c r="A83" s="100">
        <f>'[3]Building (2)'!A433</f>
        <v>75</v>
      </c>
      <c r="B83" s="104">
        <f>'[3]Building (2)'!I433</f>
        <v>0</v>
      </c>
      <c r="C83" s="102" t="str">
        <f>'[3]Building (2)'!B433</f>
        <v>Supply and delivery of Fan</v>
      </c>
      <c r="D83" s="103"/>
      <c r="E83" s="104"/>
      <c r="F83" s="103">
        <f t="shared" si="6"/>
        <v>0</v>
      </c>
      <c r="G83" s="106"/>
      <c r="H83" s="934"/>
    </row>
    <row r="84" spans="1:8" ht="15.75">
      <c r="A84" s="100"/>
      <c r="B84" s="104">
        <f>'[3]Building (2)'!I434</f>
        <v>4</v>
      </c>
      <c r="C84" s="102" t="str">
        <f>'[3]Building (2)'!B434</f>
        <v>a. 48" (1200 mm)</v>
      </c>
      <c r="D84" s="103">
        <f>'Abstract A3'!C84</f>
        <v>1185</v>
      </c>
      <c r="E84" s="104" t="str">
        <f>'[3]Building (2)'!D434</f>
        <v>Each</v>
      </c>
      <c r="F84" s="103">
        <f t="shared" si="6"/>
        <v>4740</v>
      </c>
      <c r="G84" s="106"/>
    </row>
    <row r="85" spans="1:8" s="107" customFormat="1" ht="27" customHeight="1">
      <c r="A85" s="100">
        <f>'[3]Building (2)'!A436</f>
        <v>76</v>
      </c>
      <c r="B85" s="104">
        <f>'Abstract A3'!I85</f>
        <v>7.5</v>
      </c>
      <c r="C85" s="102" t="str">
        <f>'[3]Building (2)'!B436</f>
        <v>8 SWG wire</v>
      </c>
      <c r="D85" s="103">
        <f>'Abstract A3'!C85</f>
        <v>21.6</v>
      </c>
      <c r="E85" s="104" t="str">
        <f>'[3]Building (2)'!D436</f>
        <v>Rmt</v>
      </c>
      <c r="F85" s="103">
        <f t="shared" si="6"/>
        <v>162</v>
      </c>
      <c r="G85" s="106"/>
      <c r="H85" s="934"/>
    </row>
    <row r="86" spans="1:8" s="107" customFormat="1" ht="31.5">
      <c r="A86" s="100">
        <f>'[3]Building (2)'!A438</f>
        <v>77.099999999999994</v>
      </c>
      <c r="B86" s="104">
        <f>'Abstract A3'!I86</f>
        <v>13.5</v>
      </c>
      <c r="C86" s="102" t="str">
        <f>'[3]Building (2)'!B438</f>
        <v>Run of 2 wires of 4 sqmm with continuous earth by means of 2.5sqmm</v>
      </c>
      <c r="D86" s="103">
        <f>'Abstract A3'!C86</f>
        <v>219</v>
      </c>
      <c r="E86" s="104" t="str">
        <f>'[3]Building (2)'!D438</f>
        <v>Rmt</v>
      </c>
      <c r="F86" s="103">
        <f t="shared" si="6"/>
        <v>2956.5</v>
      </c>
      <c r="G86" s="106"/>
      <c r="H86" s="934"/>
    </row>
    <row r="87" spans="1:8" s="107" customFormat="1" ht="27" customHeight="1">
      <c r="A87" s="100">
        <f>'[3]Building (2)'!A440</f>
        <v>77.3</v>
      </c>
      <c r="B87" s="104">
        <f>'Abstract A3'!I87</f>
        <v>2</v>
      </c>
      <c r="C87" s="102" t="str">
        <f>'[3]Building (2)'!B440</f>
        <v>S&amp;F of TV/Telephone line Socket</v>
      </c>
      <c r="D87" s="103">
        <f>'Abstract A3'!C87</f>
        <v>80</v>
      </c>
      <c r="E87" s="104" t="str">
        <f>'[3]Building (2)'!D440</f>
        <v>Each</v>
      </c>
      <c r="F87" s="103">
        <f t="shared" si="6"/>
        <v>160</v>
      </c>
      <c r="G87" s="106"/>
      <c r="H87" s="934"/>
    </row>
    <row r="88" spans="1:8" s="107" customFormat="1" ht="27" customHeight="1">
      <c r="A88" s="100">
        <f>'[3]Building (2)'!A442</f>
        <v>78</v>
      </c>
      <c r="B88" s="104">
        <f>'Abstract A3'!I88</f>
        <v>1</v>
      </c>
      <c r="C88" s="102" t="str">
        <f>'[3]Building (2)'!B442</f>
        <v>Earthing Station IS3043 (Type I)</v>
      </c>
      <c r="D88" s="103">
        <f>'Abstract A3'!C88</f>
        <v>2355</v>
      </c>
      <c r="E88" s="104" t="str">
        <f>'[3]Building (2)'!D442</f>
        <v>Each</v>
      </c>
      <c r="F88" s="103">
        <f t="shared" si="6"/>
        <v>2355</v>
      </c>
      <c r="G88" s="106"/>
      <c r="H88" s="934"/>
    </row>
    <row r="89" spans="1:8" ht="27" customHeight="1">
      <c r="A89" s="100">
        <f>'[3]Building (2)'!A447</f>
        <v>81</v>
      </c>
      <c r="B89" s="104">
        <f>'Abstract A3'!I73</f>
        <v>1</v>
      </c>
      <c r="C89" s="102" t="str">
        <f>'[3]Building (2)'!B447</f>
        <v>Meter cupboard</v>
      </c>
      <c r="D89" s="103">
        <f>'Abstract A3'!C73</f>
        <v>2292.0700000000002</v>
      </c>
      <c r="E89" s="104" t="str">
        <f>'[3]Building (2)'!D447</f>
        <v>Sqm</v>
      </c>
      <c r="F89" s="103">
        <f t="shared" si="6"/>
        <v>2292.0700000000002</v>
      </c>
      <c r="G89" s="106"/>
    </row>
    <row r="90" spans="1:8" ht="27" customHeight="1">
      <c r="A90" s="100">
        <f>'[3]Building (2)'!A452</f>
        <v>86</v>
      </c>
      <c r="B90" s="104">
        <f>'Abstract A3'!I89</f>
        <v>65.569999999999993</v>
      </c>
      <c r="C90" s="102" t="str">
        <f>'[3]Building (2)'!B452</f>
        <v>Anti termite treatment</v>
      </c>
      <c r="D90" s="103">
        <f>'Abstract A3'!C89</f>
        <v>33.9</v>
      </c>
      <c r="E90" s="104" t="str">
        <f>'[3]Building (2)'!D452</f>
        <v>Sqm.</v>
      </c>
      <c r="F90" s="103">
        <f t="shared" si="6"/>
        <v>2222.8229999999999</v>
      </c>
      <c r="G90" s="106"/>
    </row>
    <row r="91" spans="1:8" s="107" customFormat="1" ht="27.75" customHeight="1">
      <c r="A91" s="100"/>
      <c r="B91" s="101" t="str">
        <f>'[3]Building (2)'!I456</f>
        <v>*</v>
      </c>
      <c r="C91" s="102" t="str">
        <f>'[3]Building (2)'!B456</f>
        <v>ANNEXURE</v>
      </c>
      <c r="D91" s="103"/>
      <c r="E91" s="104"/>
      <c r="F91" s="103"/>
      <c r="G91" s="106"/>
      <c r="H91" s="934"/>
    </row>
    <row r="92" spans="1:8" s="730" customFormat="1" ht="27" customHeight="1">
      <c r="A92" s="725">
        <f>'[3]Building (2)'!A496</f>
        <v>4.0999999999999996</v>
      </c>
      <c r="B92" s="726" t="str">
        <f>'[3]Building (2)'!I496</f>
        <v>*</v>
      </c>
      <c r="C92" s="727" t="str">
        <f>'[3]Building (2)'!B496</f>
        <v>Standardised concrete Mix M20 Grade Concrete</v>
      </c>
      <c r="D92" s="728"/>
      <c r="E92" s="729"/>
      <c r="F92" s="728"/>
      <c r="G92" s="731"/>
      <c r="H92" s="935"/>
    </row>
    <row r="93" spans="1:8" s="730" customFormat="1" ht="27" customHeight="1">
      <c r="A93" s="725"/>
      <c r="B93" s="729">
        <f>'Abstract A3'!I92</f>
        <v>11.548387999999999</v>
      </c>
      <c r="C93" s="727" t="str">
        <f>'[3]Building (2)'!B497</f>
        <v>a. In Foundation and basement</v>
      </c>
      <c r="D93" s="728">
        <f>'Abstract A3'!C92</f>
        <v>7041.59</v>
      </c>
      <c r="E93" s="729" t="str">
        <f>'[3]Building (2)'!D497</f>
        <v>Cum</v>
      </c>
      <c r="F93" s="728">
        <f t="shared" ref="F93:F94" si="7">D93*B93</f>
        <v>81319.013456920002</v>
      </c>
      <c r="G93" s="731"/>
      <c r="H93" s="935"/>
    </row>
    <row r="94" spans="1:8" s="730" customFormat="1" ht="27" customHeight="1">
      <c r="A94" s="725">
        <f>'[3]Building (2)'!A498</f>
        <v>8.1</v>
      </c>
      <c r="B94" s="729">
        <f>'Abstract A3'!I93</f>
        <v>12.300082</v>
      </c>
      <c r="C94" s="727" t="str">
        <f>'[3]Building (2)'!B498</f>
        <v>b. Ground Floor</v>
      </c>
      <c r="D94" s="728">
        <f>'Abstract A3'!C93</f>
        <v>7140.48</v>
      </c>
      <c r="E94" s="729" t="str">
        <f>'[3]Building (2)'!D498</f>
        <v>Cum</v>
      </c>
      <c r="F94" s="728">
        <f t="shared" si="7"/>
        <v>87828.489519359995</v>
      </c>
      <c r="G94" s="731"/>
      <c r="H94" s="935"/>
    </row>
    <row r="95" spans="1:8" s="940" customFormat="1" ht="29.25" customHeight="1">
      <c r="A95" s="904">
        <f>'[3]Building (2)'!A581</f>
        <v>18.100000000000001</v>
      </c>
      <c r="B95" s="938" t="str">
        <f>'[3]Building (2)'!I581</f>
        <v>*</v>
      </c>
      <c r="C95" s="906" t="str">
        <f>'[3]Building (2)'!B581</f>
        <v>Formwork using M.S.Sheet</v>
      </c>
      <c r="D95" s="907"/>
      <c r="E95" s="905"/>
      <c r="F95" s="907"/>
      <c r="G95" s="909"/>
      <c r="H95" s="939"/>
    </row>
    <row r="96" spans="1:8" s="107" customFormat="1" ht="33" customHeight="1">
      <c r="A96" s="100"/>
      <c r="B96" s="104">
        <f>'Abstract A3'!I95</f>
        <v>55.503599999999999</v>
      </c>
      <c r="C96" s="102" t="str">
        <f>'[3]Building (2)'!B582</f>
        <v>a.For Column footings,plinth beam,Grade beam,Raftbeam,Raft slab etc.,</v>
      </c>
      <c r="D96" s="103">
        <f>'Abstract A3'!C95</f>
        <v>722.82</v>
      </c>
      <c r="E96" s="104" t="str">
        <f>'[3]Building (2)'!D582</f>
        <v>Sqm</v>
      </c>
      <c r="F96" s="103">
        <f t="shared" ref="F96" si="8">D96*B96</f>
        <v>40119.112152000002</v>
      </c>
      <c r="G96" s="106"/>
      <c r="H96" s="934"/>
    </row>
    <row r="97" spans="1:8" s="107" customFormat="1" ht="51.75" customHeight="1">
      <c r="A97" s="100"/>
      <c r="B97" s="104">
        <f>'Abstract A3'!I96</f>
        <v>93.151199999999989</v>
      </c>
      <c r="C97" s="102" t="str">
        <f>'[3]Building (2)'!B583</f>
        <v>b.Plain surfaces such as Roof slab,floorslab,Beams,lintels,lofts,sill slab,staircase,portico slab and other similar works</v>
      </c>
      <c r="D97" s="103">
        <f>'Abstract A3'!C96</f>
        <v>813.94</v>
      </c>
      <c r="E97" s="104" t="str">
        <f>'[3]Building (2)'!D583</f>
        <v>Sqm</v>
      </c>
      <c r="F97" s="103">
        <f t="shared" ref="F97:F100" si="9">D97*B97</f>
        <v>75819.487727999993</v>
      </c>
      <c r="G97" s="106"/>
      <c r="H97" s="934"/>
    </row>
    <row r="98" spans="1:8" s="107" customFormat="1" ht="53.25" customHeight="1">
      <c r="A98" s="100"/>
      <c r="B98" s="104">
        <f>'Abstract A3'!I97</f>
        <v>37.550800000000002</v>
      </c>
      <c r="C98" s="102" t="str">
        <f>'[3]Building (2)'!B584</f>
        <v>c.For Square and rectangular columns and small quantities</v>
      </c>
      <c r="D98" s="103">
        <f>'Abstract A3'!C97</f>
        <v>976.73</v>
      </c>
      <c r="E98" s="104" t="str">
        <f>'[3]Building (2)'!D584</f>
        <v>Sqm</v>
      </c>
      <c r="F98" s="103">
        <f t="shared" si="9"/>
        <v>36676.992884000007</v>
      </c>
      <c r="G98" s="106"/>
      <c r="H98" s="934"/>
    </row>
    <row r="99" spans="1:8" ht="38.25" customHeight="1">
      <c r="A99" s="100" t="str">
        <f>'[3]Building (2)'!A626</f>
        <v>21.5.2</v>
      </c>
      <c r="B99" s="104">
        <f>'Abstract A3'!I98</f>
        <v>3.2</v>
      </c>
      <c r="C99" s="102" t="str">
        <f>'[3]Building (2)'!B626</f>
        <v>Supply and Fixing Soild UPVC door Shutter with frame</v>
      </c>
      <c r="D99" s="103">
        <f>'Abstract A3'!C98</f>
        <v>2828</v>
      </c>
      <c r="E99" s="104" t="str">
        <f>'[3]Building (2)'!D626</f>
        <v>Sqm</v>
      </c>
      <c r="F99" s="103">
        <f t="shared" si="9"/>
        <v>9049.6</v>
      </c>
      <c r="G99" s="106"/>
    </row>
    <row r="100" spans="1:8" s="107" customFormat="1" ht="36.75" customHeight="1">
      <c r="A100" s="100" t="str">
        <f>'[3]Building (2)'!A627</f>
        <v>23.2.1</v>
      </c>
      <c r="B100" s="104">
        <f>'Abstract A3'!I99</f>
        <v>10.600000000000001</v>
      </c>
      <c r="C100" s="102" t="str">
        <f>'[3]Building (2)'!B627</f>
        <v>4mm thick pin headed Glass panels with Aluminium beedings</v>
      </c>
      <c r="D100" s="103">
        <f>'Abstract A3'!C99</f>
        <v>704.8</v>
      </c>
      <c r="E100" s="104" t="str">
        <f>'[3]Building (2)'!D627</f>
        <v>Sqm</v>
      </c>
      <c r="F100" s="103">
        <f t="shared" si="9"/>
        <v>7470.88</v>
      </c>
      <c r="G100" s="106"/>
      <c r="H100" s="934"/>
    </row>
    <row r="101" spans="1:8" s="735" customFormat="1" ht="33" customHeight="1">
      <c r="A101" s="725"/>
      <c r="B101" s="729">
        <f>'Abstract A3'!I101</f>
        <v>36</v>
      </c>
      <c r="C101" s="727" t="str">
        <f>'[3]Building (2)'!B685</f>
        <v>Run of 2 Wires of 2.5 sqmm PVC insulated single core multi strand fire retardant flexible copper cable with ISI mark confirming IS: 694:1990.</v>
      </c>
      <c r="D101" s="728">
        <f>'Abstract A3'!C101</f>
        <v>187</v>
      </c>
      <c r="E101" s="729" t="str">
        <f>'[3]Building (2)'!D685</f>
        <v>Rmt</v>
      </c>
      <c r="F101" s="728">
        <f t="shared" ref="F101:F105" si="10">D101*B101</f>
        <v>6732</v>
      </c>
      <c r="G101" s="731"/>
      <c r="H101" s="936"/>
    </row>
    <row r="102" spans="1:8" s="735" customFormat="1" ht="33" customHeight="1">
      <c r="A102" s="725"/>
      <c r="B102" s="729">
        <f>'Abstract A3'!I111</f>
        <v>4</v>
      </c>
      <c r="C102" s="727" t="str">
        <f>'Abstract A3'!B111</f>
        <v>9 watts  LED bulb  CER No:41 2019/20</v>
      </c>
      <c r="D102" s="728">
        <f>'Abstract A3'!C111</f>
        <v>81</v>
      </c>
      <c r="E102" s="729" t="str">
        <f>E104</f>
        <v>Each</v>
      </c>
      <c r="F102" s="728">
        <f t="shared" si="10"/>
        <v>324</v>
      </c>
      <c r="G102" s="731"/>
      <c r="H102" s="936"/>
    </row>
    <row r="103" spans="1:8" s="735" customFormat="1" ht="33" customHeight="1">
      <c r="A103" s="725"/>
      <c r="B103" s="729">
        <f>'Abstract A3'!I112</f>
        <v>8</v>
      </c>
      <c r="C103" s="727" t="str">
        <f>'Abstract A3'!B112</f>
        <v>18 watts  LED  Tube Light  CER No:41 2019/20</v>
      </c>
      <c r="D103" s="728">
        <f>'Abstract A3'!C112</f>
        <v>600</v>
      </c>
      <c r="E103" s="729" t="str">
        <f>E102</f>
        <v>Each</v>
      </c>
      <c r="F103" s="728">
        <f t="shared" si="10"/>
        <v>4800</v>
      </c>
      <c r="G103" s="731"/>
      <c r="H103" s="936"/>
    </row>
    <row r="104" spans="1:8" s="107" customFormat="1" ht="17.25">
      <c r="A104" s="100">
        <f>'[3]Building (2)'!A689</f>
        <v>112.1</v>
      </c>
      <c r="B104" s="104">
        <f>'Abstract A3'!I102</f>
        <v>2</v>
      </c>
      <c r="C104" s="102" t="str">
        <f>'[3]Building (2)'!B689</f>
        <v>S &amp; F of Exsaust Fan 225mm dia</v>
      </c>
      <c r="D104" s="103">
        <f>'Abstract A3'!C102</f>
        <v>1770</v>
      </c>
      <c r="E104" s="104" t="str">
        <f>'[3]Building (2)'!D689</f>
        <v>Each</v>
      </c>
      <c r="F104" s="103">
        <f t="shared" si="10"/>
        <v>3540</v>
      </c>
      <c r="G104" s="106"/>
      <c r="H104" s="934"/>
    </row>
    <row r="105" spans="1:8" ht="30" customHeight="1">
      <c r="A105" s="100">
        <f>'[3]Building (2)'!A698</f>
        <v>344.2</v>
      </c>
      <c r="B105" s="104">
        <f>'Abstract A3'!I103</f>
        <v>2</v>
      </c>
      <c r="C105" s="102" t="str">
        <f>'[3]Building (2)'!B698</f>
        <v>S&amp;F of Bevelled edge mirror 500 x 400 x 5.5mm</v>
      </c>
      <c r="D105" s="103">
        <f>'Abstract A3'!C103</f>
        <v>375.7</v>
      </c>
      <c r="E105" s="104" t="str">
        <f>'[3]Building (2)'!D698</f>
        <v>Each</v>
      </c>
      <c r="F105" s="103">
        <f t="shared" si="10"/>
        <v>751.4</v>
      </c>
      <c r="G105" s="106"/>
    </row>
    <row r="106" spans="1:8" s="107" customFormat="1" ht="33" customHeight="1">
      <c r="A106" s="100"/>
      <c r="B106" s="104">
        <f>'Abstract A3'!I104</f>
        <v>170.70459999999997</v>
      </c>
      <c r="C106" s="102" t="str">
        <f>'[3]Building (2)'!B711</f>
        <v>Plastic Emulsion PAINT including primer for outer walls</v>
      </c>
      <c r="D106" s="103">
        <f>'Abstract A3'!C104</f>
        <v>203.84</v>
      </c>
      <c r="E106" s="104" t="str">
        <f>'[3]Building (2)'!D711</f>
        <v>Sqm</v>
      </c>
      <c r="F106" s="103">
        <f t="shared" ref="F106:F111" si="11">D106*B106</f>
        <v>34796.425663999995</v>
      </c>
      <c r="G106" s="106"/>
      <c r="H106" s="934"/>
    </row>
    <row r="107" spans="1:8" s="730" customFormat="1" ht="33" customHeight="1">
      <c r="A107" s="725" t="str">
        <f>'[3]Building (2)'!A712</f>
        <v>38.4.1</v>
      </c>
      <c r="B107" s="729">
        <f>'Abstract A3'!I105</f>
        <v>278.70379999999989</v>
      </c>
      <c r="C107" s="727" t="str">
        <f>'[3]Building (2)'!B712</f>
        <v xml:space="preserve">Two coat of OBD over one coat white cement for inner walls </v>
      </c>
      <c r="D107" s="728">
        <f>'Abstract A3'!C105</f>
        <v>107.65</v>
      </c>
      <c r="E107" s="729" t="str">
        <f>'[3]Building (2)'!D712</f>
        <v>Sqm</v>
      </c>
      <c r="F107" s="728">
        <f t="shared" si="11"/>
        <v>30002.464069999991</v>
      </c>
      <c r="G107" s="731"/>
      <c r="H107" s="935"/>
    </row>
    <row r="108" spans="1:8" s="730" customFormat="1" ht="31.5">
      <c r="A108" s="725"/>
      <c r="B108" s="729">
        <f>'Abstract A3'!I106</f>
        <v>7.0975000000000001</v>
      </c>
      <c r="C108" s="727" t="str">
        <f>'[3]Building (2)'!B718</f>
        <v>Providing wooden Melamine polish for new wood work</v>
      </c>
      <c r="D108" s="728">
        <f>'Abstract A3'!C106</f>
        <v>1283.5899999999999</v>
      </c>
      <c r="E108" s="729" t="str">
        <f>'[3]Building (2)'!D718</f>
        <v>Sqm</v>
      </c>
      <c r="F108" s="728">
        <f t="shared" si="11"/>
        <v>9110.280025</v>
      </c>
      <c r="G108" s="731"/>
      <c r="H108" s="935"/>
    </row>
    <row r="109" spans="1:8" s="107" customFormat="1" ht="17.25">
      <c r="A109" s="100"/>
      <c r="B109" s="104">
        <f>'Abstract A3'!I107</f>
        <v>86.295999999999992</v>
      </c>
      <c r="C109" s="102" t="str">
        <f>'[3]Building (2)'!B720</f>
        <v>Vitrified Tiles flooring (Ivory)</v>
      </c>
      <c r="D109" s="103">
        <f>'Abstract A3'!C107</f>
        <v>1137.45</v>
      </c>
      <c r="E109" s="104" t="str">
        <f>'[3]Building (2)'!D720</f>
        <v>Sqm</v>
      </c>
      <c r="F109" s="103">
        <f t="shared" si="11"/>
        <v>98157.38519999999</v>
      </c>
      <c r="G109" s="106"/>
      <c r="H109" s="934"/>
    </row>
    <row r="110" spans="1:8" s="107" customFormat="1" ht="17.25">
      <c r="A110" s="100"/>
      <c r="B110" s="104">
        <f>'Abstract A3'!I108</f>
        <v>4.0999999999999996</v>
      </c>
      <c r="C110" s="102" t="str">
        <f>'[3]Building (2)'!B723</f>
        <v xml:space="preserve">Eurocon Tiles flooring </v>
      </c>
      <c r="D110" s="103">
        <f>'Abstract A3'!C108</f>
        <v>1313.29</v>
      </c>
      <c r="E110" s="104" t="str">
        <f>'[3]Building (2)'!D723</f>
        <v>Sqm</v>
      </c>
      <c r="F110" s="103">
        <f t="shared" si="11"/>
        <v>5384.4889999999996</v>
      </c>
      <c r="G110" s="106"/>
      <c r="H110" s="934"/>
    </row>
    <row r="111" spans="1:8" s="107" customFormat="1" ht="79.5" customHeight="1">
      <c r="A111" s="100"/>
      <c r="B111" s="104">
        <f>'Abstract A3'!I113</f>
        <v>18</v>
      </c>
      <c r="C111" s="102" t="str">
        <f>'Abstract A3'!B113</f>
        <v>Service connection accessories L.T 1100V PVC aluminium armoured under ground cable with ISI mark                                                                            a) 2.0 core 10 sqmm LTUG cable (As per SD 182 P.83 of Elect SR 2020 - 2021 )</v>
      </c>
      <c r="D111" s="103">
        <f>'Abstract A3'!C113</f>
        <v>224</v>
      </c>
      <c r="E111" s="104" t="str">
        <f>E113</f>
        <v>Rmt</v>
      </c>
      <c r="F111" s="103">
        <f t="shared" si="11"/>
        <v>4032</v>
      </c>
      <c r="G111" s="106"/>
      <c r="H111" s="934"/>
    </row>
    <row r="112" spans="1:8" s="107" customFormat="1" ht="30.75" customHeight="1">
      <c r="A112" s="100"/>
      <c r="B112" s="101" t="str">
        <f>'[3]Building (2)'!I838</f>
        <v>*</v>
      </c>
      <c r="C112" s="102" t="str">
        <f>'[3]Building (2)'!B838</f>
        <v>UPVC Non Pressure  pipe of SN8 SDR 34( S 16.5) as per IS 15328/2003</v>
      </c>
      <c r="D112" s="103"/>
      <c r="E112" s="104"/>
      <c r="F112" s="103"/>
      <c r="G112" s="106"/>
      <c r="H112" s="934"/>
    </row>
    <row r="113" spans="1:8" s="107" customFormat="1" ht="17.25">
      <c r="A113" s="100"/>
      <c r="B113" s="104">
        <f>'Abstract A3'!I110</f>
        <v>19</v>
      </c>
      <c r="C113" s="102" t="str">
        <f>'[3]Building (2)'!B839</f>
        <v>a. 110 mm UPVC Non Pressure  pipe</v>
      </c>
      <c r="D113" s="103">
        <f>'Abstract A3'!C110</f>
        <v>345.37</v>
      </c>
      <c r="E113" s="104" t="str">
        <f>'[3]Building (2)'!D839</f>
        <v>Rmt</v>
      </c>
      <c r="F113" s="103">
        <f t="shared" ref="F113" si="12">D113*B113</f>
        <v>6562.03</v>
      </c>
      <c r="G113" s="106"/>
      <c r="H113" s="934"/>
    </row>
    <row r="114" spans="1:8" ht="33" customHeight="1">
      <c r="A114" s="100"/>
      <c r="B114" s="101" t="str">
        <f>'[3]Building (2)'!I919</f>
        <v>*</v>
      </c>
      <c r="C114" s="102" t="str">
        <f>'[3]Building (2)'!B919</f>
        <v>Total</v>
      </c>
      <c r="D114" s="103"/>
      <c r="E114" s="104"/>
      <c r="F114" s="103"/>
      <c r="G114" s="106"/>
    </row>
    <row r="115" spans="1:8" ht="21.75" customHeight="1">
      <c r="A115" s="100"/>
      <c r="B115" s="101" t="str">
        <f>'[3]Building (2)'!I919</f>
        <v>*</v>
      </c>
      <c r="C115" s="109" t="s">
        <v>303</v>
      </c>
      <c r="D115" s="103">
        <f>'[3]Building (2)'!C919</f>
        <v>0</v>
      </c>
      <c r="E115" s="104"/>
      <c r="F115" s="110">
        <f>SUM(F6:F114)</f>
        <v>1505572.0998047383</v>
      </c>
      <c r="G115" s="106"/>
      <c r="H115" s="933">
        <f>F115-'Abstract A3'!J114</f>
        <v>0</v>
      </c>
    </row>
  </sheetData>
  <autoFilter ref="A4:F115"/>
  <mergeCells count="7">
    <mergeCell ref="L3:M3"/>
    <mergeCell ref="N3:O3"/>
    <mergeCell ref="P3:Q3"/>
    <mergeCell ref="A2:F2"/>
    <mergeCell ref="A1:F1"/>
    <mergeCell ref="H3:I3"/>
    <mergeCell ref="J3:K3"/>
  </mergeCells>
  <printOptions horizontalCentered="1"/>
  <pageMargins left="0.86614173228346458" right="0.47244094488188981" top="0.78740157480314965" bottom="0.51181102362204722" header="0.31496062992125984" footer="0.31496062992125984"/>
  <pageSetup paperSize="9" scale="78" orientation="portrait" r:id="rId1"/>
  <headerFooter>
    <oddHeader>&amp;C&amp;"-,Regular"&amp;8 &amp;R&amp;P</oddHeader>
  </headerFooter>
</worksheet>
</file>

<file path=xl/worksheets/sheet3.xml><?xml version="1.0" encoding="utf-8"?>
<worksheet xmlns="http://schemas.openxmlformats.org/spreadsheetml/2006/main" xmlns:r="http://schemas.openxmlformats.org/officeDocument/2006/relationships">
  <sheetPr>
    <tabColor rgb="FF00B050"/>
  </sheetPr>
  <dimension ref="A1:T253"/>
  <sheetViews>
    <sheetView showZeros="0" view="pageBreakPreview" zoomScale="70" zoomScaleNormal="40" zoomScaleSheetLayoutView="70" workbookViewId="0">
      <pane xSplit="4" ySplit="2" topLeftCell="H101" activePane="bottomRight" state="frozen"/>
      <selection pane="topRight" activeCell="E1" sqref="E1"/>
      <selection pane="bottomLeft" activeCell="A3" sqref="A3"/>
      <selection pane="bottomRight" activeCell="I100" sqref="I100"/>
    </sheetView>
  </sheetViews>
  <sheetFormatPr defaultRowHeight="26.25"/>
  <cols>
    <col min="1" max="1" width="12.85546875" style="114" customWidth="1"/>
    <col min="2" max="2" width="82.85546875" style="114" customWidth="1"/>
    <col min="3" max="3" width="24.140625" style="151" customWidth="1"/>
    <col min="4" max="4" width="14.140625" style="115" customWidth="1"/>
    <col min="5" max="5" width="22.85546875" style="151" customWidth="1"/>
    <col min="6" max="6" width="29.7109375" style="151" customWidth="1"/>
    <col min="7" max="7" width="26.5703125" style="689" customWidth="1"/>
    <col min="8" max="8" width="26.85546875" style="113" customWidth="1"/>
    <col min="9" max="9" width="23.28515625" style="752" bestFit="1" customWidth="1"/>
    <col min="10" max="10" width="33" style="113" customWidth="1"/>
    <col min="11" max="11" width="28.5703125" style="113" bestFit="1" customWidth="1"/>
    <col min="12" max="12" width="27.140625" style="113" bestFit="1" customWidth="1"/>
    <col min="13" max="13" width="20.42578125" style="114" bestFit="1" customWidth="1"/>
    <col min="14" max="14" width="9.140625" style="114"/>
    <col min="15" max="15" width="17.28515625" style="114" bestFit="1" customWidth="1"/>
    <col min="16" max="16" width="9.140625" style="114"/>
    <col min="17" max="17" width="15.140625" style="114" bestFit="1" customWidth="1"/>
    <col min="18" max="19" width="9.140625" style="114"/>
    <col min="20" max="20" width="15" style="114" bestFit="1" customWidth="1"/>
    <col min="21" max="256" width="9.140625" style="114"/>
    <col min="257" max="257" width="12.85546875" style="114" customWidth="1"/>
    <col min="258" max="258" width="82.85546875" style="114" customWidth="1"/>
    <col min="259" max="259" width="24.140625" style="114" customWidth="1"/>
    <col min="260" max="260" width="14.140625" style="114" customWidth="1"/>
    <col min="261" max="261" width="22.85546875" style="114" customWidth="1"/>
    <col min="262" max="262" width="29.7109375" style="114" customWidth="1"/>
    <col min="263" max="263" width="26.5703125" style="114" customWidth="1"/>
    <col min="264" max="264" width="26.85546875" style="114" customWidth="1"/>
    <col min="265" max="265" width="23.28515625" style="114" bestFit="1" customWidth="1"/>
    <col min="266" max="266" width="33" style="114" customWidth="1"/>
    <col min="267" max="267" width="28.5703125" style="114" bestFit="1" customWidth="1"/>
    <col min="268" max="268" width="27.140625" style="114" bestFit="1" customWidth="1"/>
    <col min="269" max="269" width="20.42578125" style="114" bestFit="1" customWidth="1"/>
    <col min="270" max="270" width="9.140625" style="114"/>
    <col min="271" max="271" width="17.28515625" style="114" bestFit="1" customWidth="1"/>
    <col min="272" max="272" width="9.140625" style="114"/>
    <col min="273" max="273" width="15.140625" style="114" bestFit="1" customWidth="1"/>
    <col min="274" max="275" width="9.140625" style="114"/>
    <col min="276" max="276" width="15" style="114" bestFit="1" customWidth="1"/>
    <col min="277" max="512" width="9.140625" style="114"/>
    <col min="513" max="513" width="12.85546875" style="114" customWidth="1"/>
    <col min="514" max="514" width="82.85546875" style="114" customWidth="1"/>
    <col min="515" max="515" width="24.140625" style="114" customWidth="1"/>
    <col min="516" max="516" width="14.140625" style="114" customWidth="1"/>
    <col min="517" max="517" width="22.85546875" style="114" customWidth="1"/>
    <col min="518" max="518" width="29.7109375" style="114" customWidth="1"/>
    <col min="519" max="519" width="26.5703125" style="114" customWidth="1"/>
    <col min="520" max="520" width="26.85546875" style="114" customWidth="1"/>
    <col min="521" max="521" width="23.28515625" style="114" bestFit="1" customWidth="1"/>
    <col min="522" max="522" width="33" style="114" customWidth="1"/>
    <col min="523" max="523" width="28.5703125" style="114" bestFit="1" customWidth="1"/>
    <col min="524" max="524" width="27.140625" style="114" bestFit="1" customWidth="1"/>
    <col min="525" max="525" width="20.42578125" style="114" bestFit="1" customWidth="1"/>
    <col min="526" max="526" width="9.140625" style="114"/>
    <col min="527" max="527" width="17.28515625" style="114" bestFit="1" customWidth="1"/>
    <col min="528" max="528" width="9.140625" style="114"/>
    <col min="529" max="529" width="15.140625" style="114" bestFit="1" customWidth="1"/>
    <col min="530" max="531" width="9.140625" style="114"/>
    <col min="532" max="532" width="15" style="114" bestFit="1" customWidth="1"/>
    <col min="533" max="768" width="9.140625" style="114"/>
    <col min="769" max="769" width="12.85546875" style="114" customWidth="1"/>
    <col min="770" max="770" width="82.85546875" style="114" customWidth="1"/>
    <col min="771" max="771" width="24.140625" style="114" customWidth="1"/>
    <col min="772" max="772" width="14.140625" style="114" customWidth="1"/>
    <col min="773" max="773" width="22.85546875" style="114" customWidth="1"/>
    <col min="774" max="774" width="29.7109375" style="114" customWidth="1"/>
    <col min="775" max="775" width="26.5703125" style="114" customWidth="1"/>
    <col min="776" max="776" width="26.85546875" style="114" customWidth="1"/>
    <col min="777" max="777" width="23.28515625" style="114" bestFit="1" customWidth="1"/>
    <col min="778" max="778" width="33" style="114" customWidth="1"/>
    <col min="779" max="779" width="28.5703125" style="114" bestFit="1" customWidth="1"/>
    <col min="780" max="780" width="27.140625" style="114" bestFit="1" customWidth="1"/>
    <col min="781" max="781" width="20.42578125" style="114" bestFit="1" customWidth="1"/>
    <col min="782" max="782" width="9.140625" style="114"/>
    <col min="783" max="783" width="17.28515625" style="114" bestFit="1" customWidth="1"/>
    <col min="784" max="784" width="9.140625" style="114"/>
    <col min="785" max="785" width="15.140625" style="114" bestFit="1" customWidth="1"/>
    <col min="786" max="787" width="9.140625" style="114"/>
    <col min="788" max="788" width="15" style="114" bestFit="1" customWidth="1"/>
    <col min="789" max="1024" width="9.140625" style="114"/>
    <col min="1025" max="1025" width="12.85546875" style="114" customWidth="1"/>
    <col min="1026" max="1026" width="82.85546875" style="114" customWidth="1"/>
    <col min="1027" max="1027" width="24.140625" style="114" customWidth="1"/>
    <col min="1028" max="1028" width="14.140625" style="114" customWidth="1"/>
    <col min="1029" max="1029" width="22.85546875" style="114" customWidth="1"/>
    <col min="1030" max="1030" width="29.7109375" style="114" customWidth="1"/>
    <col min="1031" max="1031" width="26.5703125" style="114" customWidth="1"/>
    <col min="1032" max="1032" width="26.85546875" style="114" customWidth="1"/>
    <col min="1033" max="1033" width="23.28515625" style="114" bestFit="1" customWidth="1"/>
    <col min="1034" max="1034" width="33" style="114" customWidth="1"/>
    <col min="1035" max="1035" width="28.5703125" style="114" bestFit="1" customWidth="1"/>
    <col min="1036" max="1036" width="27.140625" style="114" bestFit="1" customWidth="1"/>
    <col min="1037" max="1037" width="20.42578125" style="114" bestFit="1" customWidth="1"/>
    <col min="1038" max="1038" width="9.140625" style="114"/>
    <col min="1039" max="1039" width="17.28515625" style="114" bestFit="1" customWidth="1"/>
    <col min="1040" max="1040" width="9.140625" style="114"/>
    <col min="1041" max="1041" width="15.140625" style="114" bestFit="1" customWidth="1"/>
    <col min="1042" max="1043" width="9.140625" style="114"/>
    <col min="1044" max="1044" width="15" style="114" bestFit="1" customWidth="1"/>
    <col min="1045" max="1280" width="9.140625" style="114"/>
    <col min="1281" max="1281" width="12.85546875" style="114" customWidth="1"/>
    <col min="1282" max="1282" width="82.85546875" style="114" customWidth="1"/>
    <col min="1283" max="1283" width="24.140625" style="114" customWidth="1"/>
    <col min="1284" max="1284" width="14.140625" style="114" customWidth="1"/>
    <col min="1285" max="1285" width="22.85546875" style="114" customWidth="1"/>
    <col min="1286" max="1286" width="29.7109375" style="114" customWidth="1"/>
    <col min="1287" max="1287" width="26.5703125" style="114" customWidth="1"/>
    <col min="1288" max="1288" width="26.85546875" style="114" customWidth="1"/>
    <col min="1289" max="1289" width="23.28515625" style="114" bestFit="1" customWidth="1"/>
    <col min="1290" max="1290" width="33" style="114" customWidth="1"/>
    <col min="1291" max="1291" width="28.5703125" style="114" bestFit="1" customWidth="1"/>
    <col min="1292" max="1292" width="27.140625" style="114" bestFit="1" customWidth="1"/>
    <col min="1293" max="1293" width="20.42578125" style="114" bestFit="1" customWidth="1"/>
    <col min="1294" max="1294" width="9.140625" style="114"/>
    <col min="1295" max="1295" width="17.28515625" style="114" bestFit="1" customWidth="1"/>
    <col min="1296" max="1296" width="9.140625" style="114"/>
    <col min="1297" max="1297" width="15.140625" style="114" bestFit="1" customWidth="1"/>
    <col min="1298" max="1299" width="9.140625" style="114"/>
    <col min="1300" max="1300" width="15" style="114" bestFit="1" customWidth="1"/>
    <col min="1301" max="1536" width="9.140625" style="114"/>
    <col min="1537" max="1537" width="12.85546875" style="114" customWidth="1"/>
    <col min="1538" max="1538" width="82.85546875" style="114" customWidth="1"/>
    <col min="1539" max="1539" width="24.140625" style="114" customWidth="1"/>
    <col min="1540" max="1540" width="14.140625" style="114" customWidth="1"/>
    <col min="1541" max="1541" width="22.85546875" style="114" customWidth="1"/>
    <col min="1542" max="1542" width="29.7109375" style="114" customWidth="1"/>
    <col min="1543" max="1543" width="26.5703125" style="114" customWidth="1"/>
    <col min="1544" max="1544" width="26.85546875" style="114" customWidth="1"/>
    <col min="1545" max="1545" width="23.28515625" style="114" bestFit="1" customWidth="1"/>
    <col min="1546" max="1546" width="33" style="114" customWidth="1"/>
    <col min="1547" max="1547" width="28.5703125" style="114" bestFit="1" customWidth="1"/>
    <col min="1548" max="1548" width="27.140625" style="114" bestFit="1" customWidth="1"/>
    <col min="1549" max="1549" width="20.42578125" style="114" bestFit="1" customWidth="1"/>
    <col min="1550" max="1550" width="9.140625" style="114"/>
    <col min="1551" max="1551" width="17.28515625" style="114" bestFit="1" customWidth="1"/>
    <col min="1552" max="1552" width="9.140625" style="114"/>
    <col min="1553" max="1553" width="15.140625" style="114" bestFit="1" customWidth="1"/>
    <col min="1554" max="1555" width="9.140625" style="114"/>
    <col min="1556" max="1556" width="15" style="114" bestFit="1" customWidth="1"/>
    <col min="1557" max="1792" width="9.140625" style="114"/>
    <col min="1793" max="1793" width="12.85546875" style="114" customWidth="1"/>
    <col min="1794" max="1794" width="82.85546875" style="114" customWidth="1"/>
    <col min="1795" max="1795" width="24.140625" style="114" customWidth="1"/>
    <col min="1796" max="1796" width="14.140625" style="114" customWidth="1"/>
    <col min="1797" max="1797" width="22.85546875" style="114" customWidth="1"/>
    <col min="1798" max="1798" width="29.7109375" style="114" customWidth="1"/>
    <col min="1799" max="1799" width="26.5703125" style="114" customWidth="1"/>
    <col min="1800" max="1800" width="26.85546875" style="114" customWidth="1"/>
    <col min="1801" max="1801" width="23.28515625" style="114" bestFit="1" customWidth="1"/>
    <col min="1802" max="1802" width="33" style="114" customWidth="1"/>
    <col min="1803" max="1803" width="28.5703125" style="114" bestFit="1" customWidth="1"/>
    <col min="1804" max="1804" width="27.140625" style="114" bestFit="1" customWidth="1"/>
    <col min="1805" max="1805" width="20.42578125" style="114" bestFit="1" customWidth="1"/>
    <col min="1806" max="1806" width="9.140625" style="114"/>
    <col min="1807" max="1807" width="17.28515625" style="114" bestFit="1" customWidth="1"/>
    <col min="1808" max="1808" width="9.140625" style="114"/>
    <col min="1809" max="1809" width="15.140625" style="114" bestFit="1" customWidth="1"/>
    <col min="1810" max="1811" width="9.140625" style="114"/>
    <col min="1812" max="1812" width="15" style="114" bestFit="1" customWidth="1"/>
    <col min="1813" max="2048" width="9.140625" style="114"/>
    <col min="2049" max="2049" width="12.85546875" style="114" customWidth="1"/>
    <col min="2050" max="2050" width="82.85546875" style="114" customWidth="1"/>
    <col min="2051" max="2051" width="24.140625" style="114" customWidth="1"/>
    <col min="2052" max="2052" width="14.140625" style="114" customWidth="1"/>
    <col min="2053" max="2053" width="22.85546875" style="114" customWidth="1"/>
    <col min="2054" max="2054" width="29.7109375" style="114" customWidth="1"/>
    <col min="2055" max="2055" width="26.5703125" style="114" customWidth="1"/>
    <col min="2056" max="2056" width="26.85546875" style="114" customWidth="1"/>
    <col min="2057" max="2057" width="23.28515625" style="114" bestFit="1" customWidth="1"/>
    <col min="2058" max="2058" width="33" style="114" customWidth="1"/>
    <col min="2059" max="2059" width="28.5703125" style="114" bestFit="1" customWidth="1"/>
    <col min="2060" max="2060" width="27.140625" style="114" bestFit="1" customWidth="1"/>
    <col min="2061" max="2061" width="20.42578125" style="114" bestFit="1" customWidth="1"/>
    <col min="2062" max="2062" width="9.140625" style="114"/>
    <col min="2063" max="2063" width="17.28515625" style="114" bestFit="1" customWidth="1"/>
    <col min="2064" max="2064" width="9.140625" style="114"/>
    <col min="2065" max="2065" width="15.140625" style="114" bestFit="1" customWidth="1"/>
    <col min="2066" max="2067" width="9.140625" style="114"/>
    <col min="2068" max="2068" width="15" style="114" bestFit="1" customWidth="1"/>
    <col min="2069" max="2304" width="9.140625" style="114"/>
    <col min="2305" max="2305" width="12.85546875" style="114" customWidth="1"/>
    <col min="2306" max="2306" width="82.85546875" style="114" customWidth="1"/>
    <col min="2307" max="2307" width="24.140625" style="114" customWidth="1"/>
    <col min="2308" max="2308" width="14.140625" style="114" customWidth="1"/>
    <col min="2309" max="2309" width="22.85546875" style="114" customWidth="1"/>
    <col min="2310" max="2310" width="29.7109375" style="114" customWidth="1"/>
    <col min="2311" max="2311" width="26.5703125" style="114" customWidth="1"/>
    <col min="2312" max="2312" width="26.85546875" style="114" customWidth="1"/>
    <col min="2313" max="2313" width="23.28515625" style="114" bestFit="1" customWidth="1"/>
    <col min="2314" max="2314" width="33" style="114" customWidth="1"/>
    <col min="2315" max="2315" width="28.5703125" style="114" bestFit="1" customWidth="1"/>
    <col min="2316" max="2316" width="27.140625" style="114" bestFit="1" customWidth="1"/>
    <col min="2317" max="2317" width="20.42578125" style="114" bestFit="1" customWidth="1"/>
    <col min="2318" max="2318" width="9.140625" style="114"/>
    <col min="2319" max="2319" width="17.28515625" style="114" bestFit="1" customWidth="1"/>
    <col min="2320" max="2320" width="9.140625" style="114"/>
    <col min="2321" max="2321" width="15.140625" style="114" bestFit="1" customWidth="1"/>
    <col min="2322" max="2323" width="9.140625" style="114"/>
    <col min="2324" max="2324" width="15" style="114" bestFit="1" customWidth="1"/>
    <col min="2325" max="2560" width="9.140625" style="114"/>
    <col min="2561" max="2561" width="12.85546875" style="114" customWidth="1"/>
    <col min="2562" max="2562" width="82.85546875" style="114" customWidth="1"/>
    <col min="2563" max="2563" width="24.140625" style="114" customWidth="1"/>
    <col min="2564" max="2564" width="14.140625" style="114" customWidth="1"/>
    <col min="2565" max="2565" width="22.85546875" style="114" customWidth="1"/>
    <col min="2566" max="2566" width="29.7109375" style="114" customWidth="1"/>
    <col min="2567" max="2567" width="26.5703125" style="114" customWidth="1"/>
    <col min="2568" max="2568" width="26.85546875" style="114" customWidth="1"/>
    <col min="2569" max="2569" width="23.28515625" style="114" bestFit="1" customWidth="1"/>
    <col min="2570" max="2570" width="33" style="114" customWidth="1"/>
    <col min="2571" max="2571" width="28.5703125" style="114" bestFit="1" customWidth="1"/>
    <col min="2572" max="2572" width="27.140625" style="114" bestFit="1" customWidth="1"/>
    <col min="2573" max="2573" width="20.42578125" style="114" bestFit="1" customWidth="1"/>
    <col min="2574" max="2574" width="9.140625" style="114"/>
    <col min="2575" max="2575" width="17.28515625" style="114" bestFit="1" customWidth="1"/>
    <col min="2576" max="2576" width="9.140625" style="114"/>
    <col min="2577" max="2577" width="15.140625" style="114" bestFit="1" customWidth="1"/>
    <col min="2578" max="2579" width="9.140625" style="114"/>
    <col min="2580" max="2580" width="15" style="114" bestFit="1" customWidth="1"/>
    <col min="2581" max="2816" width="9.140625" style="114"/>
    <col min="2817" max="2817" width="12.85546875" style="114" customWidth="1"/>
    <col min="2818" max="2818" width="82.85546875" style="114" customWidth="1"/>
    <col min="2819" max="2819" width="24.140625" style="114" customWidth="1"/>
    <col min="2820" max="2820" width="14.140625" style="114" customWidth="1"/>
    <col min="2821" max="2821" width="22.85546875" style="114" customWidth="1"/>
    <col min="2822" max="2822" width="29.7109375" style="114" customWidth="1"/>
    <col min="2823" max="2823" width="26.5703125" style="114" customWidth="1"/>
    <col min="2824" max="2824" width="26.85546875" style="114" customWidth="1"/>
    <col min="2825" max="2825" width="23.28515625" style="114" bestFit="1" customWidth="1"/>
    <col min="2826" max="2826" width="33" style="114" customWidth="1"/>
    <col min="2827" max="2827" width="28.5703125" style="114" bestFit="1" customWidth="1"/>
    <col min="2828" max="2828" width="27.140625" style="114" bestFit="1" customWidth="1"/>
    <col min="2829" max="2829" width="20.42578125" style="114" bestFit="1" customWidth="1"/>
    <col min="2830" max="2830" width="9.140625" style="114"/>
    <col min="2831" max="2831" width="17.28515625" style="114" bestFit="1" customWidth="1"/>
    <col min="2832" max="2832" width="9.140625" style="114"/>
    <col min="2833" max="2833" width="15.140625" style="114" bestFit="1" customWidth="1"/>
    <col min="2834" max="2835" width="9.140625" style="114"/>
    <col min="2836" max="2836" width="15" style="114" bestFit="1" customWidth="1"/>
    <col min="2837" max="3072" width="9.140625" style="114"/>
    <col min="3073" max="3073" width="12.85546875" style="114" customWidth="1"/>
    <col min="3074" max="3074" width="82.85546875" style="114" customWidth="1"/>
    <col min="3075" max="3075" width="24.140625" style="114" customWidth="1"/>
    <col min="3076" max="3076" width="14.140625" style="114" customWidth="1"/>
    <col min="3077" max="3077" width="22.85546875" style="114" customWidth="1"/>
    <col min="3078" max="3078" width="29.7109375" style="114" customWidth="1"/>
    <col min="3079" max="3079" width="26.5703125" style="114" customWidth="1"/>
    <col min="3080" max="3080" width="26.85546875" style="114" customWidth="1"/>
    <col min="3081" max="3081" width="23.28515625" style="114" bestFit="1" customWidth="1"/>
    <col min="3082" max="3082" width="33" style="114" customWidth="1"/>
    <col min="3083" max="3083" width="28.5703125" style="114" bestFit="1" customWidth="1"/>
    <col min="3084" max="3084" width="27.140625" style="114" bestFit="1" customWidth="1"/>
    <col min="3085" max="3085" width="20.42578125" style="114" bestFit="1" customWidth="1"/>
    <col min="3086" max="3086" width="9.140625" style="114"/>
    <col min="3087" max="3087" width="17.28515625" style="114" bestFit="1" customWidth="1"/>
    <col min="3088" max="3088" width="9.140625" style="114"/>
    <col min="3089" max="3089" width="15.140625" style="114" bestFit="1" customWidth="1"/>
    <col min="3090" max="3091" width="9.140625" style="114"/>
    <col min="3092" max="3092" width="15" style="114" bestFit="1" customWidth="1"/>
    <col min="3093" max="3328" width="9.140625" style="114"/>
    <col min="3329" max="3329" width="12.85546875" style="114" customWidth="1"/>
    <col min="3330" max="3330" width="82.85546875" style="114" customWidth="1"/>
    <col min="3331" max="3331" width="24.140625" style="114" customWidth="1"/>
    <col min="3332" max="3332" width="14.140625" style="114" customWidth="1"/>
    <col min="3333" max="3333" width="22.85546875" style="114" customWidth="1"/>
    <col min="3334" max="3334" width="29.7109375" style="114" customWidth="1"/>
    <col min="3335" max="3335" width="26.5703125" style="114" customWidth="1"/>
    <col min="3336" max="3336" width="26.85546875" style="114" customWidth="1"/>
    <col min="3337" max="3337" width="23.28515625" style="114" bestFit="1" customWidth="1"/>
    <col min="3338" max="3338" width="33" style="114" customWidth="1"/>
    <col min="3339" max="3339" width="28.5703125" style="114" bestFit="1" customWidth="1"/>
    <col min="3340" max="3340" width="27.140625" style="114" bestFit="1" customWidth="1"/>
    <col min="3341" max="3341" width="20.42578125" style="114" bestFit="1" customWidth="1"/>
    <col min="3342" max="3342" width="9.140625" style="114"/>
    <col min="3343" max="3343" width="17.28515625" style="114" bestFit="1" customWidth="1"/>
    <col min="3344" max="3344" width="9.140625" style="114"/>
    <col min="3345" max="3345" width="15.140625" style="114" bestFit="1" customWidth="1"/>
    <col min="3346" max="3347" width="9.140625" style="114"/>
    <col min="3348" max="3348" width="15" style="114" bestFit="1" customWidth="1"/>
    <col min="3349" max="3584" width="9.140625" style="114"/>
    <col min="3585" max="3585" width="12.85546875" style="114" customWidth="1"/>
    <col min="3586" max="3586" width="82.85546875" style="114" customWidth="1"/>
    <col min="3587" max="3587" width="24.140625" style="114" customWidth="1"/>
    <col min="3588" max="3588" width="14.140625" style="114" customWidth="1"/>
    <col min="3589" max="3589" width="22.85546875" style="114" customWidth="1"/>
    <col min="3590" max="3590" width="29.7109375" style="114" customWidth="1"/>
    <col min="3591" max="3591" width="26.5703125" style="114" customWidth="1"/>
    <col min="3592" max="3592" width="26.85546875" style="114" customWidth="1"/>
    <col min="3593" max="3593" width="23.28515625" style="114" bestFit="1" customWidth="1"/>
    <col min="3594" max="3594" width="33" style="114" customWidth="1"/>
    <col min="3595" max="3595" width="28.5703125" style="114" bestFit="1" customWidth="1"/>
    <col min="3596" max="3596" width="27.140625" style="114" bestFit="1" customWidth="1"/>
    <col min="3597" max="3597" width="20.42578125" style="114" bestFit="1" customWidth="1"/>
    <col min="3598" max="3598" width="9.140625" style="114"/>
    <col min="3599" max="3599" width="17.28515625" style="114" bestFit="1" customWidth="1"/>
    <col min="3600" max="3600" width="9.140625" style="114"/>
    <col min="3601" max="3601" width="15.140625" style="114" bestFit="1" customWidth="1"/>
    <col min="3602" max="3603" width="9.140625" style="114"/>
    <col min="3604" max="3604" width="15" style="114" bestFit="1" customWidth="1"/>
    <col min="3605" max="3840" width="9.140625" style="114"/>
    <col min="3841" max="3841" width="12.85546875" style="114" customWidth="1"/>
    <col min="3842" max="3842" width="82.85546875" style="114" customWidth="1"/>
    <col min="3843" max="3843" width="24.140625" style="114" customWidth="1"/>
    <col min="3844" max="3844" width="14.140625" style="114" customWidth="1"/>
    <col min="3845" max="3845" width="22.85546875" style="114" customWidth="1"/>
    <col min="3846" max="3846" width="29.7109375" style="114" customWidth="1"/>
    <col min="3847" max="3847" width="26.5703125" style="114" customWidth="1"/>
    <col min="3848" max="3848" width="26.85546875" style="114" customWidth="1"/>
    <col min="3849" max="3849" width="23.28515625" style="114" bestFit="1" customWidth="1"/>
    <col min="3850" max="3850" width="33" style="114" customWidth="1"/>
    <col min="3851" max="3851" width="28.5703125" style="114" bestFit="1" customWidth="1"/>
    <col min="3852" max="3852" width="27.140625" style="114" bestFit="1" customWidth="1"/>
    <col min="3853" max="3853" width="20.42578125" style="114" bestFit="1" customWidth="1"/>
    <col min="3854" max="3854" width="9.140625" style="114"/>
    <col min="3855" max="3855" width="17.28515625" style="114" bestFit="1" customWidth="1"/>
    <col min="3856" max="3856" width="9.140625" style="114"/>
    <col min="3857" max="3857" width="15.140625" style="114" bestFit="1" customWidth="1"/>
    <col min="3858" max="3859" width="9.140625" style="114"/>
    <col min="3860" max="3860" width="15" style="114" bestFit="1" customWidth="1"/>
    <col min="3861" max="4096" width="9.140625" style="114"/>
    <col min="4097" max="4097" width="12.85546875" style="114" customWidth="1"/>
    <col min="4098" max="4098" width="82.85546875" style="114" customWidth="1"/>
    <col min="4099" max="4099" width="24.140625" style="114" customWidth="1"/>
    <col min="4100" max="4100" width="14.140625" style="114" customWidth="1"/>
    <col min="4101" max="4101" width="22.85546875" style="114" customWidth="1"/>
    <col min="4102" max="4102" width="29.7109375" style="114" customWidth="1"/>
    <col min="4103" max="4103" width="26.5703125" style="114" customWidth="1"/>
    <col min="4104" max="4104" width="26.85546875" style="114" customWidth="1"/>
    <col min="4105" max="4105" width="23.28515625" style="114" bestFit="1" customWidth="1"/>
    <col min="4106" max="4106" width="33" style="114" customWidth="1"/>
    <col min="4107" max="4107" width="28.5703125" style="114" bestFit="1" customWidth="1"/>
    <col min="4108" max="4108" width="27.140625" style="114" bestFit="1" customWidth="1"/>
    <col min="4109" max="4109" width="20.42578125" style="114" bestFit="1" customWidth="1"/>
    <col min="4110" max="4110" width="9.140625" style="114"/>
    <col min="4111" max="4111" width="17.28515625" style="114" bestFit="1" customWidth="1"/>
    <col min="4112" max="4112" width="9.140625" style="114"/>
    <col min="4113" max="4113" width="15.140625" style="114" bestFit="1" customWidth="1"/>
    <col min="4114" max="4115" width="9.140625" style="114"/>
    <col min="4116" max="4116" width="15" style="114" bestFit="1" customWidth="1"/>
    <col min="4117" max="4352" width="9.140625" style="114"/>
    <col min="4353" max="4353" width="12.85546875" style="114" customWidth="1"/>
    <col min="4354" max="4354" width="82.85546875" style="114" customWidth="1"/>
    <col min="4355" max="4355" width="24.140625" style="114" customWidth="1"/>
    <col min="4356" max="4356" width="14.140625" style="114" customWidth="1"/>
    <col min="4357" max="4357" width="22.85546875" style="114" customWidth="1"/>
    <col min="4358" max="4358" width="29.7109375" style="114" customWidth="1"/>
    <col min="4359" max="4359" width="26.5703125" style="114" customWidth="1"/>
    <col min="4360" max="4360" width="26.85546875" style="114" customWidth="1"/>
    <col min="4361" max="4361" width="23.28515625" style="114" bestFit="1" customWidth="1"/>
    <col min="4362" max="4362" width="33" style="114" customWidth="1"/>
    <col min="4363" max="4363" width="28.5703125" style="114" bestFit="1" customWidth="1"/>
    <col min="4364" max="4364" width="27.140625" style="114" bestFit="1" customWidth="1"/>
    <col min="4365" max="4365" width="20.42578125" style="114" bestFit="1" customWidth="1"/>
    <col min="4366" max="4366" width="9.140625" style="114"/>
    <col min="4367" max="4367" width="17.28515625" style="114" bestFit="1" customWidth="1"/>
    <col min="4368" max="4368" width="9.140625" style="114"/>
    <col min="4369" max="4369" width="15.140625" style="114" bestFit="1" customWidth="1"/>
    <col min="4370" max="4371" width="9.140625" style="114"/>
    <col min="4372" max="4372" width="15" style="114" bestFit="1" customWidth="1"/>
    <col min="4373" max="4608" width="9.140625" style="114"/>
    <col min="4609" max="4609" width="12.85546875" style="114" customWidth="1"/>
    <col min="4610" max="4610" width="82.85546875" style="114" customWidth="1"/>
    <col min="4611" max="4611" width="24.140625" style="114" customWidth="1"/>
    <col min="4612" max="4612" width="14.140625" style="114" customWidth="1"/>
    <col min="4613" max="4613" width="22.85546875" style="114" customWidth="1"/>
    <col min="4614" max="4614" width="29.7109375" style="114" customWidth="1"/>
    <col min="4615" max="4615" width="26.5703125" style="114" customWidth="1"/>
    <col min="4616" max="4616" width="26.85546875" style="114" customWidth="1"/>
    <col min="4617" max="4617" width="23.28515625" style="114" bestFit="1" customWidth="1"/>
    <col min="4618" max="4618" width="33" style="114" customWidth="1"/>
    <col min="4619" max="4619" width="28.5703125" style="114" bestFit="1" customWidth="1"/>
    <col min="4620" max="4620" width="27.140625" style="114" bestFit="1" customWidth="1"/>
    <col min="4621" max="4621" width="20.42578125" style="114" bestFit="1" customWidth="1"/>
    <col min="4622" max="4622" width="9.140625" style="114"/>
    <col min="4623" max="4623" width="17.28515625" style="114" bestFit="1" customWidth="1"/>
    <col min="4624" max="4624" width="9.140625" style="114"/>
    <col min="4625" max="4625" width="15.140625" style="114" bestFit="1" customWidth="1"/>
    <col min="4626" max="4627" width="9.140625" style="114"/>
    <col min="4628" max="4628" width="15" style="114" bestFit="1" customWidth="1"/>
    <col min="4629" max="4864" width="9.140625" style="114"/>
    <col min="4865" max="4865" width="12.85546875" style="114" customWidth="1"/>
    <col min="4866" max="4866" width="82.85546875" style="114" customWidth="1"/>
    <col min="4867" max="4867" width="24.140625" style="114" customWidth="1"/>
    <col min="4868" max="4868" width="14.140625" style="114" customWidth="1"/>
    <col min="4869" max="4869" width="22.85546875" style="114" customWidth="1"/>
    <col min="4870" max="4870" width="29.7109375" style="114" customWidth="1"/>
    <col min="4871" max="4871" width="26.5703125" style="114" customWidth="1"/>
    <col min="4872" max="4872" width="26.85546875" style="114" customWidth="1"/>
    <col min="4873" max="4873" width="23.28515625" style="114" bestFit="1" customWidth="1"/>
    <col min="4874" max="4874" width="33" style="114" customWidth="1"/>
    <col min="4875" max="4875" width="28.5703125" style="114" bestFit="1" customWidth="1"/>
    <col min="4876" max="4876" width="27.140625" style="114" bestFit="1" customWidth="1"/>
    <col min="4877" max="4877" width="20.42578125" style="114" bestFit="1" customWidth="1"/>
    <col min="4878" max="4878" width="9.140625" style="114"/>
    <col min="4879" max="4879" width="17.28515625" style="114" bestFit="1" customWidth="1"/>
    <col min="4880" max="4880" width="9.140625" style="114"/>
    <col min="4881" max="4881" width="15.140625" style="114" bestFit="1" customWidth="1"/>
    <col min="4882" max="4883" width="9.140625" style="114"/>
    <col min="4884" max="4884" width="15" style="114" bestFit="1" customWidth="1"/>
    <col min="4885" max="5120" width="9.140625" style="114"/>
    <col min="5121" max="5121" width="12.85546875" style="114" customWidth="1"/>
    <col min="5122" max="5122" width="82.85546875" style="114" customWidth="1"/>
    <col min="5123" max="5123" width="24.140625" style="114" customWidth="1"/>
    <col min="5124" max="5124" width="14.140625" style="114" customWidth="1"/>
    <col min="5125" max="5125" width="22.85546875" style="114" customWidth="1"/>
    <col min="5126" max="5126" width="29.7109375" style="114" customWidth="1"/>
    <col min="5127" max="5127" width="26.5703125" style="114" customWidth="1"/>
    <col min="5128" max="5128" width="26.85546875" style="114" customWidth="1"/>
    <col min="5129" max="5129" width="23.28515625" style="114" bestFit="1" customWidth="1"/>
    <col min="5130" max="5130" width="33" style="114" customWidth="1"/>
    <col min="5131" max="5131" width="28.5703125" style="114" bestFit="1" customWidth="1"/>
    <col min="5132" max="5132" width="27.140625" style="114" bestFit="1" customWidth="1"/>
    <col min="5133" max="5133" width="20.42578125" style="114" bestFit="1" customWidth="1"/>
    <col min="5134" max="5134" width="9.140625" style="114"/>
    <col min="5135" max="5135" width="17.28515625" style="114" bestFit="1" customWidth="1"/>
    <col min="5136" max="5136" width="9.140625" style="114"/>
    <col min="5137" max="5137" width="15.140625" style="114" bestFit="1" customWidth="1"/>
    <col min="5138" max="5139" width="9.140625" style="114"/>
    <col min="5140" max="5140" width="15" style="114" bestFit="1" customWidth="1"/>
    <col min="5141" max="5376" width="9.140625" style="114"/>
    <col min="5377" max="5377" width="12.85546875" style="114" customWidth="1"/>
    <col min="5378" max="5378" width="82.85546875" style="114" customWidth="1"/>
    <col min="5379" max="5379" width="24.140625" style="114" customWidth="1"/>
    <col min="5380" max="5380" width="14.140625" style="114" customWidth="1"/>
    <col min="5381" max="5381" width="22.85546875" style="114" customWidth="1"/>
    <col min="5382" max="5382" width="29.7109375" style="114" customWidth="1"/>
    <col min="5383" max="5383" width="26.5703125" style="114" customWidth="1"/>
    <col min="5384" max="5384" width="26.85546875" style="114" customWidth="1"/>
    <col min="5385" max="5385" width="23.28515625" style="114" bestFit="1" customWidth="1"/>
    <col min="5386" max="5386" width="33" style="114" customWidth="1"/>
    <col min="5387" max="5387" width="28.5703125" style="114" bestFit="1" customWidth="1"/>
    <col min="5388" max="5388" width="27.140625" style="114" bestFit="1" customWidth="1"/>
    <col min="5389" max="5389" width="20.42578125" style="114" bestFit="1" customWidth="1"/>
    <col min="5390" max="5390" width="9.140625" style="114"/>
    <col min="5391" max="5391" width="17.28515625" style="114" bestFit="1" customWidth="1"/>
    <col min="5392" max="5392" width="9.140625" style="114"/>
    <col min="5393" max="5393" width="15.140625" style="114" bestFit="1" customWidth="1"/>
    <col min="5394" max="5395" width="9.140625" style="114"/>
    <col min="5396" max="5396" width="15" style="114" bestFit="1" customWidth="1"/>
    <col min="5397" max="5632" width="9.140625" style="114"/>
    <col min="5633" max="5633" width="12.85546875" style="114" customWidth="1"/>
    <col min="5634" max="5634" width="82.85546875" style="114" customWidth="1"/>
    <col min="5635" max="5635" width="24.140625" style="114" customWidth="1"/>
    <col min="5636" max="5636" width="14.140625" style="114" customWidth="1"/>
    <col min="5637" max="5637" width="22.85546875" style="114" customWidth="1"/>
    <col min="5638" max="5638" width="29.7109375" style="114" customWidth="1"/>
    <col min="5639" max="5639" width="26.5703125" style="114" customWidth="1"/>
    <col min="5640" max="5640" width="26.85546875" style="114" customWidth="1"/>
    <col min="5641" max="5641" width="23.28515625" style="114" bestFit="1" customWidth="1"/>
    <col min="5642" max="5642" width="33" style="114" customWidth="1"/>
    <col min="5643" max="5643" width="28.5703125" style="114" bestFit="1" customWidth="1"/>
    <col min="5644" max="5644" width="27.140625" style="114" bestFit="1" customWidth="1"/>
    <col min="5645" max="5645" width="20.42578125" style="114" bestFit="1" customWidth="1"/>
    <col min="5646" max="5646" width="9.140625" style="114"/>
    <col min="5647" max="5647" width="17.28515625" style="114" bestFit="1" customWidth="1"/>
    <col min="5648" max="5648" width="9.140625" style="114"/>
    <col min="5649" max="5649" width="15.140625" style="114" bestFit="1" customWidth="1"/>
    <col min="5650" max="5651" width="9.140625" style="114"/>
    <col min="5652" max="5652" width="15" style="114" bestFit="1" customWidth="1"/>
    <col min="5653" max="5888" width="9.140625" style="114"/>
    <col min="5889" max="5889" width="12.85546875" style="114" customWidth="1"/>
    <col min="5890" max="5890" width="82.85546875" style="114" customWidth="1"/>
    <col min="5891" max="5891" width="24.140625" style="114" customWidth="1"/>
    <col min="5892" max="5892" width="14.140625" style="114" customWidth="1"/>
    <col min="5893" max="5893" width="22.85546875" style="114" customWidth="1"/>
    <col min="5894" max="5894" width="29.7109375" style="114" customWidth="1"/>
    <col min="5895" max="5895" width="26.5703125" style="114" customWidth="1"/>
    <col min="5896" max="5896" width="26.85546875" style="114" customWidth="1"/>
    <col min="5897" max="5897" width="23.28515625" style="114" bestFit="1" customWidth="1"/>
    <col min="5898" max="5898" width="33" style="114" customWidth="1"/>
    <col min="5899" max="5899" width="28.5703125" style="114" bestFit="1" customWidth="1"/>
    <col min="5900" max="5900" width="27.140625" style="114" bestFit="1" customWidth="1"/>
    <col min="5901" max="5901" width="20.42578125" style="114" bestFit="1" customWidth="1"/>
    <col min="5902" max="5902" width="9.140625" style="114"/>
    <col min="5903" max="5903" width="17.28515625" style="114" bestFit="1" customWidth="1"/>
    <col min="5904" max="5904" width="9.140625" style="114"/>
    <col min="5905" max="5905" width="15.140625" style="114" bestFit="1" customWidth="1"/>
    <col min="5906" max="5907" width="9.140625" style="114"/>
    <col min="5908" max="5908" width="15" style="114" bestFit="1" customWidth="1"/>
    <col min="5909" max="6144" width="9.140625" style="114"/>
    <col min="6145" max="6145" width="12.85546875" style="114" customWidth="1"/>
    <col min="6146" max="6146" width="82.85546875" style="114" customWidth="1"/>
    <col min="6147" max="6147" width="24.140625" style="114" customWidth="1"/>
    <col min="6148" max="6148" width="14.140625" style="114" customWidth="1"/>
    <col min="6149" max="6149" width="22.85546875" style="114" customWidth="1"/>
    <col min="6150" max="6150" width="29.7109375" style="114" customWidth="1"/>
    <col min="6151" max="6151" width="26.5703125" style="114" customWidth="1"/>
    <col min="6152" max="6152" width="26.85546875" style="114" customWidth="1"/>
    <col min="6153" max="6153" width="23.28515625" style="114" bestFit="1" customWidth="1"/>
    <col min="6154" max="6154" width="33" style="114" customWidth="1"/>
    <col min="6155" max="6155" width="28.5703125" style="114" bestFit="1" customWidth="1"/>
    <col min="6156" max="6156" width="27.140625" style="114" bestFit="1" customWidth="1"/>
    <col min="6157" max="6157" width="20.42578125" style="114" bestFit="1" customWidth="1"/>
    <col min="6158" max="6158" width="9.140625" style="114"/>
    <col min="6159" max="6159" width="17.28515625" style="114" bestFit="1" customWidth="1"/>
    <col min="6160" max="6160" width="9.140625" style="114"/>
    <col min="6161" max="6161" width="15.140625" style="114" bestFit="1" customWidth="1"/>
    <col min="6162" max="6163" width="9.140625" style="114"/>
    <col min="6164" max="6164" width="15" style="114" bestFit="1" customWidth="1"/>
    <col min="6165" max="6400" width="9.140625" style="114"/>
    <col min="6401" max="6401" width="12.85546875" style="114" customWidth="1"/>
    <col min="6402" max="6402" width="82.85546875" style="114" customWidth="1"/>
    <col min="6403" max="6403" width="24.140625" style="114" customWidth="1"/>
    <col min="6404" max="6404" width="14.140625" style="114" customWidth="1"/>
    <col min="6405" max="6405" width="22.85546875" style="114" customWidth="1"/>
    <col min="6406" max="6406" width="29.7109375" style="114" customWidth="1"/>
    <col min="6407" max="6407" width="26.5703125" style="114" customWidth="1"/>
    <col min="6408" max="6408" width="26.85546875" style="114" customWidth="1"/>
    <col min="6409" max="6409" width="23.28515625" style="114" bestFit="1" customWidth="1"/>
    <col min="6410" max="6410" width="33" style="114" customWidth="1"/>
    <col min="6411" max="6411" width="28.5703125" style="114" bestFit="1" customWidth="1"/>
    <col min="6412" max="6412" width="27.140625" style="114" bestFit="1" customWidth="1"/>
    <col min="6413" max="6413" width="20.42578125" style="114" bestFit="1" customWidth="1"/>
    <col min="6414" max="6414" width="9.140625" style="114"/>
    <col min="6415" max="6415" width="17.28515625" style="114" bestFit="1" customWidth="1"/>
    <col min="6416" max="6416" width="9.140625" style="114"/>
    <col min="6417" max="6417" width="15.140625" style="114" bestFit="1" customWidth="1"/>
    <col min="6418" max="6419" width="9.140625" style="114"/>
    <col min="6420" max="6420" width="15" style="114" bestFit="1" customWidth="1"/>
    <col min="6421" max="6656" width="9.140625" style="114"/>
    <col min="6657" max="6657" width="12.85546875" style="114" customWidth="1"/>
    <col min="6658" max="6658" width="82.85546875" style="114" customWidth="1"/>
    <col min="6659" max="6659" width="24.140625" style="114" customWidth="1"/>
    <col min="6660" max="6660" width="14.140625" style="114" customWidth="1"/>
    <col min="6661" max="6661" width="22.85546875" style="114" customWidth="1"/>
    <col min="6662" max="6662" width="29.7109375" style="114" customWidth="1"/>
    <col min="6663" max="6663" width="26.5703125" style="114" customWidth="1"/>
    <col min="6664" max="6664" width="26.85546875" style="114" customWidth="1"/>
    <col min="6665" max="6665" width="23.28515625" style="114" bestFit="1" customWidth="1"/>
    <col min="6666" max="6666" width="33" style="114" customWidth="1"/>
    <col min="6667" max="6667" width="28.5703125" style="114" bestFit="1" customWidth="1"/>
    <col min="6668" max="6668" width="27.140625" style="114" bestFit="1" customWidth="1"/>
    <col min="6669" max="6669" width="20.42578125" style="114" bestFit="1" customWidth="1"/>
    <col min="6670" max="6670" width="9.140625" style="114"/>
    <col min="6671" max="6671" width="17.28515625" style="114" bestFit="1" customWidth="1"/>
    <col min="6672" max="6672" width="9.140625" style="114"/>
    <col min="6673" max="6673" width="15.140625" style="114" bestFit="1" customWidth="1"/>
    <col min="6674" max="6675" width="9.140625" style="114"/>
    <col min="6676" max="6676" width="15" style="114" bestFit="1" customWidth="1"/>
    <col min="6677" max="6912" width="9.140625" style="114"/>
    <col min="6913" max="6913" width="12.85546875" style="114" customWidth="1"/>
    <col min="6914" max="6914" width="82.85546875" style="114" customWidth="1"/>
    <col min="6915" max="6915" width="24.140625" style="114" customWidth="1"/>
    <col min="6916" max="6916" width="14.140625" style="114" customWidth="1"/>
    <col min="6917" max="6917" width="22.85546875" style="114" customWidth="1"/>
    <col min="6918" max="6918" width="29.7109375" style="114" customWidth="1"/>
    <col min="6919" max="6919" width="26.5703125" style="114" customWidth="1"/>
    <col min="6920" max="6920" width="26.85546875" style="114" customWidth="1"/>
    <col min="6921" max="6921" width="23.28515625" style="114" bestFit="1" customWidth="1"/>
    <col min="6922" max="6922" width="33" style="114" customWidth="1"/>
    <col min="6923" max="6923" width="28.5703125" style="114" bestFit="1" customWidth="1"/>
    <col min="6924" max="6924" width="27.140625" style="114" bestFit="1" customWidth="1"/>
    <col min="6925" max="6925" width="20.42578125" style="114" bestFit="1" customWidth="1"/>
    <col min="6926" max="6926" width="9.140625" style="114"/>
    <col min="6927" max="6927" width="17.28515625" style="114" bestFit="1" customWidth="1"/>
    <col min="6928" max="6928" width="9.140625" style="114"/>
    <col min="6929" max="6929" width="15.140625" style="114" bestFit="1" customWidth="1"/>
    <col min="6930" max="6931" width="9.140625" style="114"/>
    <col min="6932" max="6932" width="15" style="114" bestFit="1" customWidth="1"/>
    <col min="6933" max="7168" width="9.140625" style="114"/>
    <col min="7169" max="7169" width="12.85546875" style="114" customWidth="1"/>
    <col min="7170" max="7170" width="82.85546875" style="114" customWidth="1"/>
    <col min="7171" max="7171" width="24.140625" style="114" customWidth="1"/>
    <col min="7172" max="7172" width="14.140625" style="114" customWidth="1"/>
    <col min="7173" max="7173" width="22.85546875" style="114" customWidth="1"/>
    <col min="7174" max="7174" width="29.7109375" style="114" customWidth="1"/>
    <col min="7175" max="7175" width="26.5703125" style="114" customWidth="1"/>
    <col min="7176" max="7176" width="26.85546875" style="114" customWidth="1"/>
    <col min="7177" max="7177" width="23.28515625" style="114" bestFit="1" customWidth="1"/>
    <col min="7178" max="7178" width="33" style="114" customWidth="1"/>
    <col min="7179" max="7179" width="28.5703125" style="114" bestFit="1" customWidth="1"/>
    <col min="7180" max="7180" width="27.140625" style="114" bestFit="1" customWidth="1"/>
    <col min="7181" max="7181" width="20.42578125" style="114" bestFit="1" customWidth="1"/>
    <col min="7182" max="7182" width="9.140625" style="114"/>
    <col min="7183" max="7183" width="17.28515625" style="114" bestFit="1" customWidth="1"/>
    <col min="7184" max="7184" width="9.140625" style="114"/>
    <col min="7185" max="7185" width="15.140625" style="114" bestFit="1" customWidth="1"/>
    <col min="7186" max="7187" width="9.140625" style="114"/>
    <col min="7188" max="7188" width="15" style="114" bestFit="1" customWidth="1"/>
    <col min="7189" max="7424" width="9.140625" style="114"/>
    <col min="7425" max="7425" width="12.85546875" style="114" customWidth="1"/>
    <col min="7426" max="7426" width="82.85546875" style="114" customWidth="1"/>
    <col min="7427" max="7427" width="24.140625" style="114" customWidth="1"/>
    <col min="7428" max="7428" width="14.140625" style="114" customWidth="1"/>
    <col min="7429" max="7429" width="22.85546875" style="114" customWidth="1"/>
    <col min="7430" max="7430" width="29.7109375" style="114" customWidth="1"/>
    <col min="7431" max="7431" width="26.5703125" style="114" customWidth="1"/>
    <col min="7432" max="7432" width="26.85546875" style="114" customWidth="1"/>
    <col min="7433" max="7433" width="23.28515625" style="114" bestFit="1" customWidth="1"/>
    <col min="7434" max="7434" width="33" style="114" customWidth="1"/>
    <col min="7435" max="7435" width="28.5703125" style="114" bestFit="1" customWidth="1"/>
    <col min="7436" max="7436" width="27.140625" style="114" bestFit="1" customWidth="1"/>
    <col min="7437" max="7437" width="20.42578125" style="114" bestFit="1" customWidth="1"/>
    <col min="7438" max="7438" width="9.140625" style="114"/>
    <col min="7439" max="7439" width="17.28515625" style="114" bestFit="1" customWidth="1"/>
    <col min="7440" max="7440" width="9.140625" style="114"/>
    <col min="7441" max="7441" width="15.140625" style="114" bestFit="1" customWidth="1"/>
    <col min="7442" max="7443" width="9.140625" style="114"/>
    <col min="7444" max="7444" width="15" style="114" bestFit="1" customWidth="1"/>
    <col min="7445" max="7680" width="9.140625" style="114"/>
    <col min="7681" max="7681" width="12.85546875" style="114" customWidth="1"/>
    <col min="7682" max="7682" width="82.85546875" style="114" customWidth="1"/>
    <col min="7683" max="7683" width="24.140625" style="114" customWidth="1"/>
    <col min="7684" max="7684" width="14.140625" style="114" customWidth="1"/>
    <col min="7685" max="7685" width="22.85546875" style="114" customWidth="1"/>
    <col min="7686" max="7686" width="29.7109375" style="114" customWidth="1"/>
    <col min="7687" max="7687" width="26.5703125" style="114" customWidth="1"/>
    <col min="7688" max="7688" width="26.85546875" style="114" customWidth="1"/>
    <col min="7689" max="7689" width="23.28515625" style="114" bestFit="1" customWidth="1"/>
    <col min="7690" max="7690" width="33" style="114" customWidth="1"/>
    <col min="7691" max="7691" width="28.5703125" style="114" bestFit="1" customWidth="1"/>
    <col min="7692" max="7692" width="27.140625" style="114" bestFit="1" customWidth="1"/>
    <col min="7693" max="7693" width="20.42578125" style="114" bestFit="1" customWidth="1"/>
    <col min="7694" max="7694" width="9.140625" style="114"/>
    <col min="7695" max="7695" width="17.28515625" style="114" bestFit="1" customWidth="1"/>
    <col min="7696" max="7696" width="9.140625" style="114"/>
    <col min="7697" max="7697" width="15.140625" style="114" bestFit="1" customWidth="1"/>
    <col min="7698" max="7699" width="9.140625" style="114"/>
    <col min="7700" max="7700" width="15" style="114" bestFit="1" customWidth="1"/>
    <col min="7701" max="7936" width="9.140625" style="114"/>
    <col min="7937" max="7937" width="12.85546875" style="114" customWidth="1"/>
    <col min="7938" max="7938" width="82.85546875" style="114" customWidth="1"/>
    <col min="7939" max="7939" width="24.140625" style="114" customWidth="1"/>
    <col min="7940" max="7940" width="14.140625" style="114" customWidth="1"/>
    <col min="7941" max="7941" width="22.85546875" style="114" customWidth="1"/>
    <col min="7942" max="7942" width="29.7109375" style="114" customWidth="1"/>
    <col min="7943" max="7943" width="26.5703125" style="114" customWidth="1"/>
    <col min="7944" max="7944" width="26.85546875" style="114" customWidth="1"/>
    <col min="7945" max="7945" width="23.28515625" style="114" bestFit="1" customWidth="1"/>
    <col min="7946" max="7946" width="33" style="114" customWidth="1"/>
    <col min="7947" max="7947" width="28.5703125" style="114" bestFit="1" customWidth="1"/>
    <col min="7948" max="7948" width="27.140625" style="114" bestFit="1" customWidth="1"/>
    <col min="7949" max="7949" width="20.42578125" style="114" bestFit="1" customWidth="1"/>
    <col min="7950" max="7950" width="9.140625" style="114"/>
    <col min="7951" max="7951" width="17.28515625" style="114" bestFit="1" customWidth="1"/>
    <col min="7952" max="7952" width="9.140625" style="114"/>
    <col min="7953" max="7953" width="15.140625" style="114" bestFit="1" customWidth="1"/>
    <col min="7954" max="7955" width="9.140625" style="114"/>
    <col min="7956" max="7956" width="15" style="114" bestFit="1" customWidth="1"/>
    <col min="7957" max="8192" width="9.140625" style="114"/>
    <col min="8193" max="8193" width="12.85546875" style="114" customWidth="1"/>
    <col min="8194" max="8194" width="82.85546875" style="114" customWidth="1"/>
    <col min="8195" max="8195" width="24.140625" style="114" customWidth="1"/>
    <col min="8196" max="8196" width="14.140625" style="114" customWidth="1"/>
    <col min="8197" max="8197" width="22.85546875" style="114" customWidth="1"/>
    <col min="8198" max="8198" width="29.7109375" style="114" customWidth="1"/>
    <col min="8199" max="8199" width="26.5703125" style="114" customWidth="1"/>
    <col min="8200" max="8200" width="26.85546875" style="114" customWidth="1"/>
    <col min="8201" max="8201" width="23.28515625" style="114" bestFit="1" customWidth="1"/>
    <col min="8202" max="8202" width="33" style="114" customWidth="1"/>
    <col min="8203" max="8203" width="28.5703125" style="114" bestFit="1" customWidth="1"/>
    <col min="8204" max="8204" width="27.140625" style="114" bestFit="1" customWidth="1"/>
    <col min="8205" max="8205" width="20.42578125" style="114" bestFit="1" customWidth="1"/>
    <col min="8206" max="8206" width="9.140625" style="114"/>
    <col min="8207" max="8207" width="17.28515625" style="114" bestFit="1" customWidth="1"/>
    <col min="8208" max="8208" width="9.140625" style="114"/>
    <col min="8209" max="8209" width="15.140625" style="114" bestFit="1" customWidth="1"/>
    <col min="8210" max="8211" width="9.140625" style="114"/>
    <col min="8212" max="8212" width="15" style="114" bestFit="1" customWidth="1"/>
    <col min="8213" max="8448" width="9.140625" style="114"/>
    <col min="8449" max="8449" width="12.85546875" style="114" customWidth="1"/>
    <col min="8450" max="8450" width="82.85546875" style="114" customWidth="1"/>
    <col min="8451" max="8451" width="24.140625" style="114" customWidth="1"/>
    <col min="8452" max="8452" width="14.140625" style="114" customWidth="1"/>
    <col min="8453" max="8453" width="22.85546875" style="114" customWidth="1"/>
    <col min="8454" max="8454" width="29.7109375" style="114" customWidth="1"/>
    <col min="8455" max="8455" width="26.5703125" style="114" customWidth="1"/>
    <col min="8456" max="8456" width="26.85546875" style="114" customWidth="1"/>
    <col min="8457" max="8457" width="23.28515625" style="114" bestFit="1" customWidth="1"/>
    <col min="8458" max="8458" width="33" style="114" customWidth="1"/>
    <col min="8459" max="8459" width="28.5703125" style="114" bestFit="1" customWidth="1"/>
    <col min="8460" max="8460" width="27.140625" style="114" bestFit="1" customWidth="1"/>
    <col min="8461" max="8461" width="20.42578125" style="114" bestFit="1" customWidth="1"/>
    <col min="8462" max="8462" width="9.140625" style="114"/>
    <col min="8463" max="8463" width="17.28515625" style="114" bestFit="1" customWidth="1"/>
    <col min="8464" max="8464" width="9.140625" style="114"/>
    <col min="8465" max="8465" width="15.140625" style="114" bestFit="1" customWidth="1"/>
    <col min="8466" max="8467" width="9.140625" style="114"/>
    <col min="8468" max="8468" width="15" style="114" bestFit="1" customWidth="1"/>
    <col min="8469" max="8704" width="9.140625" style="114"/>
    <col min="8705" max="8705" width="12.85546875" style="114" customWidth="1"/>
    <col min="8706" max="8706" width="82.85546875" style="114" customWidth="1"/>
    <col min="8707" max="8707" width="24.140625" style="114" customWidth="1"/>
    <col min="8708" max="8708" width="14.140625" style="114" customWidth="1"/>
    <col min="8709" max="8709" width="22.85546875" style="114" customWidth="1"/>
    <col min="8710" max="8710" width="29.7109375" style="114" customWidth="1"/>
    <col min="8711" max="8711" width="26.5703125" style="114" customWidth="1"/>
    <col min="8712" max="8712" width="26.85546875" style="114" customWidth="1"/>
    <col min="8713" max="8713" width="23.28515625" style="114" bestFit="1" customWidth="1"/>
    <col min="8714" max="8714" width="33" style="114" customWidth="1"/>
    <col min="8715" max="8715" width="28.5703125" style="114" bestFit="1" customWidth="1"/>
    <col min="8716" max="8716" width="27.140625" style="114" bestFit="1" customWidth="1"/>
    <col min="8717" max="8717" width="20.42578125" style="114" bestFit="1" customWidth="1"/>
    <col min="8718" max="8718" width="9.140625" style="114"/>
    <col min="8719" max="8719" width="17.28515625" style="114" bestFit="1" customWidth="1"/>
    <col min="8720" max="8720" width="9.140625" style="114"/>
    <col min="8721" max="8721" width="15.140625" style="114" bestFit="1" customWidth="1"/>
    <col min="8722" max="8723" width="9.140625" style="114"/>
    <col min="8724" max="8724" width="15" style="114" bestFit="1" customWidth="1"/>
    <col min="8725" max="8960" width="9.140625" style="114"/>
    <col min="8961" max="8961" width="12.85546875" style="114" customWidth="1"/>
    <col min="8962" max="8962" width="82.85546875" style="114" customWidth="1"/>
    <col min="8963" max="8963" width="24.140625" style="114" customWidth="1"/>
    <col min="8964" max="8964" width="14.140625" style="114" customWidth="1"/>
    <col min="8965" max="8965" width="22.85546875" style="114" customWidth="1"/>
    <col min="8966" max="8966" width="29.7109375" style="114" customWidth="1"/>
    <col min="8967" max="8967" width="26.5703125" style="114" customWidth="1"/>
    <col min="8968" max="8968" width="26.85546875" style="114" customWidth="1"/>
    <col min="8969" max="8969" width="23.28515625" style="114" bestFit="1" customWidth="1"/>
    <col min="8970" max="8970" width="33" style="114" customWidth="1"/>
    <col min="8971" max="8971" width="28.5703125" style="114" bestFit="1" customWidth="1"/>
    <col min="8972" max="8972" width="27.140625" style="114" bestFit="1" customWidth="1"/>
    <col min="8973" max="8973" width="20.42578125" style="114" bestFit="1" customWidth="1"/>
    <col min="8974" max="8974" width="9.140625" style="114"/>
    <col min="8975" max="8975" width="17.28515625" style="114" bestFit="1" customWidth="1"/>
    <col min="8976" max="8976" width="9.140625" style="114"/>
    <col min="8977" max="8977" width="15.140625" style="114" bestFit="1" customWidth="1"/>
    <col min="8978" max="8979" width="9.140625" style="114"/>
    <col min="8980" max="8980" width="15" style="114" bestFit="1" customWidth="1"/>
    <col min="8981" max="9216" width="9.140625" style="114"/>
    <col min="9217" max="9217" width="12.85546875" style="114" customWidth="1"/>
    <col min="9218" max="9218" width="82.85546875" style="114" customWidth="1"/>
    <col min="9219" max="9219" width="24.140625" style="114" customWidth="1"/>
    <col min="9220" max="9220" width="14.140625" style="114" customWidth="1"/>
    <col min="9221" max="9221" width="22.85546875" style="114" customWidth="1"/>
    <col min="9222" max="9222" width="29.7109375" style="114" customWidth="1"/>
    <col min="9223" max="9223" width="26.5703125" style="114" customWidth="1"/>
    <col min="9224" max="9224" width="26.85546875" style="114" customWidth="1"/>
    <col min="9225" max="9225" width="23.28515625" style="114" bestFit="1" customWidth="1"/>
    <col min="9226" max="9226" width="33" style="114" customWidth="1"/>
    <col min="9227" max="9227" width="28.5703125" style="114" bestFit="1" customWidth="1"/>
    <col min="9228" max="9228" width="27.140625" style="114" bestFit="1" customWidth="1"/>
    <col min="9229" max="9229" width="20.42578125" style="114" bestFit="1" customWidth="1"/>
    <col min="9230" max="9230" width="9.140625" style="114"/>
    <col min="9231" max="9231" width="17.28515625" style="114" bestFit="1" customWidth="1"/>
    <col min="9232" max="9232" width="9.140625" style="114"/>
    <col min="9233" max="9233" width="15.140625" style="114" bestFit="1" customWidth="1"/>
    <col min="9234" max="9235" width="9.140625" style="114"/>
    <col min="9236" max="9236" width="15" style="114" bestFit="1" customWidth="1"/>
    <col min="9237" max="9472" width="9.140625" style="114"/>
    <col min="9473" max="9473" width="12.85546875" style="114" customWidth="1"/>
    <col min="9474" max="9474" width="82.85546875" style="114" customWidth="1"/>
    <col min="9475" max="9475" width="24.140625" style="114" customWidth="1"/>
    <col min="9476" max="9476" width="14.140625" style="114" customWidth="1"/>
    <col min="9477" max="9477" width="22.85546875" style="114" customWidth="1"/>
    <col min="9478" max="9478" width="29.7109375" style="114" customWidth="1"/>
    <col min="9479" max="9479" width="26.5703125" style="114" customWidth="1"/>
    <col min="9480" max="9480" width="26.85546875" style="114" customWidth="1"/>
    <col min="9481" max="9481" width="23.28515625" style="114" bestFit="1" customWidth="1"/>
    <col min="9482" max="9482" width="33" style="114" customWidth="1"/>
    <col min="9483" max="9483" width="28.5703125" style="114" bestFit="1" customWidth="1"/>
    <col min="9484" max="9484" width="27.140625" style="114" bestFit="1" customWidth="1"/>
    <col min="9485" max="9485" width="20.42578125" style="114" bestFit="1" customWidth="1"/>
    <col min="9486" max="9486" width="9.140625" style="114"/>
    <col min="9487" max="9487" width="17.28515625" style="114" bestFit="1" customWidth="1"/>
    <col min="9488" max="9488" width="9.140625" style="114"/>
    <col min="9489" max="9489" width="15.140625" style="114" bestFit="1" customWidth="1"/>
    <col min="9490" max="9491" width="9.140625" style="114"/>
    <col min="9492" max="9492" width="15" style="114" bestFit="1" customWidth="1"/>
    <col min="9493" max="9728" width="9.140625" style="114"/>
    <col min="9729" max="9729" width="12.85546875" style="114" customWidth="1"/>
    <col min="9730" max="9730" width="82.85546875" style="114" customWidth="1"/>
    <col min="9731" max="9731" width="24.140625" style="114" customWidth="1"/>
    <col min="9732" max="9732" width="14.140625" style="114" customWidth="1"/>
    <col min="9733" max="9733" width="22.85546875" style="114" customWidth="1"/>
    <col min="9734" max="9734" width="29.7109375" style="114" customWidth="1"/>
    <col min="9735" max="9735" width="26.5703125" style="114" customWidth="1"/>
    <col min="9736" max="9736" width="26.85546875" style="114" customWidth="1"/>
    <col min="9737" max="9737" width="23.28515625" style="114" bestFit="1" customWidth="1"/>
    <col min="9738" max="9738" width="33" style="114" customWidth="1"/>
    <col min="9739" max="9739" width="28.5703125" style="114" bestFit="1" customWidth="1"/>
    <col min="9740" max="9740" width="27.140625" style="114" bestFit="1" customWidth="1"/>
    <col min="9741" max="9741" width="20.42578125" style="114" bestFit="1" customWidth="1"/>
    <col min="9742" max="9742" width="9.140625" style="114"/>
    <col min="9743" max="9743" width="17.28515625" style="114" bestFit="1" customWidth="1"/>
    <col min="9744" max="9744" width="9.140625" style="114"/>
    <col min="9745" max="9745" width="15.140625" style="114" bestFit="1" customWidth="1"/>
    <col min="9746" max="9747" width="9.140625" style="114"/>
    <col min="9748" max="9748" width="15" style="114" bestFit="1" customWidth="1"/>
    <col min="9749" max="9984" width="9.140625" style="114"/>
    <col min="9985" max="9985" width="12.85546875" style="114" customWidth="1"/>
    <col min="9986" max="9986" width="82.85546875" style="114" customWidth="1"/>
    <col min="9987" max="9987" width="24.140625" style="114" customWidth="1"/>
    <col min="9988" max="9988" width="14.140625" style="114" customWidth="1"/>
    <col min="9989" max="9989" width="22.85546875" style="114" customWidth="1"/>
    <col min="9990" max="9990" width="29.7109375" style="114" customWidth="1"/>
    <col min="9991" max="9991" width="26.5703125" style="114" customWidth="1"/>
    <col min="9992" max="9992" width="26.85546875" style="114" customWidth="1"/>
    <col min="9993" max="9993" width="23.28515625" style="114" bestFit="1" customWidth="1"/>
    <col min="9994" max="9994" width="33" style="114" customWidth="1"/>
    <col min="9995" max="9995" width="28.5703125" style="114" bestFit="1" customWidth="1"/>
    <col min="9996" max="9996" width="27.140625" style="114" bestFit="1" customWidth="1"/>
    <col min="9997" max="9997" width="20.42578125" style="114" bestFit="1" customWidth="1"/>
    <col min="9998" max="9998" width="9.140625" style="114"/>
    <col min="9999" max="9999" width="17.28515625" style="114" bestFit="1" customWidth="1"/>
    <col min="10000" max="10000" width="9.140625" style="114"/>
    <col min="10001" max="10001" width="15.140625" style="114" bestFit="1" customWidth="1"/>
    <col min="10002" max="10003" width="9.140625" style="114"/>
    <col min="10004" max="10004" width="15" style="114" bestFit="1" customWidth="1"/>
    <col min="10005" max="10240" width="9.140625" style="114"/>
    <col min="10241" max="10241" width="12.85546875" style="114" customWidth="1"/>
    <col min="10242" max="10242" width="82.85546875" style="114" customWidth="1"/>
    <col min="10243" max="10243" width="24.140625" style="114" customWidth="1"/>
    <col min="10244" max="10244" width="14.140625" style="114" customWidth="1"/>
    <col min="10245" max="10245" width="22.85546875" style="114" customWidth="1"/>
    <col min="10246" max="10246" width="29.7109375" style="114" customWidth="1"/>
    <col min="10247" max="10247" width="26.5703125" style="114" customWidth="1"/>
    <col min="10248" max="10248" width="26.85546875" style="114" customWidth="1"/>
    <col min="10249" max="10249" width="23.28515625" style="114" bestFit="1" customWidth="1"/>
    <col min="10250" max="10250" width="33" style="114" customWidth="1"/>
    <col min="10251" max="10251" width="28.5703125" style="114" bestFit="1" customWidth="1"/>
    <col min="10252" max="10252" width="27.140625" style="114" bestFit="1" customWidth="1"/>
    <col min="10253" max="10253" width="20.42578125" style="114" bestFit="1" customWidth="1"/>
    <col min="10254" max="10254" width="9.140625" style="114"/>
    <col min="10255" max="10255" width="17.28515625" style="114" bestFit="1" customWidth="1"/>
    <col min="10256" max="10256" width="9.140625" style="114"/>
    <col min="10257" max="10257" width="15.140625" style="114" bestFit="1" customWidth="1"/>
    <col min="10258" max="10259" width="9.140625" style="114"/>
    <col min="10260" max="10260" width="15" style="114" bestFit="1" customWidth="1"/>
    <col min="10261" max="10496" width="9.140625" style="114"/>
    <col min="10497" max="10497" width="12.85546875" style="114" customWidth="1"/>
    <col min="10498" max="10498" width="82.85546875" style="114" customWidth="1"/>
    <col min="10499" max="10499" width="24.140625" style="114" customWidth="1"/>
    <col min="10500" max="10500" width="14.140625" style="114" customWidth="1"/>
    <col min="10501" max="10501" width="22.85546875" style="114" customWidth="1"/>
    <col min="10502" max="10502" width="29.7109375" style="114" customWidth="1"/>
    <col min="10503" max="10503" width="26.5703125" style="114" customWidth="1"/>
    <col min="10504" max="10504" width="26.85546875" style="114" customWidth="1"/>
    <col min="10505" max="10505" width="23.28515625" style="114" bestFit="1" customWidth="1"/>
    <col min="10506" max="10506" width="33" style="114" customWidth="1"/>
    <col min="10507" max="10507" width="28.5703125" style="114" bestFit="1" customWidth="1"/>
    <col min="10508" max="10508" width="27.140625" style="114" bestFit="1" customWidth="1"/>
    <col min="10509" max="10509" width="20.42578125" style="114" bestFit="1" customWidth="1"/>
    <col min="10510" max="10510" width="9.140625" style="114"/>
    <col min="10511" max="10511" width="17.28515625" style="114" bestFit="1" customWidth="1"/>
    <col min="10512" max="10512" width="9.140625" style="114"/>
    <col min="10513" max="10513" width="15.140625" style="114" bestFit="1" customWidth="1"/>
    <col min="10514" max="10515" width="9.140625" style="114"/>
    <col min="10516" max="10516" width="15" style="114" bestFit="1" customWidth="1"/>
    <col min="10517" max="10752" width="9.140625" style="114"/>
    <col min="10753" max="10753" width="12.85546875" style="114" customWidth="1"/>
    <col min="10754" max="10754" width="82.85546875" style="114" customWidth="1"/>
    <col min="10755" max="10755" width="24.140625" style="114" customWidth="1"/>
    <col min="10756" max="10756" width="14.140625" style="114" customWidth="1"/>
    <col min="10757" max="10757" width="22.85546875" style="114" customWidth="1"/>
    <col min="10758" max="10758" width="29.7109375" style="114" customWidth="1"/>
    <col min="10759" max="10759" width="26.5703125" style="114" customWidth="1"/>
    <col min="10760" max="10760" width="26.85546875" style="114" customWidth="1"/>
    <col min="10761" max="10761" width="23.28515625" style="114" bestFit="1" customWidth="1"/>
    <col min="10762" max="10762" width="33" style="114" customWidth="1"/>
    <col min="10763" max="10763" width="28.5703125" style="114" bestFit="1" customWidth="1"/>
    <col min="10764" max="10764" width="27.140625" style="114" bestFit="1" customWidth="1"/>
    <col min="10765" max="10765" width="20.42578125" style="114" bestFit="1" customWidth="1"/>
    <col min="10766" max="10766" width="9.140625" style="114"/>
    <col min="10767" max="10767" width="17.28515625" style="114" bestFit="1" customWidth="1"/>
    <col min="10768" max="10768" width="9.140625" style="114"/>
    <col min="10769" max="10769" width="15.140625" style="114" bestFit="1" customWidth="1"/>
    <col min="10770" max="10771" width="9.140625" style="114"/>
    <col min="10772" max="10772" width="15" style="114" bestFit="1" customWidth="1"/>
    <col min="10773" max="11008" width="9.140625" style="114"/>
    <col min="11009" max="11009" width="12.85546875" style="114" customWidth="1"/>
    <col min="11010" max="11010" width="82.85546875" style="114" customWidth="1"/>
    <col min="11011" max="11011" width="24.140625" style="114" customWidth="1"/>
    <col min="11012" max="11012" width="14.140625" style="114" customWidth="1"/>
    <col min="11013" max="11013" width="22.85546875" style="114" customWidth="1"/>
    <col min="11014" max="11014" width="29.7109375" style="114" customWidth="1"/>
    <col min="11015" max="11015" width="26.5703125" style="114" customWidth="1"/>
    <col min="11016" max="11016" width="26.85546875" style="114" customWidth="1"/>
    <col min="11017" max="11017" width="23.28515625" style="114" bestFit="1" customWidth="1"/>
    <col min="11018" max="11018" width="33" style="114" customWidth="1"/>
    <col min="11019" max="11019" width="28.5703125" style="114" bestFit="1" customWidth="1"/>
    <col min="11020" max="11020" width="27.140625" style="114" bestFit="1" customWidth="1"/>
    <col min="11021" max="11021" width="20.42578125" style="114" bestFit="1" customWidth="1"/>
    <col min="11022" max="11022" width="9.140625" style="114"/>
    <col min="11023" max="11023" width="17.28515625" style="114" bestFit="1" customWidth="1"/>
    <col min="11024" max="11024" width="9.140625" style="114"/>
    <col min="11025" max="11025" width="15.140625" style="114" bestFit="1" customWidth="1"/>
    <col min="11026" max="11027" width="9.140625" style="114"/>
    <col min="11028" max="11028" width="15" style="114" bestFit="1" customWidth="1"/>
    <col min="11029" max="11264" width="9.140625" style="114"/>
    <col min="11265" max="11265" width="12.85546875" style="114" customWidth="1"/>
    <col min="11266" max="11266" width="82.85546875" style="114" customWidth="1"/>
    <col min="11267" max="11267" width="24.140625" style="114" customWidth="1"/>
    <col min="11268" max="11268" width="14.140625" style="114" customWidth="1"/>
    <col min="11269" max="11269" width="22.85546875" style="114" customWidth="1"/>
    <col min="11270" max="11270" width="29.7109375" style="114" customWidth="1"/>
    <col min="11271" max="11271" width="26.5703125" style="114" customWidth="1"/>
    <col min="11272" max="11272" width="26.85546875" style="114" customWidth="1"/>
    <col min="11273" max="11273" width="23.28515625" style="114" bestFit="1" customWidth="1"/>
    <col min="11274" max="11274" width="33" style="114" customWidth="1"/>
    <col min="11275" max="11275" width="28.5703125" style="114" bestFit="1" customWidth="1"/>
    <col min="11276" max="11276" width="27.140625" style="114" bestFit="1" customWidth="1"/>
    <col min="11277" max="11277" width="20.42578125" style="114" bestFit="1" customWidth="1"/>
    <col min="11278" max="11278" width="9.140625" style="114"/>
    <col min="11279" max="11279" width="17.28515625" style="114" bestFit="1" customWidth="1"/>
    <col min="11280" max="11280" width="9.140625" style="114"/>
    <col min="11281" max="11281" width="15.140625" style="114" bestFit="1" customWidth="1"/>
    <col min="11282" max="11283" width="9.140625" style="114"/>
    <col min="11284" max="11284" width="15" style="114" bestFit="1" customWidth="1"/>
    <col min="11285" max="11520" width="9.140625" style="114"/>
    <col min="11521" max="11521" width="12.85546875" style="114" customWidth="1"/>
    <col min="11522" max="11522" width="82.85546875" style="114" customWidth="1"/>
    <col min="11523" max="11523" width="24.140625" style="114" customWidth="1"/>
    <col min="11524" max="11524" width="14.140625" style="114" customWidth="1"/>
    <col min="11525" max="11525" width="22.85546875" style="114" customWidth="1"/>
    <col min="11526" max="11526" width="29.7109375" style="114" customWidth="1"/>
    <col min="11527" max="11527" width="26.5703125" style="114" customWidth="1"/>
    <col min="11528" max="11528" width="26.85546875" style="114" customWidth="1"/>
    <col min="11529" max="11529" width="23.28515625" style="114" bestFit="1" customWidth="1"/>
    <col min="11530" max="11530" width="33" style="114" customWidth="1"/>
    <col min="11531" max="11531" width="28.5703125" style="114" bestFit="1" customWidth="1"/>
    <col min="11532" max="11532" width="27.140625" style="114" bestFit="1" customWidth="1"/>
    <col min="11533" max="11533" width="20.42578125" style="114" bestFit="1" customWidth="1"/>
    <col min="11534" max="11534" width="9.140625" style="114"/>
    <col min="11535" max="11535" width="17.28515625" style="114" bestFit="1" customWidth="1"/>
    <col min="11536" max="11536" width="9.140625" style="114"/>
    <col min="11537" max="11537" width="15.140625" style="114" bestFit="1" customWidth="1"/>
    <col min="11538" max="11539" width="9.140625" style="114"/>
    <col min="11540" max="11540" width="15" style="114" bestFit="1" customWidth="1"/>
    <col min="11541" max="11776" width="9.140625" style="114"/>
    <col min="11777" max="11777" width="12.85546875" style="114" customWidth="1"/>
    <col min="11778" max="11778" width="82.85546875" style="114" customWidth="1"/>
    <col min="11779" max="11779" width="24.140625" style="114" customWidth="1"/>
    <col min="11780" max="11780" width="14.140625" style="114" customWidth="1"/>
    <col min="11781" max="11781" width="22.85546875" style="114" customWidth="1"/>
    <col min="11782" max="11782" width="29.7109375" style="114" customWidth="1"/>
    <col min="11783" max="11783" width="26.5703125" style="114" customWidth="1"/>
    <col min="11784" max="11784" width="26.85546875" style="114" customWidth="1"/>
    <col min="11785" max="11785" width="23.28515625" style="114" bestFit="1" customWidth="1"/>
    <col min="11786" max="11786" width="33" style="114" customWidth="1"/>
    <col min="11787" max="11787" width="28.5703125" style="114" bestFit="1" customWidth="1"/>
    <col min="11788" max="11788" width="27.140625" style="114" bestFit="1" customWidth="1"/>
    <col min="11789" max="11789" width="20.42578125" style="114" bestFit="1" customWidth="1"/>
    <col min="11790" max="11790" width="9.140625" style="114"/>
    <col min="11791" max="11791" width="17.28515625" style="114" bestFit="1" customWidth="1"/>
    <col min="11792" max="11792" width="9.140625" style="114"/>
    <col min="11793" max="11793" width="15.140625" style="114" bestFit="1" customWidth="1"/>
    <col min="11794" max="11795" width="9.140625" style="114"/>
    <col min="11796" max="11796" width="15" style="114" bestFit="1" customWidth="1"/>
    <col min="11797" max="12032" width="9.140625" style="114"/>
    <col min="12033" max="12033" width="12.85546875" style="114" customWidth="1"/>
    <col min="12034" max="12034" width="82.85546875" style="114" customWidth="1"/>
    <col min="12035" max="12035" width="24.140625" style="114" customWidth="1"/>
    <col min="12036" max="12036" width="14.140625" style="114" customWidth="1"/>
    <col min="12037" max="12037" width="22.85546875" style="114" customWidth="1"/>
    <col min="12038" max="12038" width="29.7109375" style="114" customWidth="1"/>
    <col min="12039" max="12039" width="26.5703125" style="114" customWidth="1"/>
    <col min="12040" max="12040" width="26.85546875" style="114" customWidth="1"/>
    <col min="12041" max="12041" width="23.28515625" style="114" bestFit="1" customWidth="1"/>
    <col min="12042" max="12042" width="33" style="114" customWidth="1"/>
    <col min="12043" max="12043" width="28.5703125" style="114" bestFit="1" customWidth="1"/>
    <col min="12044" max="12044" width="27.140625" style="114" bestFit="1" customWidth="1"/>
    <col min="12045" max="12045" width="20.42578125" style="114" bestFit="1" customWidth="1"/>
    <col min="12046" max="12046" width="9.140625" style="114"/>
    <col min="12047" max="12047" width="17.28515625" style="114" bestFit="1" customWidth="1"/>
    <col min="12048" max="12048" width="9.140625" style="114"/>
    <col min="12049" max="12049" width="15.140625" style="114" bestFit="1" customWidth="1"/>
    <col min="12050" max="12051" width="9.140625" style="114"/>
    <col min="12052" max="12052" width="15" style="114" bestFit="1" customWidth="1"/>
    <col min="12053" max="12288" width="9.140625" style="114"/>
    <col min="12289" max="12289" width="12.85546875" style="114" customWidth="1"/>
    <col min="12290" max="12290" width="82.85546875" style="114" customWidth="1"/>
    <col min="12291" max="12291" width="24.140625" style="114" customWidth="1"/>
    <col min="12292" max="12292" width="14.140625" style="114" customWidth="1"/>
    <col min="12293" max="12293" width="22.85546875" style="114" customWidth="1"/>
    <col min="12294" max="12294" width="29.7109375" style="114" customWidth="1"/>
    <col min="12295" max="12295" width="26.5703125" style="114" customWidth="1"/>
    <col min="12296" max="12296" width="26.85546875" style="114" customWidth="1"/>
    <col min="12297" max="12297" width="23.28515625" style="114" bestFit="1" customWidth="1"/>
    <col min="12298" max="12298" width="33" style="114" customWidth="1"/>
    <col min="12299" max="12299" width="28.5703125" style="114" bestFit="1" customWidth="1"/>
    <col min="12300" max="12300" width="27.140625" style="114" bestFit="1" customWidth="1"/>
    <col min="12301" max="12301" width="20.42578125" style="114" bestFit="1" customWidth="1"/>
    <col min="12302" max="12302" width="9.140625" style="114"/>
    <col min="12303" max="12303" width="17.28515625" style="114" bestFit="1" customWidth="1"/>
    <col min="12304" max="12304" width="9.140625" style="114"/>
    <col min="12305" max="12305" width="15.140625" style="114" bestFit="1" customWidth="1"/>
    <col min="12306" max="12307" width="9.140625" style="114"/>
    <col min="12308" max="12308" width="15" style="114" bestFit="1" customWidth="1"/>
    <col min="12309" max="12544" width="9.140625" style="114"/>
    <col min="12545" max="12545" width="12.85546875" style="114" customWidth="1"/>
    <col min="12546" max="12546" width="82.85546875" style="114" customWidth="1"/>
    <col min="12547" max="12547" width="24.140625" style="114" customWidth="1"/>
    <col min="12548" max="12548" width="14.140625" style="114" customWidth="1"/>
    <col min="12549" max="12549" width="22.85546875" style="114" customWidth="1"/>
    <col min="12550" max="12550" width="29.7109375" style="114" customWidth="1"/>
    <col min="12551" max="12551" width="26.5703125" style="114" customWidth="1"/>
    <col min="12552" max="12552" width="26.85546875" style="114" customWidth="1"/>
    <col min="12553" max="12553" width="23.28515625" style="114" bestFit="1" customWidth="1"/>
    <col min="12554" max="12554" width="33" style="114" customWidth="1"/>
    <col min="12555" max="12555" width="28.5703125" style="114" bestFit="1" customWidth="1"/>
    <col min="12556" max="12556" width="27.140625" style="114" bestFit="1" customWidth="1"/>
    <col min="12557" max="12557" width="20.42578125" style="114" bestFit="1" customWidth="1"/>
    <col min="12558" max="12558" width="9.140625" style="114"/>
    <col min="12559" max="12559" width="17.28515625" style="114" bestFit="1" customWidth="1"/>
    <col min="12560" max="12560" width="9.140625" style="114"/>
    <col min="12561" max="12561" width="15.140625" style="114" bestFit="1" customWidth="1"/>
    <col min="12562" max="12563" width="9.140625" style="114"/>
    <col min="12564" max="12564" width="15" style="114" bestFit="1" customWidth="1"/>
    <col min="12565" max="12800" width="9.140625" style="114"/>
    <col min="12801" max="12801" width="12.85546875" style="114" customWidth="1"/>
    <col min="12802" max="12802" width="82.85546875" style="114" customWidth="1"/>
    <col min="12803" max="12803" width="24.140625" style="114" customWidth="1"/>
    <col min="12804" max="12804" width="14.140625" style="114" customWidth="1"/>
    <col min="12805" max="12805" width="22.85546875" style="114" customWidth="1"/>
    <col min="12806" max="12806" width="29.7109375" style="114" customWidth="1"/>
    <col min="12807" max="12807" width="26.5703125" style="114" customWidth="1"/>
    <col min="12808" max="12808" width="26.85546875" style="114" customWidth="1"/>
    <col min="12809" max="12809" width="23.28515625" style="114" bestFit="1" customWidth="1"/>
    <col min="12810" max="12810" width="33" style="114" customWidth="1"/>
    <col min="12811" max="12811" width="28.5703125" style="114" bestFit="1" customWidth="1"/>
    <col min="12812" max="12812" width="27.140625" style="114" bestFit="1" customWidth="1"/>
    <col min="12813" max="12813" width="20.42578125" style="114" bestFit="1" customWidth="1"/>
    <col min="12814" max="12814" width="9.140625" style="114"/>
    <col min="12815" max="12815" width="17.28515625" style="114" bestFit="1" customWidth="1"/>
    <col min="12816" max="12816" width="9.140625" style="114"/>
    <col min="12817" max="12817" width="15.140625" style="114" bestFit="1" customWidth="1"/>
    <col min="12818" max="12819" width="9.140625" style="114"/>
    <col min="12820" max="12820" width="15" style="114" bestFit="1" customWidth="1"/>
    <col min="12821" max="13056" width="9.140625" style="114"/>
    <col min="13057" max="13057" width="12.85546875" style="114" customWidth="1"/>
    <col min="13058" max="13058" width="82.85546875" style="114" customWidth="1"/>
    <col min="13059" max="13059" width="24.140625" style="114" customWidth="1"/>
    <col min="13060" max="13060" width="14.140625" style="114" customWidth="1"/>
    <col min="13061" max="13061" width="22.85546875" style="114" customWidth="1"/>
    <col min="13062" max="13062" width="29.7109375" style="114" customWidth="1"/>
    <col min="13063" max="13063" width="26.5703125" style="114" customWidth="1"/>
    <col min="13064" max="13064" width="26.85546875" style="114" customWidth="1"/>
    <col min="13065" max="13065" width="23.28515625" style="114" bestFit="1" customWidth="1"/>
    <col min="13066" max="13066" width="33" style="114" customWidth="1"/>
    <col min="13067" max="13067" width="28.5703125" style="114" bestFit="1" customWidth="1"/>
    <col min="13068" max="13068" width="27.140625" style="114" bestFit="1" customWidth="1"/>
    <col min="13069" max="13069" width="20.42578125" style="114" bestFit="1" customWidth="1"/>
    <col min="13070" max="13070" width="9.140625" style="114"/>
    <col min="13071" max="13071" width="17.28515625" style="114" bestFit="1" customWidth="1"/>
    <col min="13072" max="13072" width="9.140625" style="114"/>
    <col min="13073" max="13073" width="15.140625" style="114" bestFit="1" customWidth="1"/>
    <col min="13074" max="13075" width="9.140625" style="114"/>
    <col min="13076" max="13076" width="15" style="114" bestFit="1" customWidth="1"/>
    <col min="13077" max="13312" width="9.140625" style="114"/>
    <col min="13313" max="13313" width="12.85546875" style="114" customWidth="1"/>
    <col min="13314" max="13314" width="82.85546875" style="114" customWidth="1"/>
    <col min="13315" max="13315" width="24.140625" style="114" customWidth="1"/>
    <col min="13316" max="13316" width="14.140625" style="114" customWidth="1"/>
    <col min="13317" max="13317" width="22.85546875" style="114" customWidth="1"/>
    <col min="13318" max="13318" width="29.7109375" style="114" customWidth="1"/>
    <col min="13319" max="13319" width="26.5703125" style="114" customWidth="1"/>
    <col min="13320" max="13320" width="26.85546875" style="114" customWidth="1"/>
    <col min="13321" max="13321" width="23.28515625" style="114" bestFit="1" customWidth="1"/>
    <col min="13322" max="13322" width="33" style="114" customWidth="1"/>
    <col min="13323" max="13323" width="28.5703125" style="114" bestFit="1" customWidth="1"/>
    <col min="13324" max="13324" width="27.140625" style="114" bestFit="1" customWidth="1"/>
    <col min="13325" max="13325" width="20.42578125" style="114" bestFit="1" customWidth="1"/>
    <col min="13326" max="13326" width="9.140625" style="114"/>
    <col min="13327" max="13327" width="17.28515625" style="114" bestFit="1" customWidth="1"/>
    <col min="13328" max="13328" width="9.140625" style="114"/>
    <col min="13329" max="13329" width="15.140625" style="114" bestFit="1" customWidth="1"/>
    <col min="13330" max="13331" width="9.140625" style="114"/>
    <col min="13332" max="13332" width="15" style="114" bestFit="1" customWidth="1"/>
    <col min="13333" max="13568" width="9.140625" style="114"/>
    <col min="13569" max="13569" width="12.85546875" style="114" customWidth="1"/>
    <col min="13570" max="13570" width="82.85546875" style="114" customWidth="1"/>
    <col min="13571" max="13571" width="24.140625" style="114" customWidth="1"/>
    <col min="13572" max="13572" width="14.140625" style="114" customWidth="1"/>
    <col min="13573" max="13573" width="22.85546875" style="114" customWidth="1"/>
    <col min="13574" max="13574" width="29.7109375" style="114" customWidth="1"/>
    <col min="13575" max="13575" width="26.5703125" style="114" customWidth="1"/>
    <col min="13576" max="13576" width="26.85546875" style="114" customWidth="1"/>
    <col min="13577" max="13577" width="23.28515625" style="114" bestFit="1" customWidth="1"/>
    <col min="13578" max="13578" width="33" style="114" customWidth="1"/>
    <col min="13579" max="13579" width="28.5703125" style="114" bestFit="1" customWidth="1"/>
    <col min="13580" max="13580" width="27.140625" style="114" bestFit="1" customWidth="1"/>
    <col min="13581" max="13581" width="20.42578125" style="114" bestFit="1" customWidth="1"/>
    <col min="13582" max="13582" width="9.140625" style="114"/>
    <col min="13583" max="13583" width="17.28515625" style="114" bestFit="1" customWidth="1"/>
    <col min="13584" max="13584" width="9.140625" style="114"/>
    <col min="13585" max="13585" width="15.140625" style="114" bestFit="1" customWidth="1"/>
    <col min="13586" max="13587" width="9.140625" style="114"/>
    <col min="13588" max="13588" width="15" style="114" bestFit="1" customWidth="1"/>
    <col min="13589" max="13824" width="9.140625" style="114"/>
    <col min="13825" max="13825" width="12.85546875" style="114" customWidth="1"/>
    <col min="13826" max="13826" width="82.85546875" style="114" customWidth="1"/>
    <col min="13827" max="13827" width="24.140625" style="114" customWidth="1"/>
    <col min="13828" max="13828" width="14.140625" style="114" customWidth="1"/>
    <col min="13829" max="13829" width="22.85546875" style="114" customWidth="1"/>
    <col min="13830" max="13830" width="29.7109375" style="114" customWidth="1"/>
    <col min="13831" max="13831" width="26.5703125" style="114" customWidth="1"/>
    <col min="13832" max="13832" width="26.85546875" style="114" customWidth="1"/>
    <col min="13833" max="13833" width="23.28515625" style="114" bestFit="1" customWidth="1"/>
    <col min="13834" max="13834" width="33" style="114" customWidth="1"/>
    <col min="13835" max="13835" width="28.5703125" style="114" bestFit="1" customWidth="1"/>
    <col min="13836" max="13836" width="27.140625" style="114" bestFit="1" customWidth="1"/>
    <col min="13837" max="13837" width="20.42578125" style="114" bestFit="1" customWidth="1"/>
    <col min="13838" max="13838" width="9.140625" style="114"/>
    <col min="13839" max="13839" width="17.28515625" style="114" bestFit="1" customWidth="1"/>
    <col min="13840" max="13840" width="9.140625" style="114"/>
    <col min="13841" max="13841" width="15.140625" style="114" bestFit="1" customWidth="1"/>
    <col min="13842" max="13843" width="9.140625" style="114"/>
    <col min="13844" max="13844" width="15" style="114" bestFit="1" customWidth="1"/>
    <col min="13845" max="14080" width="9.140625" style="114"/>
    <col min="14081" max="14081" width="12.85546875" style="114" customWidth="1"/>
    <col min="14082" max="14082" width="82.85546875" style="114" customWidth="1"/>
    <col min="14083" max="14083" width="24.140625" style="114" customWidth="1"/>
    <col min="14084" max="14084" width="14.140625" style="114" customWidth="1"/>
    <col min="14085" max="14085" width="22.85546875" style="114" customWidth="1"/>
    <col min="14086" max="14086" width="29.7109375" style="114" customWidth="1"/>
    <col min="14087" max="14087" width="26.5703125" style="114" customWidth="1"/>
    <col min="14088" max="14088" width="26.85546875" style="114" customWidth="1"/>
    <col min="14089" max="14089" width="23.28515625" style="114" bestFit="1" customWidth="1"/>
    <col min="14090" max="14090" width="33" style="114" customWidth="1"/>
    <col min="14091" max="14091" width="28.5703125" style="114" bestFit="1" customWidth="1"/>
    <col min="14092" max="14092" width="27.140625" style="114" bestFit="1" customWidth="1"/>
    <col min="14093" max="14093" width="20.42578125" style="114" bestFit="1" customWidth="1"/>
    <col min="14094" max="14094" width="9.140625" style="114"/>
    <col min="14095" max="14095" width="17.28515625" style="114" bestFit="1" customWidth="1"/>
    <col min="14096" max="14096" width="9.140625" style="114"/>
    <col min="14097" max="14097" width="15.140625" style="114" bestFit="1" customWidth="1"/>
    <col min="14098" max="14099" width="9.140625" style="114"/>
    <col min="14100" max="14100" width="15" style="114" bestFit="1" customWidth="1"/>
    <col min="14101" max="14336" width="9.140625" style="114"/>
    <col min="14337" max="14337" width="12.85546875" style="114" customWidth="1"/>
    <col min="14338" max="14338" width="82.85546875" style="114" customWidth="1"/>
    <col min="14339" max="14339" width="24.140625" style="114" customWidth="1"/>
    <col min="14340" max="14340" width="14.140625" style="114" customWidth="1"/>
    <col min="14341" max="14341" width="22.85546875" style="114" customWidth="1"/>
    <col min="14342" max="14342" width="29.7109375" style="114" customWidth="1"/>
    <col min="14343" max="14343" width="26.5703125" style="114" customWidth="1"/>
    <col min="14344" max="14344" width="26.85546875" style="114" customWidth="1"/>
    <col min="14345" max="14345" width="23.28515625" style="114" bestFit="1" customWidth="1"/>
    <col min="14346" max="14346" width="33" style="114" customWidth="1"/>
    <col min="14347" max="14347" width="28.5703125" style="114" bestFit="1" customWidth="1"/>
    <col min="14348" max="14348" width="27.140625" style="114" bestFit="1" customWidth="1"/>
    <col min="14349" max="14349" width="20.42578125" style="114" bestFit="1" customWidth="1"/>
    <col min="14350" max="14350" width="9.140625" style="114"/>
    <col min="14351" max="14351" width="17.28515625" style="114" bestFit="1" customWidth="1"/>
    <col min="14352" max="14352" width="9.140625" style="114"/>
    <col min="14353" max="14353" width="15.140625" style="114" bestFit="1" customWidth="1"/>
    <col min="14354" max="14355" width="9.140625" style="114"/>
    <col min="14356" max="14356" width="15" style="114" bestFit="1" customWidth="1"/>
    <col min="14357" max="14592" width="9.140625" style="114"/>
    <col min="14593" max="14593" width="12.85546875" style="114" customWidth="1"/>
    <col min="14594" max="14594" width="82.85546875" style="114" customWidth="1"/>
    <col min="14595" max="14595" width="24.140625" style="114" customWidth="1"/>
    <col min="14596" max="14596" width="14.140625" style="114" customWidth="1"/>
    <col min="14597" max="14597" width="22.85546875" style="114" customWidth="1"/>
    <col min="14598" max="14598" width="29.7109375" style="114" customWidth="1"/>
    <col min="14599" max="14599" width="26.5703125" style="114" customWidth="1"/>
    <col min="14600" max="14600" width="26.85546875" style="114" customWidth="1"/>
    <col min="14601" max="14601" width="23.28515625" style="114" bestFit="1" customWidth="1"/>
    <col min="14602" max="14602" width="33" style="114" customWidth="1"/>
    <col min="14603" max="14603" width="28.5703125" style="114" bestFit="1" customWidth="1"/>
    <col min="14604" max="14604" width="27.140625" style="114" bestFit="1" customWidth="1"/>
    <col min="14605" max="14605" width="20.42578125" style="114" bestFit="1" customWidth="1"/>
    <col min="14606" max="14606" width="9.140625" style="114"/>
    <col min="14607" max="14607" width="17.28515625" style="114" bestFit="1" customWidth="1"/>
    <col min="14608" max="14608" width="9.140625" style="114"/>
    <col min="14609" max="14609" width="15.140625" style="114" bestFit="1" customWidth="1"/>
    <col min="14610" max="14611" width="9.140625" style="114"/>
    <col min="14612" max="14612" width="15" style="114" bestFit="1" customWidth="1"/>
    <col min="14613" max="14848" width="9.140625" style="114"/>
    <col min="14849" max="14849" width="12.85546875" style="114" customWidth="1"/>
    <col min="14850" max="14850" width="82.85546875" style="114" customWidth="1"/>
    <col min="14851" max="14851" width="24.140625" style="114" customWidth="1"/>
    <col min="14852" max="14852" width="14.140625" style="114" customWidth="1"/>
    <col min="14853" max="14853" width="22.85546875" style="114" customWidth="1"/>
    <col min="14854" max="14854" width="29.7109375" style="114" customWidth="1"/>
    <col min="14855" max="14855" width="26.5703125" style="114" customWidth="1"/>
    <col min="14856" max="14856" width="26.85546875" style="114" customWidth="1"/>
    <col min="14857" max="14857" width="23.28515625" style="114" bestFit="1" customWidth="1"/>
    <col min="14858" max="14858" width="33" style="114" customWidth="1"/>
    <col min="14859" max="14859" width="28.5703125" style="114" bestFit="1" customWidth="1"/>
    <col min="14860" max="14860" width="27.140625" style="114" bestFit="1" customWidth="1"/>
    <col min="14861" max="14861" width="20.42578125" style="114" bestFit="1" customWidth="1"/>
    <col min="14862" max="14862" width="9.140625" style="114"/>
    <col min="14863" max="14863" width="17.28515625" style="114" bestFit="1" customWidth="1"/>
    <col min="14864" max="14864" width="9.140625" style="114"/>
    <col min="14865" max="14865" width="15.140625" style="114" bestFit="1" customWidth="1"/>
    <col min="14866" max="14867" width="9.140625" style="114"/>
    <col min="14868" max="14868" width="15" style="114" bestFit="1" customWidth="1"/>
    <col min="14869" max="15104" width="9.140625" style="114"/>
    <col min="15105" max="15105" width="12.85546875" style="114" customWidth="1"/>
    <col min="15106" max="15106" width="82.85546875" style="114" customWidth="1"/>
    <col min="15107" max="15107" width="24.140625" style="114" customWidth="1"/>
    <col min="15108" max="15108" width="14.140625" style="114" customWidth="1"/>
    <col min="15109" max="15109" width="22.85546875" style="114" customWidth="1"/>
    <col min="15110" max="15110" width="29.7109375" style="114" customWidth="1"/>
    <col min="15111" max="15111" width="26.5703125" style="114" customWidth="1"/>
    <col min="15112" max="15112" width="26.85546875" style="114" customWidth="1"/>
    <col min="15113" max="15113" width="23.28515625" style="114" bestFit="1" customWidth="1"/>
    <col min="15114" max="15114" width="33" style="114" customWidth="1"/>
    <col min="15115" max="15115" width="28.5703125" style="114" bestFit="1" customWidth="1"/>
    <col min="15116" max="15116" width="27.140625" style="114" bestFit="1" customWidth="1"/>
    <col min="15117" max="15117" width="20.42578125" style="114" bestFit="1" customWidth="1"/>
    <col min="15118" max="15118" width="9.140625" style="114"/>
    <col min="15119" max="15119" width="17.28515625" style="114" bestFit="1" customWidth="1"/>
    <col min="15120" max="15120" width="9.140625" style="114"/>
    <col min="15121" max="15121" width="15.140625" style="114" bestFit="1" customWidth="1"/>
    <col min="15122" max="15123" width="9.140625" style="114"/>
    <col min="15124" max="15124" width="15" style="114" bestFit="1" customWidth="1"/>
    <col min="15125" max="15360" width="9.140625" style="114"/>
    <col min="15361" max="15361" width="12.85546875" style="114" customWidth="1"/>
    <col min="15362" max="15362" width="82.85546875" style="114" customWidth="1"/>
    <col min="15363" max="15363" width="24.140625" style="114" customWidth="1"/>
    <col min="15364" max="15364" width="14.140625" style="114" customWidth="1"/>
    <col min="15365" max="15365" width="22.85546875" style="114" customWidth="1"/>
    <col min="15366" max="15366" width="29.7109375" style="114" customWidth="1"/>
    <col min="15367" max="15367" width="26.5703125" style="114" customWidth="1"/>
    <col min="15368" max="15368" width="26.85546875" style="114" customWidth="1"/>
    <col min="15369" max="15369" width="23.28515625" style="114" bestFit="1" customWidth="1"/>
    <col min="15370" max="15370" width="33" style="114" customWidth="1"/>
    <col min="15371" max="15371" width="28.5703125" style="114" bestFit="1" customWidth="1"/>
    <col min="15372" max="15372" width="27.140625" style="114" bestFit="1" customWidth="1"/>
    <col min="15373" max="15373" width="20.42578125" style="114" bestFit="1" customWidth="1"/>
    <col min="15374" max="15374" width="9.140625" style="114"/>
    <col min="15375" max="15375" width="17.28515625" style="114" bestFit="1" customWidth="1"/>
    <col min="15376" max="15376" width="9.140625" style="114"/>
    <col min="15377" max="15377" width="15.140625" style="114" bestFit="1" customWidth="1"/>
    <col min="15378" max="15379" width="9.140625" style="114"/>
    <col min="15380" max="15380" width="15" style="114" bestFit="1" customWidth="1"/>
    <col min="15381" max="15616" width="9.140625" style="114"/>
    <col min="15617" max="15617" width="12.85546875" style="114" customWidth="1"/>
    <col min="15618" max="15618" width="82.85546875" style="114" customWidth="1"/>
    <col min="15619" max="15619" width="24.140625" style="114" customWidth="1"/>
    <col min="15620" max="15620" width="14.140625" style="114" customWidth="1"/>
    <col min="15621" max="15621" width="22.85546875" style="114" customWidth="1"/>
    <col min="15622" max="15622" width="29.7109375" style="114" customWidth="1"/>
    <col min="15623" max="15623" width="26.5703125" style="114" customWidth="1"/>
    <col min="15624" max="15624" width="26.85546875" style="114" customWidth="1"/>
    <col min="15625" max="15625" width="23.28515625" style="114" bestFit="1" customWidth="1"/>
    <col min="15626" max="15626" width="33" style="114" customWidth="1"/>
    <col min="15627" max="15627" width="28.5703125" style="114" bestFit="1" customWidth="1"/>
    <col min="15628" max="15628" width="27.140625" style="114" bestFit="1" customWidth="1"/>
    <col min="15629" max="15629" width="20.42578125" style="114" bestFit="1" customWidth="1"/>
    <col min="15630" max="15630" width="9.140625" style="114"/>
    <col min="15631" max="15631" width="17.28515625" style="114" bestFit="1" customWidth="1"/>
    <col min="15632" max="15632" width="9.140625" style="114"/>
    <col min="15633" max="15633" width="15.140625" style="114" bestFit="1" customWidth="1"/>
    <col min="15634" max="15635" width="9.140625" style="114"/>
    <col min="15636" max="15636" width="15" style="114" bestFit="1" customWidth="1"/>
    <col min="15637" max="15872" width="9.140625" style="114"/>
    <col min="15873" max="15873" width="12.85546875" style="114" customWidth="1"/>
    <col min="15874" max="15874" width="82.85546875" style="114" customWidth="1"/>
    <col min="15875" max="15875" width="24.140625" style="114" customWidth="1"/>
    <col min="15876" max="15876" width="14.140625" style="114" customWidth="1"/>
    <col min="15877" max="15877" width="22.85546875" style="114" customWidth="1"/>
    <col min="15878" max="15878" width="29.7109375" style="114" customWidth="1"/>
    <col min="15879" max="15879" width="26.5703125" style="114" customWidth="1"/>
    <col min="15880" max="15880" width="26.85546875" style="114" customWidth="1"/>
    <col min="15881" max="15881" width="23.28515625" style="114" bestFit="1" customWidth="1"/>
    <col min="15882" max="15882" width="33" style="114" customWidth="1"/>
    <col min="15883" max="15883" width="28.5703125" style="114" bestFit="1" customWidth="1"/>
    <col min="15884" max="15884" width="27.140625" style="114" bestFit="1" customWidth="1"/>
    <col min="15885" max="15885" width="20.42578125" style="114" bestFit="1" customWidth="1"/>
    <col min="15886" max="15886" width="9.140625" style="114"/>
    <col min="15887" max="15887" width="17.28515625" style="114" bestFit="1" customWidth="1"/>
    <col min="15888" max="15888" width="9.140625" style="114"/>
    <col min="15889" max="15889" width="15.140625" style="114" bestFit="1" customWidth="1"/>
    <col min="15890" max="15891" width="9.140625" style="114"/>
    <col min="15892" max="15892" width="15" style="114" bestFit="1" customWidth="1"/>
    <col min="15893" max="16128" width="9.140625" style="114"/>
    <col min="16129" max="16129" width="12.85546875" style="114" customWidth="1"/>
    <col min="16130" max="16130" width="82.85546875" style="114" customWidth="1"/>
    <col min="16131" max="16131" width="24.140625" style="114" customWidth="1"/>
    <col min="16132" max="16132" width="14.140625" style="114" customWidth="1"/>
    <col min="16133" max="16133" width="22.85546875" style="114" customWidth="1"/>
    <col min="16134" max="16134" width="29.7109375" style="114" customWidth="1"/>
    <col min="16135" max="16135" width="26.5703125" style="114" customWidth="1"/>
    <col min="16136" max="16136" width="26.85546875" style="114" customWidth="1"/>
    <col min="16137" max="16137" width="23.28515625" style="114" bestFit="1" customWidth="1"/>
    <col min="16138" max="16138" width="33" style="114" customWidth="1"/>
    <col min="16139" max="16139" width="28.5703125" style="114" bestFit="1" customWidth="1"/>
    <col min="16140" max="16140" width="27.140625" style="114" bestFit="1" customWidth="1"/>
    <col min="16141" max="16141" width="20.42578125" style="114" bestFit="1" customWidth="1"/>
    <col min="16142" max="16142" width="9.140625" style="114"/>
    <col min="16143" max="16143" width="17.28515625" style="114" bestFit="1" customWidth="1"/>
    <col min="16144" max="16144" width="9.140625" style="114"/>
    <col min="16145" max="16145" width="15.140625" style="114" bestFit="1" customWidth="1"/>
    <col min="16146" max="16147" width="9.140625" style="114"/>
    <col min="16148" max="16148" width="15" style="114" bestFit="1" customWidth="1"/>
    <col min="16149" max="16384" width="9.140625" style="114"/>
  </cols>
  <sheetData>
    <row r="1" spans="1:12" ht="72.75" customHeight="1">
      <c r="A1" s="959" t="str">
        <f>Main!A1</f>
        <v>CONSTRUCTION OF  DINING ROOM, PIGEON HOLE RACK WITH LOCKER BOX FOR USAGE OF PRISON STAFF  AT CENTRAL PRISON IN COIMBATORE CITY.</v>
      </c>
      <c r="B1" s="959"/>
      <c r="C1" s="959"/>
      <c r="D1" s="959"/>
      <c r="E1" s="959"/>
      <c r="F1" s="959"/>
      <c r="G1" s="960"/>
      <c r="H1" s="959"/>
      <c r="I1" s="959"/>
      <c r="J1" s="959"/>
    </row>
    <row r="2" spans="1:12" s="115" customFormat="1" ht="54.75" customHeight="1">
      <c r="A2" s="961" t="s">
        <v>297</v>
      </c>
      <c r="B2" s="961" t="s">
        <v>299</v>
      </c>
      <c r="C2" s="961" t="s">
        <v>300</v>
      </c>
      <c r="D2" s="961" t="s">
        <v>301</v>
      </c>
      <c r="E2" s="959" t="s">
        <v>304</v>
      </c>
      <c r="F2" s="959"/>
      <c r="G2" s="962" t="s">
        <v>279</v>
      </c>
      <c r="H2" s="961"/>
      <c r="I2" s="961" t="s">
        <v>305</v>
      </c>
      <c r="J2" s="961"/>
      <c r="L2" s="116"/>
    </row>
    <row r="3" spans="1:12" s="115" customFormat="1" ht="30.75" customHeight="1">
      <c r="A3" s="961"/>
      <c r="B3" s="961"/>
      <c r="C3" s="961"/>
      <c r="D3" s="961"/>
      <c r="E3" s="845" t="s">
        <v>5</v>
      </c>
      <c r="F3" s="845" t="s">
        <v>302</v>
      </c>
      <c r="G3" s="755" t="s">
        <v>5</v>
      </c>
      <c r="H3" s="845" t="s">
        <v>302</v>
      </c>
      <c r="I3" s="756" t="s">
        <v>5</v>
      </c>
      <c r="J3" s="845" t="s">
        <v>302</v>
      </c>
      <c r="K3" s="116"/>
      <c r="L3" s="116"/>
    </row>
    <row r="4" spans="1:12" s="115" customFormat="1">
      <c r="A4" s="844"/>
      <c r="B4" s="844"/>
      <c r="C4" s="844"/>
      <c r="D4" s="844"/>
      <c r="E4" s="844"/>
      <c r="F4" s="844"/>
      <c r="G4" s="757"/>
      <c r="H4" s="758"/>
      <c r="I4" s="759"/>
      <c r="J4" s="844"/>
      <c r="K4" s="116"/>
      <c r="L4" s="116"/>
    </row>
    <row r="5" spans="1:12" ht="60.75" customHeight="1">
      <c r="A5" s="760">
        <v>1.1000000000000001</v>
      </c>
      <c r="B5" s="761" t="s">
        <v>306</v>
      </c>
      <c r="C5" s="762"/>
      <c r="D5" s="763" t="s">
        <v>22</v>
      </c>
      <c r="E5" s="764"/>
      <c r="F5" s="764"/>
      <c r="G5" s="765" t="s">
        <v>307</v>
      </c>
      <c r="H5" s="766"/>
      <c r="I5" s="767" t="s">
        <v>307</v>
      </c>
      <c r="J5" s="768"/>
    </row>
    <row r="6" spans="1:12" ht="60.75" customHeight="1">
      <c r="A6" s="760"/>
      <c r="B6" s="761" t="s">
        <v>308</v>
      </c>
      <c r="C6" s="764">
        <f>[5]Data!$K$88</f>
        <v>195.54</v>
      </c>
      <c r="D6" s="763" t="s">
        <v>309</v>
      </c>
      <c r="E6" s="769">
        <f>Main!H19</f>
        <v>38.003359999999994</v>
      </c>
      <c r="F6" s="764">
        <f t="shared" ref="F6:F69" si="0">E6*C6</f>
        <v>7431.1770143999984</v>
      </c>
      <c r="G6" s="770">
        <f>PP!G9</f>
        <v>7.6999999999999993</v>
      </c>
      <c r="H6" s="763">
        <f t="shared" ref="H6:H69" si="1">G6*C6</f>
        <v>1505.6579999999999</v>
      </c>
      <c r="I6" s="771">
        <f>G6+E6</f>
        <v>45.703359999999989</v>
      </c>
      <c r="J6" s="769">
        <f>I6*C6</f>
        <v>8936.8350143999978</v>
      </c>
      <c r="K6" s="113" t="e">
        <f>#REF!+H6</f>
        <v>#REF!</v>
      </c>
      <c r="L6" s="113" t="e">
        <f>H6-#REF!</f>
        <v>#REF!</v>
      </c>
    </row>
    <row r="7" spans="1:12" s="134" customFormat="1" ht="60.75" customHeight="1">
      <c r="A7" s="760">
        <v>2.1</v>
      </c>
      <c r="B7" s="761" t="s">
        <v>286</v>
      </c>
      <c r="C7" s="764">
        <f>[5]Data!$K$144</f>
        <v>1547.97</v>
      </c>
      <c r="D7" s="763" t="s">
        <v>309</v>
      </c>
      <c r="E7" s="769">
        <f>Main!H31</f>
        <v>11.949619999999999</v>
      </c>
      <c r="F7" s="764">
        <f t="shared" si="0"/>
        <v>18497.653271399999</v>
      </c>
      <c r="G7" s="770">
        <f>PP!G12</f>
        <v>1.6</v>
      </c>
      <c r="H7" s="763">
        <f t="shared" si="1"/>
        <v>2476.7520000000004</v>
      </c>
      <c r="I7" s="771">
        <f t="shared" ref="I7:I70" si="2">G7+E7</f>
        <v>13.549619999999999</v>
      </c>
      <c r="J7" s="769">
        <f t="shared" ref="J7:J70" si="3">I7*C7</f>
        <v>20974.405271399999</v>
      </c>
      <c r="K7" s="113" t="e">
        <f>#REF!+H7</f>
        <v>#REF!</v>
      </c>
      <c r="L7" s="113" t="e">
        <f>H7-#REF!</f>
        <v>#REF!</v>
      </c>
    </row>
    <row r="8" spans="1:12" s="134" customFormat="1" ht="60.75" customHeight="1">
      <c r="A8" s="760">
        <v>3.1</v>
      </c>
      <c r="B8" s="772" t="s">
        <v>310</v>
      </c>
      <c r="C8" s="764">
        <f>[5]Data!$K$204</f>
        <v>4266.42</v>
      </c>
      <c r="D8" s="763" t="s">
        <v>309</v>
      </c>
      <c r="E8" s="769">
        <f>Main!H46</f>
        <v>3.3022199999999997</v>
      </c>
      <c r="F8" s="764">
        <f t="shared" si="0"/>
        <v>14088.657452399999</v>
      </c>
      <c r="G8" s="770">
        <f>PP!G15</f>
        <v>2.3000000000000003</v>
      </c>
      <c r="H8" s="763">
        <f t="shared" si="1"/>
        <v>9812.7660000000014</v>
      </c>
      <c r="I8" s="771">
        <f t="shared" si="2"/>
        <v>5.60222</v>
      </c>
      <c r="J8" s="769">
        <f t="shared" si="3"/>
        <v>23901.423452399998</v>
      </c>
      <c r="K8" s="113" t="e">
        <f>#REF!+H8</f>
        <v>#REF!</v>
      </c>
      <c r="L8" s="113" t="e">
        <f>H8-#REF!</f>
        <v>#REF!</v>
      </c>
    </row>
    <row r="9" spans="1:12" s="129" customFormat="1" ht="60.75" customHeight="1">
      <c r="A9" s="773">
        <v>6.2</v>
      </c>
      <c r="B9" s="774" t="s">
        <v>312</v>
      </c>
      <c r="C9" s="775">
        <f>[5]Data!$AG$321</f>
        <v>5985.26</v>
      </c>
      <c r="D9" s="776" t="s">
        <v>309</v>
      </c>
      <c r="E9" s="769">
        <f>Main!H109</f>
        <v>7.3012379999999988</v>
      </c>
      <c r="F9" s="764">
        <f t="shared" si="0"/>
        <v>43699.807751879991</v>
      </c>
      <c r="G9" s="770">
        <f>PP!G29</f>
        <v>0.4</v>
      </c>
      <c r="H9" s="763">
        <f t="shared" si="1"/>
        <v>2394.1040000000003</v>
      </c>
      <c r="I9" s="771">
        <f t="shared" si="2"/>
        <v>7.7012379999999991</v>
      </c>
      <c r="J9" s="769">
        <f t="shared" si="3"/>
        <v>46093.911751879998</v>
      </c>
      <c r="K9" s="128"/>
      <c r="L9" s="128"/>
    </row>
    <row r="10" spans="1:12" s="129" customFormat="1" ht="60.75" customHeight="1">
      <c r="A10" s="773">
        <v>9.1999999999999993</v>
      </c>
      <c r="B10" s="774" t="s">
        <v>316</v>
      </c>
      <c r="C10" s="777"/>
      <c r="D10" s="776"/>
      <c r="E10" s="769"/>
      <c r="F10" s="764">
        <f t="shared" si="0"/>
        <v>0</v>
      </c>
      <c r="G10" s="770"/>
      <c r="H10" s="763">
        <f t="shared" si="1"/>
        <v>0</v>
      </c>
      <c r="I10" s="771">
        <f t="shared" si="2"/>
        <v>0</v>
      </c>
      <c r="J10" s="769">
        <f t="shared" si="3"/>
        <v>0</v>
      </c>
      <c r="K10" s="128"/>
      <c r="L10" s="128"/>
    </row>
    <row r="11" spans="1:12" s="129" customFormat="1" ht="60.75" customHeight="1">
      <c r="A11" s="773"/>
      <c r="B11" s="772" t="s">
        <v>317</v>
      </c>
      <c r="C11" s="777">
        <f>[5]Data!$AG$347</f>
        <v>5994.7</v>
      </c>
      <c r="D11" s="776" t="s">
        <v>309</v>
      </c>
      <c r="E11" s="769">
        <f>Main!H121</f>
        <v>25.000980000000006</v>
      </c>
      <c r="F11" s="764">
        <f t="shared" si="0"/>
        <v>149873.37480600004</v>
      </c>
      <c r="G11" s="770"/>
      <c r="H11" s="763">
        <f t="shared" si="1"/>
        <v>0</v>
      </c>
      <c r="I11" s="771">
        <f t="shared" si="2"/>
        <v>25.000980000000006</v>
      </c>
      <c r="J11" s="769">
        <f t="shared" si="3"/>
        <v>149873.37480600004</v>
      </c>
      <c r="K11" s="128"/>
      <c r="L11" s="128"/>
    </row>
    <row r="12" spans="1:12" s="129" customFormat="1" ht="98.25" customHeight="1">
      <c r="A12" s="773">
        <v>10.199999999999999</v>
      </c>
      <c r="B12" s="774" t="s">
        <v>320</v>
      </c>
      <c r="C12" s="777"/>
      <c r="D12" s="776"/>
      <c r="E12" s="769"/>
      <c r="F12" s="764">
        <f t="shared" si="0"/>
        <v>0</v>
      </c>
      <c r="G12" s="770"/>
      <c r="H12" s="763">
        <f t="shared" si="1"/>
        <v>0</v>
      </c>
      <c r="I12" s="771">
        <f t="shared" si="2"/>
        <v>0</v>
      </c>
      <c r="J12" s="769">
        <f t="shared" si="3"/>
        <v>0</v>
      </c>
      <c r="K12" s="128"/>
      <c r="L12" s="128"/>
    </row>
    <row r="13" spans="1:12" s="129" customFormat="1" ht="60.75" customHeight="1">
      <c r="A13" s="773"/>
      <c r="B13" s="772" t="s">
        <v>318</v>
      </c>
      <c r="C13" s="777">
        <f>[5]Data!$AG$409</f>
        <v>747.85</v>
      </c>
      <c r="D13" s="776" t="s">
        <v>311</v>
      </c>
      <c r="E13" s="769"/>
      <c r="F13" s="764">
        <f t="shared" si="0"/>
        <v>0</v>
      </c>
      <c r="G13" s="770">
        <f>PP!G18</f>
        <v>20.100000000000001</v>
      </c>
      <c r="H13" s="763">
        <f t="shared" si="1"/>
        <v>15031.785000000002</v>
      </c>
      <c r="I13" s="771">
        <f t="shared" si="2"/>
        <v>20.100000000000001</v>
      </c>
      <c r="J13" s="769">
        <f t="shared" si="3"/>
        <v>15031.785000000002</v>
      </c>
      <c r="K13" s="128"/>
      <c r="L13" s="128"/>
    </row>
    <row r="14" spans="1:12" s="129" customFormat="1" ht="60.75" customHeight="1">
      <c r="A14" s="773"/>
      <c r="B14" s="772" t="s">
        <v>321</v>
      </c>
      <c r="C14" s="777">
        <f>[5]Data!$AG$411</f>
        <v>755.27</v>
      </c>
      <c r="D14" s="776" t="s">
        <v>311</v>
      </c>
      <c r="E14" s="769">
        <f>Main!H135</f>
        <v>52.300000000000004</v>
      </c>
      <c r="F14" s="764">
        <f t="shared" si="0"/>
        <v>39500.620999999999</v>
      </c>
      <c r="G14" s="770"/>
      <c r="H14" s="763">
        <f t="shared" si="1"/>
        <v>0</v>
      </c>
      <c r="I14" s="771">
        <f t="shared" si="2"/>
        <v>52.300000000000004</v>
      </c>
      <c r="J14" s="769">
        <f t="shared" si="3"/>
        <v>39500.620999999999</v>
      </c>
      <c r="K14" s="128"/>
      <c r="L14" s="128"/>
    </row>
    <row r="15" spans="1:12" s="129" customFormat="1" ht="60.75" customHeight="1">
      <c r="A15" s="773"/>
      <c r="B15" s="772" t="s">
        <v>319</v>
      </c>
      <c r="C15" s="777">
        <f>[5]Data!$AG$412</f>
        <v>770.23</v>
      </c>
      <c r="D15" s="776" t="s">
        <v>311</v>
      </c>
      <c r="E15" s="769"/>
      <c r="F15" s="764">
        <f t="shared" si="0"/>
        <v>0</v>
      </c>
      <c r="G15" s="770"/>
      <c r="H15" s="763">
        <f t="shared" si="1"/>
        <v>0</v>
      </c>
      <c r="I15" s="771">
        <f t="shared" si="2"/>
        <v>0</v>
      </c>
      <c r="J15" s="769">
        <f t="shared" si="3"/>
        <v>0</v>
      </c>
      <c r="K15" s="128"/>
      <c r="L15" s="128"/>
    </row>
    <row r="16" spans="1:12" s="129" customFormat="1" ht="60.75" customHeight="1">
      <c r="A16" s="773">
        <v>11.2</v>
      </c>
      <c r="B16" s="774" t="s">
        <v>322</v>
      </c>
      <c r="C16" s="777"/>
      <c r="D16" s="776"/>
      <c r="E16" s="769"/>
      <c r="F16" s="764">
        <f t="shared" si="0"/>
        <v>0</v>
      </c>
      <c r="G16" s="770"/>
      <c r="H16" s="763">
        <f t="shared" si="1"/>
        <v>0</v>
      </c>
      <c r="I16" s="771">
        <f t="shared" si="2"/>
        <v>0</v>
      </c>
      <c r="J16" s="769">
        <f t="shared" si="3"/>
        <v>0</v>
      </c>
      <c r="K16" s="128"/>
      <c r="L16" s="128"/>
    </row>
    <row r="17" spans="1:13" s="129" customFormat="1" ht="60.75" customHeight="1">
      <c r="A17" s="773"/>
      <c r="B17" s="772" t="s">
        <v>314</v>
      </c>
      <c r="C17" s="777">
        <f>[5]Data!$AG$448</f>
        <v>525.83000000000004</v>
      </c>
      <c r="D17" s="776" t="s">
        <v>311</v>
      </c>
      <c r="E17" s="769">
        <f>Main!H140</f>
        <v>27.799999999999997</v>
      </c>
      <c r="F17" s="764">
        <f t="shared" si="0"/>
        <v>14618.074000000001</v>
      </c>
      <c r="G17" s="770"/>
      <c r="H17" s="763">
        <f t="shared" si="1"/>
        <v>0</v>
      </c>
      <c r="I17" s="771">
        <f t="shared" si="2"/>
        <v>27.799999999999997</v>
      </c>
      <c r="J17" s="769">
        <f t="shared" si="3"/>
        <v>14618.074000000001</v>
      </c>
      <c r="K17" s="128"/>
      <c r="L17" s="128"/>
    </row>
    <row r="18" spans="1:13" s="137" customFormat="1" ht="60.75" customHeight="1">
      <c r="A18" s="778">
        <v>13.1</v>
      </c>
      <c r="B18" s="779" t="s">
        <v>323</v>
      </c>
      <c r="C18" s="780">
        <f>[5]Data!$K$482</f>
        <v>32.229999999999997</v>
      </c>
      <c r="D18" s="781" t="s">
        <v>309</v>
      </c>
      <c r="E18" s="769">
        <f>Main!H39</f>
        <v>20.953749999999992</v>
      </c>
      <c r="F18" s="764">
        <f t="shared" si="0"/>
        <v>675.33936249999965</v>
      </c>
      <c r="G18" s="770"/>
      <c r="H18" s="763">
        <f t="shared" si="1"/>
        <v>0</v>
      </c>
      <c r="I18" s="771">
        <f t="shared" si="2"/>
        <v>20.953749999999992</v>
      </c>
      <c r="J18" s="769">
        <f t="shared" si="3"/>
        <v>675.33936249999965</v>
      </c>
      <c r="K18" s="136" t="e">
        <f>#REF!+H18</f>
        <v>#REF!</v>
      </c>
      <c r="L18" s="136" t="e">
        <f>H18-#REF!</f>
        <v>#REF!</v>
      </c>
    </row>
    <row r="19" spans="1:13" s="133" customFormat="1" ht="60.75" customHeight="1">
      <c r="A19" s="782" t="s">
        <v>325</v>
      </c>
      <c r="B19" s="774" t="s">
        <v>326</v>
      </c>
      <c r="C19" s="775"/>
      <c r="D19" s="776"/>
      <c r="E19" s="769"/>
      <c r="F19" s="764">
        <f t="shared" si="0"/>
        <v>0</v>
      </c>
      <c r="G19" s="770"/>
      <c r="H19" s="763">
        <f t="shared" si="1"/>
        <v>0</v>
      </c>
      <c r="I19" s="771">
        <f t="shared" si="2"/>
        <v>0</v>
      </c>
      <c r="J19" s="769">
        <f t="shared" si="3"/>
        <v>0</v>
      </c>
      <c r="K19" s="131"/>
      <c r="L19" s="132"/>
    </row>
    <row r="20" spans="1:13" s="133" customFormat="1" ht="60.75" customHeight="1">
      <c r="A20" s="772"/>
      <c r="B20" s="772" t="s">
        <v>327</v>
      </c>
      <c r="C20" s="775">
        <f>[5]Data!$K$557</f>
        <v>1384.43</v>
      </c>
      <c r="D20" s="776" t="s">
        <v>311</v>
      </c>
      <c r="E20" s="769">
        <f>Main!H146</f>
        <v>1.4449999999999998</v>
      </c>
      <c r="F20" s="764">
        <f t="shared" si="0"/>
        <v>2000.5013499999998</v>
      </c>
      <c r="G20" s="770"/>
      <c r="H20" s="763">
        <f t="shared" si="1"/>
        <v>0</v>
      </c>
      <c r="I20" s="771">
        <f t="shared" si="2"/>
        <v>1.4449999999999998</v>
      </c>
      <c r="J20" s="769">
        <f t="shared" si="3"/>
        <v>2000.5013499999998</v>
      </c>
      <c r="K20" s="131"/>
      <c r="L20" s="132"/>
    </row>
    <row r="21" spans="1:13" s="129" customFormat="1" ht="60.75" customHeight="1">
      <c r="A21" s="773">
        <v>15.1</v>
      </c>
      <c r="B21" s="774" t="s">
        <v>328</v>
      </c>
      <c r="C21" s="777"/>
      <c r="D21" s="776"/>
      <c r="E21" s="769"/>
      <c r="F21" s="764">
        <f t="shared" si="0"/>
        <v>0</v>
      </c>
      <c r="G21" s="770"/>
      <c r="H21" s="763">
        <f t="shared" si="1"/>
        <v>0</v>
      </c>
      <c r="I21" s="771">
        <f t="shared" si="2"/>
        <v>0</v>
      </c>
      <c r="J21" s="769">
        <f t="shared" si="3"/>
        <v>0</v>
      </c>
      <c r="K21" s="128"/>
      <c r="L21" s="128"/>
    </row>
    <row r="22" spans="1:13" s="129" customFormat="1" ht="60.75" customHeight="1">
      <c r="A22" s="773"/>
      <c r="B22" s="772" t="s">
        <v>313</v>
      </c>
      <c r="C22" s="777">
        <f>[5]Data!$K$590</f>
        <v>519.79</v>
      </c>
      <c r="D22" s="776" t="s">
        <v>311</v>
      </c>
      <c r="E22" s="769">
        <f>Main!H151</f>
        <v>25.7</v>
      </c>
      <c r="F22" s="764">
        <f t="shared" si="0"/>
        <v>13358.602999999999</v>
      </c>
      <c r="G22" s="770"/>
      <c r="H22" s="763">
        <f t="shared" si="1"/>
        <v>0</v>
      </c>
      <c r="I22" s="771">
        <f t="shared" si="2"/>
        <v>25.7</v>
      </c>
      <c r="J22" s="769">
        <f t="shared" si="3"/>
        <v>13358.602999999999</v>
      </c>
      <c r="K22" s="128"/>
      <c r="L22" s="128"/>
    </row>
    <row r="23" spans="1:13" s="133" customFormat="1" ht="60.75" customHeight="1">
      <c r="A23" s="773">
        <v>16.100000000000001</v>
      </c>
      <c r="B23" s="772" t="s">
        <v>329</v>
      </c>
      <c r="C23" s="775"/>
      <c r="D23" s="776"/>
      <c r="E23" s="769"/>
      <c r="F23" s="764">
        <f t="shared" si="0"/>
        <v>0</v>
      </c>
      <c r="G23" s="770"/>
      <c r="H23" s="763">
        <f t="shared" si="1"/>
        <v>0</v>
      </c>
      <c r="I23" s="771">
        <f t="shared" si="2"/>
        <v>0</v>
      </c>
      <c r="J23" s="769">
        <f t="shared" si="3"/>
        <v>0</v>
      </c>
      <c r="K23" s="131"/>
      <c r="L23" s="132"/>
    </row>
    <row r="24" spans="1:13" s="133" customFormat="1" ht="60.75" customHeight="1">
      <c r="A24" s="773"/>
      <c r="B24" s="772" t="s">
        <v>314</v>
      </c>
      <c r="C24" s="775">
        <f>[5]Data!$K$659</f>
        <v>2521.35</v>
      </c>
      <c r="D24" s="776" t="s">
        <v>311</v>
      </c>
      <c r="E24" s="783">
        <f>Main!H203</f>
        <v>2.7</v>
      </c>
      <c r="F24" s="764">
        <f t="shared" si="0"/>
        <v>6807.6450000000004</v>
      </c>
      <c r="G24" s="770"/>
      <c r="H24" s="763">
        <f t="shared" si="1"/>
        <v>0</v>
      </c>
      <c r="I24" s="771">
        <f t="shared" si="2"/>
        <v>2.7</v>
      </c>
      <c r="J24" s="769">
        <f t="shared" si="3"/>
        <v>6807.6450000000004</v>
      </c>
      <c r="K24" s="131"/>
      <c r="L24" s="132"/>
    </row>
    <row r="25" spans="1:13" s="129" customFormat="1" ht="60.75" customHeight="1">
      <c r="A25" s="773">
        <v>21.1</v>
      </c>
      <c r="B25" s="774" t="s">
        <v>330</v>
      </c>
      <c r="C25" s="777"/>
      <c r="D25" s="776"/>
      <c r="E25" s="769"/>
      <c r="F25" s="764">
        <f t="shared" si="0"/>
        <v>0</v>
      </c>
      <c r="G25" s="770"/>
      <c r="H25" s="763">
        <f t="shared" si="1"/>
        <v>0</v>
      </c>
      <c r="I25" s="771">
        <f t="shared" si="2"/>
        <v>0</v>
      </c>
      <c r="J25" s="769">
        <f t="shared" si="3"/>
        <v>0</v>
      </c>
      <c r="K25" s="128"/>
      <c r="L25" s="128"/>
    </row>
    <row r="26" spans="1:13" s="129" customFormat="1" ht="60.75" customHeight="1">
      <c r="A26" s="773"/>
      <c r="B26" s="772" t="s">
        <v>331</v>
      </c>
      <c r="C26" s="777">
        <f>[5]Data!$K$889</f>
        <v>2359.17</v>
      </c>
      <c r="D26" s="776" t="s">
        <v>332</v>
      </c>
      <c r="E26" s="769">
        <f>Main!H199</f>
        <v>2</v>
      </c>
      <c r="F26" s="764">
        <f t="shared" si="0"/>
        <v>4718.34</v>
      </c>
      <c r="G26" s="770"/>
      <c r="H26" s="763">
        <f t="shared" si="1"/>
        <v>0</v>
      </c>
      <c r="I26" s="771">
        <f t="shared" si="2"/>
        <v>2</v>
      </c>
      <c r="J26" s="769">
        <f t="shared" si="3"/>
        <v>4718.34</v>
      </c>
      <c r="K26" s="128"/>
      <c r="L26" s="128"/>
    </row>
    <row r="27" spans="1:13" ht="60.75" customHeight="1">
      <c r="A27" s="760">
        <v>21.2</v>
      </c>
      <c r="B27" s="784" t="s">
        <v>333</v>
      </c>
      <c r="C27" s="764"/>
      <c r="D27" s="763"/>
      <c r="E27" s="769"/>
      <c r="F27" s="764">
        <f t="shared" si="0"/>
        <v>0</v>
      </c>
      <c r="G27" s="770"/>
      <c r="H27" s="763">
        <f t="shared" si="1"/>
        <v>0</v>
      </c>
      <c r="I27" s="771">
        <f t="shared" si="2"/>
        <v>0</v>
      </c>
      <c r="J27" s="769">
        <f t="shared" si="3"/>
        <v>0</v>
      </c>
      <c r="K27" s="754" t="s">
        <v>307</v>
      </c>
      <c r="L27" s="113" t="e">
        <f>H27-#REF!</f>
        <v>#REF!</v>
      </c>
      <c r="M27" s="130" t="s">
        <v>307</v>
      </c>
    </row>
    <row r="28" spans="1:13" ht="60.75" customHeight="1">
      <c r="A28" s="760"/>
      <c r="B28" s="761" t="s">
        <v>334</v>
      </c>
      <c r="C28" s="764">
        <f>[5]Data!$K$923</f>
        <v>122902.5</v>
      </c>
      <c r="D28" s="763" t="s">
        <v>309</v>
      </c>
      <c r="E28" s="785">
        <f>Main!H207</f>
        <v>3.3600000000000005E-2</v>
      </c>
      <c r="F28" s="764">
        <f t="shared" si="0"/>
        <v>4129.5240000000003</v>
      </c>
      <c r="G28" s="770"/>
      <c r="H28" s="763">
        <f t="shared" si="1"/>
        <v>0</v>
      </c>
      <c r="I28" s="786">
        <f t="shared" si="2"/>
        <v>3.3600000000000005E-2</v>
      </c>
      <c r="J28" s="769">
        <f t="shared" si="3"/>
        <v>4129.5240000000003</v>
      </c>
      <c r="K28" s="113" t="e">
        <f>#REF!+H28</f>
        <v>#REF!</v>
      </c>
      <c r="L28" s="113" t="e">
        <f>H28-#REF!</f>
        <v>#REF!</v>
      </c>
    </row>
    <row r="29" spans="1:13" ht="60.75" customHeight="1">
      <c r="A29" s="787"/>
      <c r="B29" s="761" t="s">
        <v>335</v>
      </c>
      <c r="C29" s="764">
        <f>[5]Data!$K$930</f>
        <v>110702.5</v>
      </c>
      <c r="D29" s="763" t="s">
        <v>309</v>
      </c>
      <c r="E29" s="785">
        <f>Main!H211</f>
        <v>1.9500000000000003E-2</v>
      </c>
      <c r="F29" s="764">
        <f t="shared" si="0"/>
        <v>2158.6987500000005</v>
      </c>
      <c r="G29" s="770"/>
      <c r="H29" s="763">
        <f t="shared" si="1"/>
        <v>0</v>
      </c>
      <c r="I29" s="786">
        <f t="shared" si="2"/>
        <v>1.9500000000000003E-2</v>
      </c>
      <c r="J29" s="769">
        <f t="shared" si="3"/>
        <v>2158.6987500000005</v>
      </c>
      <c r="K29" s="113" t="e">
        <f>#REF!+H29</f>
        <v>#REF!</v>
      </c>
      <c r="L29" s="113" t="e">
        <f>H29-#REF!</f>
        <v>#REF!</v>
      </c>
    </row>
    <row r="30" spans="1:13" s="129" customFormat="1" ht="60.75" customHeight="1">
      <c r="A30" s="773"/>
      <c r="B30" s="772" t="s">
        <v>3376</v>
      </c>
      <c r="C30" s="777">
        <f>'Est Data'!F29</f>
        <v>3790.1486744507411</v>
      </c>
      <c r="D30" s="776" t="s">
        <v>311</v>
      </c>
      <c r="E30" s="783">
        <f>Main!H485</f>
        <v>20.475000000000001</v>
      </c>
      <c r="F30" s="764">
        <f t="shared" si="0"/>
        <v>77603.294109378927</v>
      </c>
      <c r="G30" s="788"/>
      <c r="H30" s="763">
        <f t="shared" si="1"/>
        <v>0</v>
      </c>
      <c r="I30" s="771">
        <f t="shared" si="2"/>
        <v>20.475000000000001</v>
      </c>
      <c r="J30" s="769">
        <f t="shared" si="3"/>
        <v>77603.294109378927</v>
      </c>
      <c r="K30" s="128"/>
      <c r="L30" s="128"/>
    </row>
    <row r="31" spans="1:13" s="129" customFormat="1" ht="60.75" customHeight="1">
      <c r="A31" s="773"/>
      <c r="B31" s="772" t="str">
        <f>Main!B289</f>
        <v xml:space="preserve">Supplying and fixing of teak wood panelled door of Double leaves shutters </v>
      </c>
      <c r="C31" s="777"/>
      <c r="D31" s="776"/>
      <c r="E31" s="783"/>
      <c r="F31" s="764">
        <f t="shared" si="0"/>
        <v>0</v>
      </c>
      <c r="G31" s="788"/>
      <c r="H31" s="763"/>
      <c r="I31" s="771">
        <f t="shared" si="2"/>
        <v>0</v>
      </c>
      <c r="J31" s="769">
        <f t="shared" si="3"/>
        <v>0</v>
      </c>
      <c r="K31" s="128"/>
      <c r="L31" s="128"/>
    </row>
    <row r="32" spans="1:13" s="129" customFormat="1" ht="60.75" customHeight="1">
      <c r="A32" s="773"/>
      <c r="B32" s="772" t="str">
        <f>Main!B290</f>
        <v>a) For door size 1500x2100mm</v>
      </c>
      <c r="C32" s="777">
        <f>[5]Data!$K$3494</f>
        <v>15051.44</v>
      </c>
      <c r="D32" s="776" t="s">
        <v>332</v>
      </c>
      <c r="E32" s="783">
        <f>Main!H291</f>
        <v>1</v>
      </c>
      <c r="F32" s="764">
        <f t="shared" si="0"/>
        <v>15051.44</v>
      </c>
      <c r="G32" s="788"/>
      <c r="H32" s="763"/>
      <c r="I32" s="771">
        <f t="shared" si="2"/>
        <v>1</v>
      </c>
      <c r="J32" s="769">
        <f t="shared" si="3"/>
        <v>15051.44</v>
      </c>
      <c r="K32" s="128"/>
      <c r="L32" s="128"/>
    </row>
    <row r="33" spans="1:20" s="129" customFormat="1" ht="54" customHeight="1">
      <c r="A33" s="773"/>
      <c r="B33" s="772" t="str">
        <f>Main!B344</f>
        <v>Supplying and fixing of flush door single leaf door shutters  and as directed by the departmental officers (The quality and the BWR plywood should be got approved from the Executive Engineer before use).</v>
      </c>
      <c r="C33" s="777"/>
      <c r="D33" s="776"/>
      <c r="E33" s="769"/>
      <c r="F33" s="764">
        <f t="shared" si="0"/>
        <v>0</v>
      </c>
      <c r="G33" s="770"/>
      <c r="H33" s="763">
        <f t="shared" si="1"/>
        <v>0</v>
      </c>
      <c r="I33" s="771">
        <f t="shared" si="2"/>
        <v>0</v>
      </c>
      <c r="J33" s="769">
        <f t="shared" si="3"/>
        <v>0</v>
      </c>
      <c r="K33" s="128"/>
      <c r="L33" s="128"/>
    </row>
    <row r="34" spans="1:20" s="129" customFormat="1" ht="60.75" customHeight="1">
      <c r="A34" s="789"/>
      <c r="B34" s="772" t="s">
        <v>331</v>
      </c>
      <c r="C34" s="777">
        <f>[5]Data!$AG$3549</f>
        <v>3023.81</v>
      </c>
      <c r="D34" s="776" t="s">
        <v>311</v>
      </c>
      <c r="E34" s="769">
        <f>Main!H348</f>
        <v>3.8000000000000003</v>
      </c>
      <c r="F34" s="764">
        <f t="shared" si="0"/>
        <v>11490.478000000001</v>
      </c>
      <c r="G34" s="770"/>
      <c r="H34" s="763">
        <f t="shared" si="1"/>
        <v>0</v>
      </c>
      <c r="I34" s="771">
        <f t="shared" si="2"/>
        <v>3.8000000000000003</v>
      </c>
      <c r="J34" s="769">
        <f t="shared" si="3"/>
        <v>11490.478000000001</v>
      </c>
      <c r="K34" s="128" t="e">
        <f>#REF!+H34</f>
        <v>#REF!</v>
      </c>
      <c r="L34" s="128" t="e">
        <f>J34-K34</f>
        <v>#REF!</v>
      </c>
    </row>
    <row r="35" spans="1:20" s="134" customFormat="1" ht="60.75" customHeight="1">
      <c r="A35" s="760">
        <v>23.3</v>
      </c>
      <c r="B35" s="761" t="s">
        <v>336</v>
      </c>
      <c r="C35" s="764">
        <f>[5]Data!$K$1170</f>
        <v>52</v>
      </c>
      <c r="D35" s="763" t="s">
        <v>332</v>
      </c>
      <c r="E35" s="769">
        <f>Main!H214</f>
        <v>2</v>
      </c>
      <c r="F35" s="764">
        <f t="shared" si="0"/>
        <v>104</v>
      </c>
      <c r="G35" s="770"/>
      <c r="H35" s="763">
        <f t="shared" si="1"/>
        <v>0</v>
      </c>
      <c r="I35" s="771">
        <f t="shared" si="2"/>
        <v>2</v>
      </c>
      <c r="J35" s="769">
        <f t="shared" si="3"/>
        <v>104</v>
      </c>
      <c r="K35" s="113" t="e">
        <f>#REF!+H35</f>
        <v>#REF!</v>
      </c>
      <c r="L35" s="113" t="e">
        <f>H35-#REF!</f>
        <v>#REF!</v>
      </c>
    </row>
    <row r="36" spans="1:20" ht="60.75" customHeight="1">
      <c r="A36" s="760">
        <v>24</v>
      </c>
      <c r="B36" s="761" t="s">
        <v>337</v>
      </c>
      <c r="C36" s="764">
        <f>[5]Data!$K$1191</f>
        <v>60.9</v>
      </c>
      <c r="D36" s="763" t="s">
        <v>338</v>
      </c>
      <c r="E36" s="769">
        <f>Main!H373</f>
        <v>186.3</v>
      </c>
      <c r="F36" s="764">
        <f t="shared" si="0"/>
        <v>11345.67</v>
      </c>
      <c r="G36" s="770"/>
      <c r="H36" s="763">
        <f t="shared" si="1"/>
        <v>0</v>
      </c>
      <c r="I36" s="771">
        <f t="shared" si="2"/>
        <v>186.3</v>
      </c>
      <c r="J36" s="769">
        <f t="shared" si="3"/>
        <v>11345.67</v>
      </c>
      <c r="K36" s="113" t="e">
        <f>#REF!+H36</f>
        <v>#REF!</v>
      </c>
      <c r="L36" s="113" t="e">
        <f>H36-#REF!</f>
        <v>#REF!</v>
      </c>
    </row>
    <row r="37" spans="1:20" ht="60.75" customHeight="1">
      <c r="A37" s="760">
        <v>25</v>
      </c>
      <c r="B37" s="761" t="s">
        <v>339</v>
      </c>
      <c r="C37" s="764">
        <f>ROUND([3]Data!K1194,2)</f>
        <v>9.6</v>
      </c>
      <c r="D37" s="763" t="s">
        <v>332</v>
      </c>
      <c r="E37" s="769">
        <f>Main!H218</f>
        <v>18</v>
      </c>
      <c r="F37" s="764">
        <f t="shared" si="0"/>
        <v>172.79999999999998</v>
      </c>
      <c r="G37" s="770"/>
      <c r="H37" s="763">
        <f t="shared" si="1"/>
        <v>0</v>
      </c>
      <c r="I37" s="771">
        <f t="shared" si="2"/>
        <v>18</v>
      </c>
      <c r="J37" s="769">
        <f t="shared" si="3"/>
        <v>172.79999999999998</v>
      </c>
      <c r="K37" s="113" t="e">
        <f>#REF!+H37</f>
        <v>#REF!</v>
      </c>
      <c r="L37" s="113" t="e">
        <f>H37-#REF!</f>
        <v>#REF!</v>
      </c>
    </row>
    <row r="38" spans="1:20" ht="60.75" customHeight="1">
      <c r="A38" s="760">
        <v>26</v>
      </c>
      <c r="B38" s="761" t="s">
        <v>340</v>
      </c>
      <c r="C38" s="764">
        <f>[5]Data!$K$204</f>
        <v>4266.42</v>
      </c>
      <c r="D38" s="763" t="s">
        <v>309</v>
      </c>
      <c r="E38" s="769">
        <f>Main!H299</f>
        <v>4.6978749999999989</v>
      </c>
      <c r="F38" s="764">
        <f t="shared" si="0"/>
        <v>20043.107857499996</v>
      </c>
      <c r="G38" s="770"/>
      <c r="H38" s="763">
        <f t="shared" si="1"/>
        <v>0</v>
      </c>
      <c r="I38" s="771">
        <f t="shared" si="2"/>
        <v>4.6978749999999989</v>
      </c>
      <c r="J38" s="769">
        <f t="shared" si="3"/>
        <v>20043.107857499996</v>
      </c>
      <c r="K38" s="113" t="e">
        <f>#REF!+H38</f>
        <v>#REF!</v>
      </c>
      <c r="L38" s="113" t="e">
        <f>H38-#REF!</f>
        <v>#REF!</v>
      </c>
    </row>
    <row r="39" spans="1:20" ht="60.75" customHeight="1">
      <c r="A39" s="760">
        <v>28</v>
      </c>
      <c r="B39" s="784" t="s">
        <v>341</v>
      </c>
      <c r="C39" s="764">
        <f>[5]Data!$K$1213</f>
        <v>440.71</v>
      </c>
      <c r="D39" s="763" t="s">
        <v>311</v>
      </c>
      <c r="E39" s="769">
        <f>Main!H288</f>
        <v>0.72</v>
      </c>
      <c r="F39" s="764">
        <f t="shared" si="0"/>
        <v>317.31119999999999</v>
      </c>
      <c r="G39" s="770"/>
      <c r="H39" s="763">
        <f t="shared" si="1"/>
        <v>0</v>
      </c>
      <c r="I39" s="771">
        <f t="shared" si="2"/>
        <v>0.72</v>
      </c>
      <c r="J39" s="769">
        <f t="shared" si="3"/>
        <v>317.31119999999999</v>
      </c>
      <c r="K39" s="113" t="e">
        <f>#REF!+H39</f>
        <v>#REF!</v>
      </c>
      <c r="L39" s="113" t="e">
        <f>H39-#REF!</f>
        <v>#REF!</v>
      </c>
    </row>
    <row r="40" spans="1:20" s="129" customFormat="1" ht="60.75" customHeight="1">
      <c r="A40" s="773">
        <v>29.4</v>
      </c>
      <c r="B40" s="772" t="s">
        <v>342</v>
      </c>
      <c r="C40" s="777">
        <f>[5]Data!$K$1278</f>
        <v>1206.7</v>
      </c>
      <c r="D40" s="776" t="s">
        <v>311</v>
      </c>
      <c r="E40" s="769">
        <f>Main!H305</f>
        <v>24.695000000000004</v>
      </c>
      <c r="F40" s="764">
        <f t="shared" si="0"/>
        <v>29799.456500000008</v>
      </c>
      <c r="G40" s="770"/>
      <c r="H40" s="763">
        <f t="shared" si="1"/>
        <v>0</v>
      </c>
      <c r="I40" s="771">
        <f t="shared" si="2"/>
        <v>24.695000000000004</v>
      </c>
      <c r="J40" s="769">
        <f t="shared" si="3"/>
        <v>29799.456500000008</v>
      </c>
      <c r="K40" s="128"/>
      <c r="L40" s="128"/>
    </row>
    <row r="41" spans="1:20" s="129" customFormat="1" ht="60.75" customHeight="1">
      <c r="A41" s="773">
        <v>29.5</v>
      </c>
      <c r="B41" s="772" t="s">
        <v>343</v>
      </c>
      <c r="C41" s="777">
        <f>[5]Data!$K$1264</f>
        <v>1062.29</v>
      </c>
      <c r="D41" s="776" t="s">
        <v>311</v>
      </c>
      <c r="E41" s="769">
        <f>Main!H312</f>
        <v>12.997</v>
      </c>
      <c r="F41" s="764">
        <f t="shared" si="0"/>
        <v>13806.583129999999</v>
      </c>
      <c r="G41" s="770"/>
      <c r="H41" s="763">
        <f t="shared" si="1"/>
        <v>0</v>
      </c>
      <c r="I41" s="771">
        <f t="shared" si="2"/>
        <v>12.997</v>
      </c>
      <c r="J41" s="769">
        <f t="shared" si="3"/>
        <v>13806.583129999999</v>
      </c>
      <c r="K41" s="128"/>
      <c r="L41" s="128"/>
    </row>
    <row r="42" spans="1:20" ht="60.75" customHeight="1">
      <c r="A42" s="760">
        <v>30</v>
      </c>
      <c r="B42" s="761" t="s">
        <v>344</v>
      </c>
      <c r="C42" s="764">
        <f>[5]Data!$K$1312</f>
        <v>386.56</v>
      </c>
      <c r="D42" s="763" t="s">
        <v>311</v>
      </c>
      <c r="E42" s="769">
        <f>Main!H221</f>
        <v>6.419999999999999</v>
      </c>
      <c r="F42" s="764">
        <f t="shared" si="0"/>
        <v>2481.7151999999996</v>
      </c>
      <c r="G42" s="770"/>
      <c r="H42" s="763">
        <f t="shared" si="1"/>
        <v>0</v>
      </c>
      <c r="I42" s="771">
        <f t="shared" si="2"/>
        <v>6.419999999999999</v>
      </c>
      <c r="J42" s="769">
        <f t="shared" si="3"/>
        <v>2481.7151999999996</v>
      </c>
      <c r="K42" s="113" t="e">
        <f>#REF!+H42</f>
        <v>#REF!</v>
      </c>
      <c r="L42" s="113" t="e">
        <f>H42-#REF!</f>
        <v>#REF!</v>
      </c>
      <c r="T42" s="114">
        <f>146-34.2</f>
        <v>111.8</v>
      </c>
    </row>
    <row r="43" spans="1:20" ht="60.75" customHeight="1">
      <c r="A43" s="760">
        <v>33</v>
      </c>
      <c r="B43" s="761" t="s">
        <v>345</v>
      </c>
      <c r="C43" s="764">
        <f>[5]Data!$K$1400</f>
        <v>217.01</v>
      </c>
      <c r="D43" s="763" t="s">
        <v>311</v>
      </c>
      <c r="E43" s="769">
        <f>Main!H276</f>
        <v>447.75339999999994</v>
      </c>
      <c r="F43" s="764">
        <f t="shared" si="0"/>
        <v>97166.965333999979</v>
      </c>
      <c r="G43" s="770">
        <f>PP!G21</f>
        <v>18.100000000000001</v>
      </c>
      <c r="H43" s="763">
        <f t="shared" si="1"/>
        <v>3927.8810000000003</v>
      </c>
      <c r="I43" s="771">
        <f t="shared" si="2"/>
        <v>465.85339999999997</v>
      </c>
      <c r="J43" s="769">
        <f t="shared" si="3"/>
        <v>101094.84633399999</v>
      </c>
      <c r="K43" s="113" t="e">
        <f>#REF!+H43</f>
        <v>#REF!</v>
      </c>
      <c r="L43" s="113" t="e">
        <f>H43-#REF!</f>
        <v>#REF!</v>
      </c>
    </row>
    <row r="44" spans="1:20" ht="60.75" customHeight="1">
      <c r="A44" s="760">
        <v>34</v>
      </c>
      <c r="B44" s="761" t="s">
        <v>346</v>
      </c>
      <c r="C44" s="764">
        <f>[5]Data!$K$1414</f>
        <v>222.86</v>
      </c>
      <c r="D44" s="763" t="s">
        <v>311</v>
      </c>
      <c r="E44" s="769">
        <f>Main!H280</f>
        <v>3.8999999999999995</v>
      </c>
      <c r="F44" s="764">
        <f t="shared" si="0"/>
        <v>869.15399999999988</v>
      </c>
      <c r="G44" s="770"/>
      <c r="H44" s="763">
        <f t="shared" si="1"/>
        <v>0</v>
      </c>
      <c r="I44" s="771">
        <f t="shared" si="2"/>
        <v>3.8999999999999995</v>
      </c>
      <c r="J44" s="769">
        <f t="shared" si="3"/>
        <v>869.15399999999988</v>
      </c>
      <c r="K44" s="113" t="e">
        <f>#REF!+H44</f>
        <v>#REF!</v>
      </c>
      <c r="L44" s="113" t="e">
        <f>H44-#REF!</f>
        <v>#REF!</v>
      </c>
    </row>
    <row r="45" spans="1:20" ht="60.75" customHeight="1">
      <c r="A45" s="760">
        <v>35</v>
      </c>
      <c r="B45" s="761" t="s">
        <v>347</v>
      </c>
      <c r="C45" s="764">
        <f>[5]Data!$K$1426</f>
        <v>248.14</v>
      </c>
      <c r="D45" s="763" t="s">
        <v>311</v>
      </c>
      <c r="E45" s="769">
        <f>Main!H235</f>
        <v>66.702999999999975</v>
      </c>
      <c r="F45" s="764">
        <f t="shared" si="0"/>
        <v>16551.682419999994</v>
      </c>
      <c r="G45" s="770"/>
      <c r="H45" s="763">
        <f t="shared" si="1"/>
        <v>0</v>
      </c>
      <c r="I45" s="771">
        <f t="shared" si="2"/>
        <v>66.702999999999975</v>
      </c>
      <c r="J45" s="769">
        <f t="shared" si="3"/>
        <v>16551.682419999994</v>
      </c>
      <c r="K45" s="113" t="e">
        <f>#REF!+H45</f>
        <v>#REF!</v>
      </c>
      <c r="L45" s="113" t="e">
        <f>H45-#REF!</f>
        <v>#REF!</v>
      </c>
    </row>
    <row r="46" spans="1:20" ht="60.75" customHeight="1">
      <c r="A46" s="760">
        <v>36</v>
      </c>
      <c r="B46" s="784" t="s">
        <v>348</v>
      </c>
      <c r="C46" s="764"/>
      <c r="D46" s="763"/>
      <c r="E46" s="769"/>
      <c r="F46" s="764">
        <f t="shared" si="0"/>
        <v>0</v>
      </c>
      <c r="G46" s="770"/>
      <c r="H46" s="763">
        <f t="shared" si="1"/>
        <v>0</v>
      </c>
      <c r="I46" s="771">
        <f t="shared" si="2"/>
        <v>0</v>
      </c>
      <c r="J46" s="769">
        <f t="shared" si="3"/>
        <v>0</v>
      </c>
      <c r="K46" s="754" t="s">
        <v>307</v>
      </c>
      <c r="L46" s="113" t="e">
        <f>H46-#REF!</f>
        <v>#REF!</v>
      </c>
      <c r="M46" s="130" t="s">
        <v>307</v>
      </c>
    </row>
    <row r="47" spans="1:20" ht="60.75" customHeight="1">
      <c r="A47" s="761" t="s">
        <v>22</v>
      </c>
      <c r="B47" s="761" t="s">
        <v>349</v>
      </c>
      <c r="C47" s="764">
        <f>[5]Data!$K$1460</f>
        <v>68.75</v>
      </c>
      <c r="D47" s="763" t="s">
        <v>41</v>
      </c>
      <c r="E47" s="769">
        <f>Main!H283</f>
        <v>40.18</v>
      </c>
      <c r="F47" s="764">
        <f t="shared" si="0"/>
        <v>2762.375</v>
      </c>
      <c r="G47" s="770"/>
      <c r="H47" s="763">
        <f t="shared" si="1"/>
        <v>0</v>
      </c>
      <c r="I47" s="771">
        <f t="shared" si="2"/>
        <v>40.18</v>
      </c>
      <c r="J47" s="769">
        <f t="shared" si="3"/>
        <v>2762.375</v>
      </c>
      <c r="K47" s="113" t="e">
        <f>#REF!+H47</f>
        <v>#REF!</v>
      </c>
      <c r="L47" s="113" t="e">
        <f>H47-#REF!</f>
        <v>#REF!</v>
      </c>
    </row>
    <row r="48" spans="1:20" ht="60.75" customHeight="1">
      <c r="A48" s="761"/>
      <c r="B48" s="761" t="s">
        <v>350</v>
      </c>
      <c r="C48" s="764">
        <f>[5]Data!$K$1472</f>
        <v>44.7</v>
      </c>
      <c r="D48" s="763" t="s">
        <v>41</v>
      </c>
      <c r="E48" s="769">
        <f>Main!H285</f>
        <v>40.18</v>
      </c>
      <c r="F48" s="764">
        <f t="shared" si="0"/>
        <v>1796.046</v>
      </c>
      <c r="G48" s="770"/>
      <c r="H48" s="763">
        <f t="shared" si="1"/>
        <v>0</v>
      </c>
      <c r="I48" s="771">
        <f t="shared" si="2"/>
        <v>40.18</v>
      </c>
      <c r="J48" s="769">
        <f t="shared" si="3"/>
        <v>1796.046</v>
      </c>
      <c r="K48" s="113" t="e">
        <f>#REF!+H48</f>
        <v>#REF!</v>
      </c>
      <c r="L48" s="113" t="e">
        <f>H48-#REF!</f>
        <v>#REF!</v>
      </c>
    </row>
    <row r="49" spans="1:13" ht="60.75" customHeight="1">
      <c r="A49" s="760">
        <v>37.1</v>
      </c>
      <c r="B49" s="761" t="s">
        <v>351</v>
      </c>
      <c r="C49" s="764">
        <f>[5]Data!$K$1498</f>
        <v>38.54</v>
      </c>
      <c r="D49" s="763" t="s">
        <v>311</v>
      </c>
      <c r="E49" s="769">
        <f>Main!H367</f>
        <v>60.896999999999991</v>
      </c>
      <c r="F49" s="764">
        <f t="shared" si="0"/>
        <v>2346.9703799999997</v>
      </c>
      <c r="G49" s="770"/>
      <c r="H49" s="763">
        <f t="shared" si="1"/>
        <v>0</v>
      </c>
      <c r="I49" s="771">
        <f t="shared" si="2"/>
        <v>60.896999999999991</v>
      </c>
      <c r="J49" s="769">
        <f t="shared" si="3"/>
        <v>2346.9703799999997</v>
      </c>
      <c r="K49" s="113" t="e">
        <f>#REF!+H49</f>
        <v>#REF!</v>
      </c>
      <c r="L49" s="113" t="e">
        <f>H49-#REF!</f>
        <v>#REF!</v>
      </c>
    </row>
    <row r="50" spans="1:13" s="129" customFormat="1" ht="60.75" customHeight="1">
      <c r="A50" s="773">
        <v>38.1</v>
      </c>
      <c r="B50" s="772" t="s">
        <v>3388</v>
      </c>
      <c r="C50" s="777">
        <f>[5]Data!$K$2716</f>
        <v>52.84</v>
      </c>
      <c r="D50" s="776" t="s">
        <v>311</v>
      </c>
      <c r="E50" s="769">
        <f>Main!H457</f>
        <v>278.70379999999989</v>
      </c>
      <c r="F50" s="764">
        <f t="shared" si="0"/>
        <v>14726.708791999996</v>
      </c>
      <c r="G50" s="770"/>
      <c r="H50" s="763">
        <f t="shared" si="1"/>
        <v>0</v>
      </c>
      <c r="I50" s="771">
        <f t="shared" si="2"/>
        <v>278.70379999999989</v>
      </c>
      <c r="J50" s="769">
        <f t="shared" si="3"/>
        <v>14726.708791999996</v>
      </c>
      <c r="K50" s="128"/>
      <c r="L50" s="128"/>
    </row>
    <row r="51" spans="1:13" s="738" customFormat="1" ht="60.75" customHeight="1">
      <c r="A51" s="773">
        <v>40</v>
      </c>
      <c r="B51" s="772" t="s">
        <v>353</v>
      </c>
      <c r="C51" s="790">
        <f>[5]Data!$K$1540</f>
        <v>209.27</v>
      </c>
      <c r="D51" s="791" t="s">
        <v>311</v>
      </c>
      <c r="E51" s="783">
        <f>Main!H378</f>
        <v>9.8980000000000015</v>
      </c>
      <c r="F51" s="790">
        <f t="shared" si="0"/>
        <v>2071.3544600000005</v>
      </c>
      <c r="G51" s="788"/>
      <c r="H51" s="791">
        <f t="shared" si="1"/>
        <v>0</v>
      </c>
      <c r="I51" s="771">
        <f t="shared" si="2"/>
        <v>9.8980000000000015</v>
      </c>
      <c r="J51" s="783">
        <f t="shared" si="3"/>
        <v>2071.3544600000005</v>
      </c>
      <c r="K51" s="737" t="e">
        <f>#REF!+H51</f>
        <v>#REF!</v>
      </c>
      <c r="L51" s="737" t="e">
        <f>H51-#REF!</f>
        <v>#REF!</v>
      </c>
    </row>
    <row r="52" spans="1:13" s="738" customFormat="1" ht="60.75" customHeight="1">
      <c r="A52" s="773">
        <v>41</v>
      </c>
      <c r="B52" s="772" t="s">
        <v>354</v>
      </c>
      <c r="C52" s="790">
        <f>[5]Data!$K$1553</f>
        <v>124.12</v>
      </c>
      <c r="D52" s="791" t="s">
        <v>311</v>
      </c>
      <c r="E52" s="783">
        <f>Main!H383</f>
        <v>9.3150000000000013</v>
      </c>
      <c r="F52" s="790">
        <f t="shared" si="0"/>
        <v>1156.1778000000002</v>
      </c>
      <c r="G52" s="788"/>
      <c r="H52" s="791">
        <f t="shared" si="1"/>
        <v>0</v>
      </c>
      <c r="I52" s="771">
        <f t="shared" si="2"/>
        <v>9.3150000000000013</v>
      </c>
      <c r="J52" s="783">
        <f t="shared" si="3"/>
        <v>1156.1778000000002</v>
      </c>
      <c r="K52" s="737" t="e">
        <f>#REF!+H52</f>
        <v>#REF!</v>
      </c>
      <c r="L52" s="737" t="e">
        <f>H52-#REF!</f>
        <v>#REF!</v>
      </c>
    </row>
    <row r="53" spans="1:13" s="879" customFormat="1" ht="39.75" customHeight="1">
      <c r="A53" s="869">
        <v>43</v>
      </c>
      <c r="B53" s="870" t="s">
        <v>356</v>
      </c>
      <c r="C53" s="871"/>
      <c r="D53" s="872"/>
      <c r="E53" s="873"/>
      <c r="F53" s="874">
        <f t="shared" si="0"/>
        <v>0</v>
      </c>
      <c r="G53" s="875"/>
      <c r="H53" s="876">
        <f t="shared" si="1"/>
        <v>0</v>
      </c>
      <c r="I53" s="877">
        <f t="shared" si="2"/>
        <v>0</v>
      </c>
      <c r="J53" s="873">
        <f t="shared" si="3"/>
        <v>0</v>
      </c>
      <c r="K53" s="878"/>
      <c r="L53" s="878"/>
    </row>
    <row r="54" spans="1:13" s="879" customFormat="1" ht="38.25" customHeight="1">
      <c r="A54" s="870"/>
      <c r="B54" s="870" t="s">
        <v>355</v>
      </c>
      <c r="C54" s="871">
        <f>[5]Data!$K$1608</f>
        <v>71117</v>
      </c>
      <c r="D54" s="872" t="s">
        <v>47</v>
      </c>
      <c r="E54" s="880">
        <f>Main!H465</f>
        <v>2.4542919999999997</v>
      </c>
      <c r="F54" s="874">
        <f t="shared" si="0"/>
        <v>174541.88416399999</v>
      </c>
      <c r="G54" s="875"/>
      <c r="H54" s="876">
        <f t="shared" si="1"/>
        <v>0</v>
      </c>
      <c r="I54" s="880">
        <f t="shared" si="2"/>
        <v>2.4542919999999997</v>
      </c>
      <c r="J54" s="873">
        <f t="shared" si="3"/>
        <v>174541.88416399999</v>
      </c>
      <c r="K54" s="878" t="e">
        <f>#REF!+H54</f>
        <v>#REF!</v>
      </c>
      <c r="L54" s="878" t="e">
        <f>J54-K54</f>
        <v>#REF!</v>
      </c>
    </row>
    <row r="55" spans="1:13" s="129" customFormat="1" ht="60.75" customHeight="1">
      <c r="A55" s="773">
        <v>44.1</v>
      </c>
      <c r="B55" s="772" t="s">
        <v>357</v>
      </c>
      <c r="C55" s="777">
        <f>[5]Data!$K$1638</f>
        <v>316.45999999999998</v>
      </c>
      <c r="D55" s="776" t="s">
        <v>41</v>
      </c>
      <c r="E55" s="769">
        <f>Main!H558</f>
        <v>4.5</v>
      </c>
      <c r="F55" s="764">
        <f t="shared" si="0"/>
        <v>1424.07</v>
      </c>
      <c r="G55" s="770"/>
      <c r="H55" s="763">
        <f t="shared" si="1"/>
        <v>0</v>
      </c>
      <c r="I55" s="771">
        <f t="shared" si="2"/>
        <v>4.5</v>
      </c>
      <c r="J55" s="769">
        <f t="shared" si="3"/>
        <v>1424.07</v>
      </c>
      <c r="K55" s="128"/>
      <c r="L55" s="128"/>
    </row>
    <row r="56" spans="1:13" ht="60.75" customHeight="1">
      <c r="A56" s="760">
        <v>46</v>
      </c>
      <c r="B56" s="761" t="s">
        <v>358</v>
      </c>
      <c r="C56" s="764">
        <f>[5]Data!$K$1670</f>
        <v>58</v>
      </c>
      <c r="D56" s="763" t="s">
        <v>41</v>
      </c>
      <c r="E56" s="769"/>
      <c r="F56" s="764">
        <f t="shared" si="0"/>
        <v>0</v>
      </c>
      <c r="G56" s="770"/>
      <c r="H56" s="763">
        <f t="shared" si="1"/>
        <v>0</v>
      </c>
      <c r="I56" s="771">
        <f t="shared" si="2"/>
        <v>0</v>
      </c>
      <c r="J56" s="769">
        <f t="shared" si="3"/>
        <v>0</v>
      </c>
      <c r="K56" s="113" t="e">
        <f>#REF!+H56</f>
        <v>#REF!</v>
      </c>
      <c r="L56" s="113" t="e">
        <f>H56-#REF!</f>
        <v>#REF!</v>
      </c>
    </row>
    <row r="57" spans="1:13" ht="60.75" customHeight="1">
      <c r="A57" s="760">
        <v>47</v>
      </c>
      <c r="B57" s="761" t="s">
        <v>359</v>
      </c>
      <c r="C57" s="764">
        <f>[5]Data!$K$1682</f>
        <v>95</v>
      </c>
      <c r="D57" s="763" t="s">
        <v>332</v>
      </c>
      <c r="E57" s="769">
        <f>Main!H469</f>
        <v>4</v>
      </c>
      <c r="F57" s="764">
        <f t="shared" si="0"/>
        <v>380</v>
      </c>
      <c r="G57" s="770"/>
      <c r="H57" s="763">
        <f t="shared" si="1"/>
        <v>0</v>
      </c>
      <c r="I57" s="771">
        <f t="shared" si="2"/>
        <v>4</v>
      </c>
      <c r="J57" s="769">
        <f t="shared" si="3"/>
        <v>380</v>
      </c>
      <c r="K57" s="113" t="e">
        <f>#REF!+H57</f>
        <v>#REF!</v>
      </c>
      <c r="L57" s="113" t="e">
        <f>H57-#REF!</f>
        <v>#REF!</v>
      </c>
    </row>
    <row r="58" spans="1:13" s="134" customFormat="1" ht="60.75" customHeight="1">
      <c r="A58" s="760">
        <v>52</v>
      </c>
      <c r="B58" s="784" t="s">
        <v>3423</v>
      </c>
      <c r="C58" s="764"/>
      <c r="D58" s="763"/>
      <c r="E58" s="769"/>
      <c r="F58" s="764">
        <f t="shared" si="0"/>
        <v>0</v>
      </c>
      <c r="G58" s="770"/>
      <c r="H58" s="763">
        <f t="shared" si="1"/>
        <v>0</v>
      </c>
      <c r="I58" s="771">
        <f t="shared" si="2"/>
        <v>0</v>
      </c>
      <c r="J58" s="769">
        <f t="shared" si="3"/>
        <v>0</v>
      </c>
      <c r="K58" s="754" t="s">
        <v>307</v>
      </c>
      <c r="L58" s="113" t="e">
        <f>H58-#REF!</f>
        <v>#REF!</v>
      </c>
      <c r="M58" s="130" t="s">
        <v>307</v>
      </c>
    </row>
    <row r="59" spans="1:13" s="134" customFormat="1" ht="60.75" customHeight="1">
      <c r="A59" s="761"/>
      <c r="B59" s="761" t="s">
        <v>360</v>
      </c>
      <c r="C59" s="874">
        <f>[5]Data!$K$1890</f>
        <v>223.25</v>
      </c>
      <c r="D59" s="763" t="s">
        <v>41</v>
      </c>
      <c r="E59" s="769">
        <f>Main!H563</f>
        <v>25</v>
      </c>
      <c r="F59" s="764">
        <f t="shared" si="0"/>
        <v>5581.25</v>
      </c>
      <c r="G59" s="770"/>
      <c r="H59" s="763">
        <f t="shared" si="1"/>
        <v>0</v>
      </c>
      <c r="I59" s="771">
        <f t="shared" si="2"/>
        <v>25</v>
      </c>
      <c r="J59" s="769">
        <f t="shared" si="3"/>
        <v>5581.25</v>
      </c>
      <c r="K59" s="113" t="e">
        <f>#REF!+H59</f>
        <v>#REF!</v>
      </c>
      <c r="L59" s="113" t="e">
        <f>H59-#REF!</f>
        <v>#REF!</v>
      </c>
    </row>
    <row r="60" spans="1:13" s="134" customFormat="1" ht="60.75" customHeight="1">
      <c r="A60" s="761"/>
      <c r="B60" s="761" t="s">
        <v>361</v>
      </c>
      <c r="C60" s="874">
        <f>[5]Data!$K$1882</f>
        <v>207.43</v>
      </c>
      <c r="D60" s="763" t="s">
        <v>41</v>
      </c>
      <c r="E60" s="769">
        <f>Main!H567</f>
        <v>14</v>
      </c>
      <c r="F60" s="764">
        <f t="shared" si="0"/>
        <v>2904.02</v>
      </c>
      <c r="G60" s="770"/>
      <c r="H60" s="763">
        <f t="shared" si="1"/>
        <v>0</v>
      </c>
      <c r="I60" s="771">
        <f t="shared" si="2"/>
        <v>14</v>
      </c>
      <c r="J60" s="769">
        <f t="shared" si="3"/>
        <v>2904.02</v>
      </c>
      <c r="K60" s="113" t="e">
        <f>#REF!+H60</f>
        <v>#REF!</v>
      </c>
      <c r="L60" s="113" t="e">
        <f>H60-#REF!</f>
        <v>#REF!</v>
      </c>
    </row>
    <row r="61" spans="1:13" ht="60.75" customHeight="1">
      <c r="A61" s="760">
        <v>52.1</v>
      </c>
      <c r="B61" s="761" t="s">
        <v>362</v>
      </c>
      <c r="C61" s="764">
        <f>[5]Data!$K$1927</f>
        <v>281.19</v>
      </c>
      <c r="D61" s="763" t="s">
        <v>41</v>
      </c>
      <c r="E61" s="769">
        <f>Main!H572</f>
        <v>15</v>
      </c>
      <c r="F61" s="764">
        <f t="shared" si="0"/>
        <v>4217.8500000000004</v>
      </c>
      <c r="G61" s="770"/>
      <c r="H61" s="763">
        <f t="shared" si="1"/>
        <v>0</v>
      </c>
      <c r="I61" s="771">
        <f t="shared" si="2"/>
        <v>15</v>
      </c>
      <c r="J61" s="769">
        <f t="shared" si="3"/>
        <v>4217.8500000000004</v>
      </c>
      <c r="K61" s="113" t="e">
        <f>#REF!+H61</f>
        <v>#REF!</v>
      </c>
      <c r="L61" s="113" t="e">
        <f>H61-#REF!</f>
        <v>#REF!</v>
      </c>
    </row>
    <row r="62" spans="1:13" s="129" customFormat="1" ht="60.75" customHeight="1">
      <c r="A62" s="773">
        <v>53.1</v>
      </c>
      <c r="B62" s="772" t="s">
        <v>363</v>
      </c>
      <c r="C62" s="777">
        <f>[5]Data!$K$1948</f>
        <v>3066.82</v>
      </c>
      <c r="D62" s="776" t="s">
        <v>332</v>
      </c>
      <c r="E62" s="769">
        <f>Main!H575</f>
        <v>4</v>
      </c>
      <c r="F62" s="764">
        <f t="shared" si="0"/>
        <v>12267.28</v>
      </c>
      <c r="G62" s="770"/>
      <c r="H62" s="763">
        <f t="shared" si="1"/>
        <v>0</v>
      </c>
      <c r="I62" s="771">
        <f t="shared" si="2"/>
        <v>4</v>
      </c>
      <c r="J62" s="769">
        <f t="shared" si="3"/>
        <v>12267.28</v>
      </c>
      <c r="K62" s="128" t="e">
        <f>#REF!+H62</f>
        <v>#REF!</v>
      </c>
      <c r="L62" s="128" t="e">
        <f>J62-K62</f>
        <v>#REF!</v>
      </c>
    </row>
    <row r="63" spans="1:13" s="129" customFormat="1" ht="60.75" customHeight="1">
      <c r="A63" s="792">
        <v>54</v>
      </c>
      <c r="B63" s="772" t="s">
        <v>364</v>
      </c>
      <c r="C63" s="777">
        <f>[5]Data!$K$1954</f>
        <v>202</v>
      </c>
      <c r="D63" s="776" t="s">
        <v>332</v>
      </c>
      <c r="E63" s="769">
        <f>Main!H340</f>
        <v>4</v>
      </c>
      <c r="F63" s="764">
        <f t="shared" si="0"/>
        <v>808</v>
      </c>
      <c r="G63" s="770"/>
      <c r="H63" s="763">
        <f t="shared" si="1"/>
        <v>0</v>
      </c>
      <c r="I63" s="771">
        <f t="shared" si="2"/>
        <v>4</v>
      </c>
      <c r="J63" s="769">
        <f t="shared" si="3"/>
        <v>808</v>
      </c>
      <c r="K63" s="128"/>
      <c r="L63" s="128"/>
    </row>
    <row r="64" spans="1:13" s="129" customFormat="1" ht="60.75" customHeight="1">
      <c r="A64" s="773">
        <v>54.1</v>
      </c>
      <c r="B64" s="772" t="s">
        <v>3471</v>
      </c>
      <c r="C64" s="775">
        <f>[5]Data!$AF$3115</f>
        <v>464</v>
      </c>
      <c r="D64" s="776" t="s">
        <v>332</v>
      </c>
      <c r="E64" s="769">
        <f>Main!H582</f>
        <v>2</v>
      </c>
      <c r="F64" s="764">
        <f t="shared" si="0"/>
        <v>928</v>
      </c>
      <c r="G64" s="770"/>
      <c r="H64" s="763">
        <f t="shared" si="1"/>
        <v>0</v>
      </c>
      <c r="I64" s="771">
        <f t="shared" si="2"/>
        <v>2</v>
      </c>
      <c r="J64" s="769">
        <f t="shared" si="3"/>
        <v>928</v>
      </c>
      <c r="K64" s="128"/>
      <c r="L64" s="128"/>
    </row>
    <row r="65" spans="1:13" s="129" customFormat="1" ht="60.75" customHeight="1">
      <c r="A65" s="773">
        <v>54.2</v>
      </c>
      <c r="B65" s="772" t="s">
        <v>3472</v>
      </c>
      <c r="C65" s="775">
        <f>[5]Data!$AH$3115</f>
        <v>416</v>
      </c>
      <c r="D65" s="776" t="s">
        <v>332</v>
      </c>
      <c r="E65" s="769">
        <f>Main!H578</f>
        <v>2</v>
      </c>
      <c r="F65" s="764">
        <f t="shared" si="0"/>
        <v>832</v>
      </c>
      <c r="G65" s="770"/>
      <c r="H65" s="763">
        <f t="shared" si="1"/>
        <v>0</v>
      </c>
      <c r="I65" s="771">
        <f t="shared" si="2"/>
        <v>2</v>
      </c>
      <c r="J65" s="769">
        <f t="shared" si="3"/>
        <v>832</v>
      </c>
      <c r="K65" s="128"/>
      <c r="L65" s="128"/>
    </row>
    <row r="66" spans="1:13" s="129" customFormat="1" ht="60.75" customHeight="1">
      <c r="A66" s="773">
        <v>55.2</v>
      </c>
      <c r="B66" s="772" t="s">
        <v>365</v>
      </c>
      <c r="C66" s="777">
        <f>[5]Data!$K$2415</f>
        <v>1988.15</v>
      </c>
      <c r="D66" s="776" t="s">
        <v>332</v>
      </c>
      <c r="E66" s="769">
        <f>Main!H343</f>
        <v>1</v>
      </c>
      <c r="F66" s="764">
        <f t="shared" si="0"/>
        <v>1988.15</v>
      </c>
      <c r="G66" s="770"/>
      <c r="H66" s="763">
        <f t="shared" si="1"/>
        <v>0</v>
      </c>
      <c r="I66" s="771">
        <f t="shared" si="2"/>
        <v>1</v>
      </c>
      <c r="J66" s="769">
        <f t="shared" si="3"/>
        <v>1988.15</v>
      </c>
      <c r="K66" s="128"/>
      <c r="L66" s="128"/>
    </row>
    <row r="67" spans="1:13" s="129" customFormat="1" ht="60.75" customHeight="1">
      <c r="A67" s="792">
        <v>57</v>
      </c>
      <c r="B67" s="772" t="s">
        <v>366</v>
      </c>
      <c r="C67" s="775">
        <f>[5]Data!$K$2015</f>
        <v>6440.15</v>
      </c>
      <c r="D67" s="776" t="s">
        <v>332</v>
      </c>
      <c r="E67" s="769">
        <f>Main!H586</f>
        <v>2</v>
      </c>
      <c r="F67" s="764">
        <f t="shared" si="0"/>
        <v>12880.3</v>
      </c>
      <c r="G67" s="770"/>
      <c r="H67" s="763">
        <f t="shared" si="1"/>
        <v>0</v>
      </c>
      <c r="I67" s="771">
        <f t="shared" si="2"/>
        <v>2</v>
      </c>
      <c r="J67" s="769">
        <f t="shared" si="3"/>
        <v>12880.3</v>
      </c>
      <c r="K67" s="128"/>
      <c r="L67" s="128"/>
    </row>
    <row r="68" spans="1:13" s="129" customFormat="1" ht="60.75" customHeight="1">
      <c r="A68" s="773">
        <v>58.1</v>
      </c>
      <c r="B68" s="772" t="s">
        <v>367</v>
      </c>
      <c r="C68" s="777"/>
      <c r="D68" s="776"/>
      <c r="E68" s="769"/>
      <c r="F68" s="764">
        <f t="shared" si="0"/>
        <v>0</v>
      </c>
      <c r="G68" s="770"/>
      <c r="H68" s="763">
        <f t="shared" si="1"/>
        <v>0</v>
      </c>
      <c r="I68" s="771">
        <f t="shared" si="2"/>
        <v>0</v>
      </c>
      <c r="J68" s="769">
        <f t="shared" si="3"/>
        <v>0</v>
      </c>
      <c r="K68" s="128"/>
      <c r="L68" s="128"/>
    </row>
    <row r="69" spans="1:13" s="129" customFormat="1" ht="60.75" customHeight="1">
      <c r="A69" s="772"/>
      <c r="B69" s="772" t="s">
        <v>368</v>
      </c>
      <c r="C69" s="777">
        <f>[5]Data!$K$2063</f>
        <v>641.9</v>
      </c>
      <c r="D69" s="776" t="s">
        <v>41</v>
      </c>
      <c r="E69" s="769">
        <f>Main!H591</f>
        <v>8</v>
      </c>
      <c r="F69" s="764">
        <f t="shared" si="0"/>
        <v>5135.2</v>
      </c>
      <c r="G69" s="770"/>
      <c r="H69" s="763">
        <f t="shared" si="1"/>
        <v>0</v>
      </c>
      <c r="I69" s="771">
        <f t="shared" si="2"/>
        <v>8</v>
      </c>
      <c r="J69" s="769">
        <f t="shared" si="3"/>
        <v>5135.2</v>
      </c>
      <c r="K69" s="128"/>
      <c r="L69" s="128"/>
    </row>
    <row r="70" spans="1:13" s="129" customFormat="1" ht="60.75" customHeight="1">
      <c r="A70" s="789"/>
      <c r="B70" s="772" t="s">
        <v>369</v>
      </c>
      <c r="C70" s="777">
        <f>[5]Data!$K$2087</f>
        <v>529.1</v>
      </c>
      <c r="D70" s="776" t="s">
        <v>41</v>
      </c>
      <c r="E70" s="769">
        <f>Main!H594</f>
        <v>6</v>
      </c>
      <c r="F70" s="764">
        <f t="shared" ref="F70:F113" si="4">E70*C70</f>
        <v>3174.6000000000004</v>
      </c>
      <c r="G70" s="770"/>
      <c r="H70" s="763">
        <f t="shared" ref="H70:H113" si="5">G70*C70</f>
        <v>0</v>
      </c>
      <c r="I70" s="771">
        <f t="shared" si="2"/>
        <v>6</v>
      </c>
      <c r="J70" s="769">
        <f t="shared" si="3"/>
        <v>3174.6000000000004</v>
      </c>
      <c r="K70" s="128"/>
      <c r="L70" s="128"/>
    </row>
    <row r="71" spans="1:13" ht="60.75" customHeight="1">
      <c r="A71" s="760">
        <v>60</v>
      </c>
      <c r="B71" s="761" t="s">
        <v>370</v>
      </c>
      <c r="C71" s="764">
        <f>[5]Data!$K$2119</f>
        <v>136.69999999999999</v>
      </c>
      <c r="D71" s="763" t="s">
        <v>332</v>
      </c>
      <c r="E71" s="769">
        <f>Main!H598</f>
        <v>6</v>
      </c>
      <c r="F71" s="764">
        <f t="shared" si="4"/>
        <v>820.19999999999993</v>
      </c>
      <c r="G71" s="770"/>
      <c r="H71" s="763">
        <f t="shared" si="5"/>
        <v>0</v>
      </c>
      <c r="I71" s="771">
        <f t="shared" ref="I71:I113" si="6">G71+E71</f>
        <v>6</v>
      </c>
      <c r="J71" s="769">
        <f t="shared" ref="J71:J113" si="7">I71*C71</f>
        <v>820.19999999999993</v>
      </c>
      <c r="K71" s="113" t="e">
        <f>#REF!+H71</f>
        <v>#REF!</v>
      </c>
      <c r="L71" s="113" t="e">
        <f>H71-#REF!</f>
        <v>#REF!</v>
      </c>
    </row>
    <row r="72" spans="1:13" ht="60.75" customHeight="1">
      <c r="A72" s="760"/>
      <c r="B72" s="784" t="s">
        <v>371</v>
      </c>
      <c r="C72" s="764"/>
      <c r="D72" s="763"/>
      <c r="E72" s="769"/>
      <c r="F72" s="764">
        <f t="shared" si="4"/>
        <v>0</v>
      </c>
      <c r="G72" s="770"/>
      <c r="H72" s="763">
        <f t="shared" si="5"/>
        <v>0</v>
      </c>
      <c r="I72" s="771">
        <f t="shared" si="6"/>
        <v>0</v>
      </c>
      <c r="J72" s="769">
        <f t="shared" si="7"/>
        <v>0</v>
      </c>
      <c r="K72" s="754" t="s">
        <v>307</v>
      </c>
      <c r="L72" s="113" t="e">
        <f>H72-#REF!</f>
        <v>#REF!</v>
      </c>
      <c r="M72" s="130" t="s">
        <v>307</v>
      </c>
    </row>
    <row r="73" spans="1:13" ht="60.75" customHeight="1">
      <c r="A73" s="760">
        <f>'C.Abstract '!A89</f>
        <v>81</v>
      </c>
      <c r="B73" s="784" t="str">
        <f>Main!B516</f>
        <v>Meter cupboard</v>
      </c>
      <c r="C73" s="764">
        <f>[5]Data!$K$2255</f>
        <v>2292.0700000000002</v>
      </c>
      <c r="D73" s="763" t="s">
        <v>250</v>
      </c>
      <c r="E73" s="769">
        <f>Main!H516</f>
        <v>1</v>
      </c>
      <c r="F73" s="764">
        <f t="shared" si="4"/>
        <v>2292.0700000000002</v>
      </c>
      <c r="G73" s="770"/>
      <c r="H73" s="763">
        <f t="shared" si="5"/>
        <v>0</v>
      </c>
      <c r="I73" s="771">
        <f t="shared" si="6"/>
        <v>1</v>
      </c>
      <c r="J73" s="769">
        <f t="shared" si="7"/>
        <v>2292.0700000000002</v>
      </c>
      <c r="K73" s="692"/>
      <c r="M73" s="693"/>
    </row>
    <row r="74" spans="1:13" s="129" customFormat="1" ht="60.75" customHeight="1">
      <c r="A74" s="773">
        <v>64</v>
      </c>
      <c r="B74" s="772" t="s">
        <v>372</v>
      </c>
      <c r="C74" s="777">
        <f>[5]Data!$K$2261</f>
        <v>1340</v>
      </c>
      <c r="D74" s="776" t="s">
        <v>332</v>
      </c>
      <c r="E74" s="769">
        <f>Main!H494</f>
        <v>9</v>
      </c>
      <c r="F74" s="764">
        <f t="shared" si="4"/>
        <v>12060</v>
      </c>
      <c r="G74" s="770"/>
      <c r="H74" s="763">
        <f t="shared" si="5"/>
        <v>0</v>
      </c>
      <c r="I74" s="771">
        <f t="shared" si="6"/>
        <v>9</v>
      </c>
      <c r="J74" s="769">
        <f t="shared" si="7"/>
        <v>12060</v>
      </c>
      <c r="K74" s="128"/>
      <c r="L74" s="128"/>
    </row>
    <row r="75" spans="1:13" s="129" customFormat="1" ht="60.75" customHeight="1">
      <c r="A75" s="772"/>
      <c r="B75" s="772" t="s">
        <v>373</v>
      </c>
      <c r="C75" s="777">
        <f>[5]Data!$K$2262</f>
        <v>1344</v>
      </c>
      <c r="D75" s="776" t="s">
        <v>332</v>
      </c>
      <c r="E75" s="769">
        <f>Main!H499</f>
        <v>6</v>
      </c>
      <c r="F75" s="764">
        <f t="shared" si="4"/>
        <v>8064</v>
      </c>
      <c r="G75" s="770"/>
      <c r="H75" s="763">
        <f t="shared" si="5"/>
        <v>0</v>
      </c>
      <c r="I75" s="771">
        <f t="shared" si="6"/>
        <v>6</v>
      </c>
      <c r="J75" s="769">
        <f t="shared" si="7"/>
        <v>8064</v>
      </c>
      <c r="K75" s="128"/>
      <c r="L75" s="128"/>
    </row>
    <row r="76" spans="1:13" s="129" customFormat="1" ht="60.75" customHeight="1">
      <c r="A76" s="773">
        <v>65</v>
      </c>
      <c r="B76" s="772" t="s">
        <v>374</v>
      </c>
      <c r="C76" s="777">
        <f>[5]Data!$K$2264</f>
        <v>1399</v>
      </c>
      <c r="D76" s="776" t="s">
        <v>332</v>
      </c>
      <c r="E76" s="769">
        <f>Main!H538</f>
        <v>4</v>
      </c>
      <c r="F76" s="764">
        <f t="shared" si="4"/>
        <v>5596</v>
      </c>
      <c r="G76" s="770"/>
      <c r="H76" s="763">
        <f t="shared" si="5"/>
        <v>0</v>
      </c>
      <c r="I76" s="771">
        <f t="shared" si="6"/>
        <v>4</v>
      </c>
      <c r="J76" s="769">
        <f t="shared" si="7"/>
        <v>5596</v>
      </c>
      <c r="K76" s="128"/>
      <c r="L76" s="128"/>
    </row>
    <row r="77" spans="1:13" s="129" customFormat="1" ht="60.75" customHeight="1">
      <c r="A77" s="773">
        <v>67</v>
      </c>
      <c r="B77" s="772" t="s">
        <v>375</v>
      </c>
      <c r="C77" s="777">
        <f>[5]Data!$K$2266</f>
        <v>688</v>
      </c>
      <c r="D77" s="776" t="s">
        <v>332</v>
      </c>
      <c r="E77" s="769">
        <f>Main!H502</f>
        <v>2</v>
      </c>
      <c r="F77" s="764">
        <f t="shared" si="4"/>
        <v>1376</v>
      </c>
      <c r="G77" s="770"/>
      <c r="H77" s="763">
        <f t="shared" si="5"/>
        <v>0</v>
      </c>
      <c r="I77" s="771">
        <f t="shared" si="6"/>
        <v>2</v>
      </c>
      <c r="J77" s="769">
        <f t="shared" si="7"/>
        <v>1376</v>
      </c>
      <c r="K77" s="128"/>
      <c r="L77" s="128"/>
    </row>
    <row r="78" spans="1:13" s="129" customFormat="1" ht="60.75" customHeight="1">
      <c r="A78" s="773">
        <v>68</v>
      </c>
      <c r="B78" s="772" t="s">
        <v>376</v>
      </c>
      <c r="C78" s="777">
        <f>[5]Data!$K$2267</f>
        <v>934</v>
      </c>
      <c r="D78" s="776" t="s">
        <v>332</v>
      </c>
      <c r="E78" s="769">
        <f>Main!H505</f>
        <v>4</v>
      </c>
      <c r="F78" s="764">
        <f t="shared" si="4"/>
        <v>3736</v>
      </c>
      <c r="G78" s="770"/>
      <c r="H78" s="763">
        <f t="shared" si="5"/>
        <v>0</v>
      </c>
      <c r="I78" s="771">
        <f t="shared" si="6"/>
        <v>4</v>
      </c>
      <c r="J78" s="769">
        <f t="shared" si="7"/>
        <v>3736</v>
      </c>
      <c r="K78" s="128"/>
      <c r="L78" s="128"/>
    </row>
    <row r="79" spans="1:13" ht="60.75" customHeight="1">
      <c r="A79" s="760">
        <v>69</v>
      </c>
      <c r="B79" s="761" t="s">
        <v>377</v>
      </c>
      <c r="C79" s="764">
        <f>[5]Data!$K$2268</f>
        <v>129</v>
      </c>
      <c r="D79" s="763" t="s">
        <v>332</v>
      </c>
      <c r="E79" s="769">
        <f>Main!H508</f>
        <v>1</v>
      </c>
      <c r="F79" s="764">
        <f t="shared" si="4"/>
        <v>129</v>
      </c>
      <c r="G79" s="770"/>
      <c r="H79" s="763">
        <f t="shared" si="5"/>
        <v>0</v>
      </c>
      <c r="I79" s="771">
        <f t="shared" si="6"/>
        <v>1</v>
      </c>
      <c r="J79" s="769">
        <f t="shared" si="7"/>
        <v>129</v>
      </c>
      <c r="K79" s="113" t="e">
        <f>#REF!+H79</f>
        <v>#REF!</v>
      </c>
      <c r="L79" s="113" t="e">
        <f>H79-#REF!</f>
        <v>#REF!</v>
      </c>
    </row>
    <row r="80" spans="1:13" ht="60.75" customHeight="1">
      <c r="A80" s="760">
        <v>72</v>
      </c>
      <c r="B80" s="761" t="s">
        <v>378</v>
      </c>
      <c r="C80" s="764">
        <f>[5]Data!$K$2274</f>
        <v>33.9</v>
      </c>
      <c r="D80" s="763" t="s">
        <v>332</v>
      </c>
      <c r="E80" s="769">
        <f>Main!H532</f>
        <v>4</v>
      </c>
      <c r="F80" s="764">
        <f t="shared" si="4"/>
        <v>135.6</v>
      </c>
      <c r="G80" s="770"/>
      <c r="H80" s="763">
        <f t="shared" si="5"/>
        <v>0</v>
      </c>
      <c r="I80" s="771">
        <f t="shared" si="6"/>
        <v>4</v>
      </c>
      <c r="J80" s="769">
        <f t="shared" si="7"/>
        <v>135.6</v>
      </c>
      <c r="K80" s="113" t="e">
        <f>#REF!+H80</f>
        <v>#REF!</v>
      </c>
      <c r="L80" s="113" t="e">
        <f>H80-#REF!</f>
        <v>#REF!</v>
      </c>
    </row>
    <row r="81" spans="1:13" s="129" customFormat="1" ht="60.75" customHeight="1">
      <c r="A81" s="773">
        <v>73.2</v>
      </c>
      <c r="B81" s="772" t="s">
        <v>379</v>
      </c>
      <c r="C81" s="783">
        <f>[5]Data!$K$2276</f>
        <v>3250</v>
      </c>
      <c r="D81" s="791" t="s">
        <v>332</v>
      </c>
      <c r="E81" s="769">
        <f>Main!H549</f>
        <v>1</v>
      </c>
      <c r="F81" s="764">
        <f t="shared" si="4"/>
        <v>3250</v>
      </c>
      <c r="G81" s="770"/>
      <c r="H81" s="763">
        <f t="shared" si="5"/>
        <v>0</v>
      </c>
      <c r="I81" s="771">
        <f t="shared" si="6"/>
        <v>1</v>
      </c>
      <c r="J81" s="769">
        <f t="shared" si="7"/>
        <v>3250</v>
      </c>
      <c r="K81" s="128"/>
      <c r="L81" s="128"/>
    </row>
    <row r="82" spans="1:13" ht="60.75" customHeight="1">
      <c r="A82" s="760">
        <v>74</v>
      </c>
      <c r="B82" s="761" t="s">
        <v>380</v>
      </c>
      <c r="C82" s="764">
        <f>[5]Data!$K$2277</f>
        <v>467</v>
      </c>
      <c r="D82" s="763" t="s">
        <v>332</v>
      </c>
      <c r="E82" s="769">
        <f>Main!H535</f>
        <v>4</v>
      </c>
      <c r="F82" s="764">
        <f t="shared" si="4"/>
        <v>1868</v>
      </c>
      <c r="G82" s="770"/>
      <c r="H82" s="763">
        <f t="shared" si="5"/>
        <v>0</v>
      </c>
      <c r="I82" s="771">
        <f t="shared" si="6"/>
        <v>4</v>
      </c>
      <c r="J82" s="769">
        <f t="shared" si="7"/>
        <v>1868</v>
      </c>
      <c r="K82" s="113" t="e">
        <f>#REF!+H82</f>
        <v>#REF!</v>
      </c>
      <c r="L82" s="113" t="e">
        <f>H82-#REF!</f>
        <v>#REF!</v>
      </c>
    </row>
    <row r="83" spans="1:13" s="129" customFormat="1" ht="60.75" customHeight="1">
      <c r="A83" s="773">
        <v>75</v>
      </c>
      <c r="B83" s="774" t="s">
        <v>381</v>
      </c>
      <c r="C83" s="777"/>
      <c r="D83" s="776"/>
      <c r="E83" s="769"/>
      <c r="F83" s="764">
        <f t="shared" si="4"/>
        <v>0</v>
      </c>
      <c r="G83" s="770"/>
      <c r="H83" s="763">
        <f t="shared" si="5"/>
        <v>0</v>
      </c>
      <c r="I83" s="771">
        <f t="shared" si="6"/>
        <v>0</v>
      </c>
      <c r="J83" s="769">
        <f t="shared" si="7"/>
        <v>0</v>
      </c>
      <c r="K83" s="128"/>
      <c r="L83" s="128"/>
    </row>
    <row r="84" spans="1:13" s="129" customFormat="1" ht="60.75" customHeight="1">
      <c r="A84" s="772"/>
      <c r="B84" s="772" t="s">
        <v>382</v>
      </c>
      <c r="C84" s="777">
        <f>[5]Data!$K$2278</f>
        <v>1185</v>
      </c>
      <c r="D84" s="776" t="s">
        <v>332</v>
      </c>
      <c r="E84" s="769">
        <f>Main!H512</f>
        <v>4</v>
      </c>
      <c r="F84" s="764">
        <f t="shared" si="4"/>
        <v>4740</v>
      </c>
      <c r="G84" s="770"/>
      <c r="H84" s="763">
        <f t="shared" si="5"/>
        <v>0</v>
      </c>
      <c r="I84" s="771">
        <f t="shared" si="6"/>
        <v>4</v>
      </c>
      <c r="J84" s="769">
        <f t="shared" si="7"/>
        <v>4740</v>
      </c>
      <c r="K84" s="128"/>
      <c r="L84" s="128"/>
    </row>
    <row r="85" spans="1:13" ht="60.75" customHeight="1">
      <c r="A85" s="760">
        <v>76</v>
      </c>
      <c r="B85" s="761" t="s">
        <v>383</v>
      </c>
      <c r="C85" s="764">
        <f>[5]Elec.Data!$K$3294</f>
        <v>21.6</v>
      </c>
      <c r="D85" s="763" t="s">
        <v>41</v>
      </c>
      <c r="E85" s="769">
        <f>Main!H541</f>
        <v>7.5</v>
      </c>
      <c r="F85" s="764">
        <f t="shared" si="4"/>
        <v>162</v>
      </c>
      <c r="G85" s="770"/>
      <c r="H85" s="763">
        <f t="shared" si="5"/>
        <v>0</v>
      </c>
      <c r="I85" s="771">
        <f t="shared" si="6"/>
        <v>7.5</v>
      </c>
      <c r="J85" s="769">
        <f t="shared" si="7"/>
        <v>162</v>
      </c>
      <c r="K85" s="113" t="e">
        <f>#REF!+H85</f>
        <v>#REF!</v>
      </c>
      <c r="L85" s="113" t="e">
        <f>H85-#REF!</f>
        <v>#REF!</v>
      </c>
    </row>
    <row r="86" spans="1:13" s="129" customFormat="1" ht="60.75" customHeight="1">
      <c r="A86" s="773">
        <v>77.099999999999994</v>
      </c>
      <c r="B86" s="772" t="s">
        <v>384</v>
      </c>
      <c r="C86" s="777">
        <f>[5]Elec.Data!$K$3105</f>
        <v>219</v>
      </c>
      <c r="D86" s="776" t="s">
        <v>41</v>
      </c>
      <c r="E86" s="769">
        <f>Main!H551</f>
        <v>13.5</v>
      </c>
      <c r="F86" s="764">
        <f t="shared" si="4"/>
        <v>2956.5</v>
      </c>
      <c r="G86" s="770"/>
      <c r="H86" s="763">
        <f t="shared" si="5"/>
        <v>0</v>
      </c>
      <c r="I86" s="771">
        <f t="shared" si="6"/>
        <v>13.5</v>
      </c>
      <c r="J86" s="769">
        <f t="shared" si="7"/>
        <v>2956.5</v>
      </c>
      <c r="K86" s="128"/>
      <c r="L86" s="128"/>
    </row>
    <row r="87" spans="1:13" ht="60.75" customHeight="1">
      <c r="A87" s="760">
        <v>77.3</v>
      </c>
      <c r="B87" s="761" t="s">
        <v>385</v>
      </c>
      <c r="C87" s="764">
        <f>[5]Data!$K$2285</f>
        <v>80</v>
      </c>
      <c r="D87" s="763" t="s">
        <v>332</v>
      </c>
      <c r="E87" s="769">
        <f>Main!H544</f>
        <v>2</v>
      </c>
      <c r="F87" s="764">
        <f t="shared" si="4"/>
        <v>160</v>
      </c>
      <c r="G87" s="770"/>
      <c r="H87" s="763">
        <f t="shared" si="5"/>
        <v>0</v>
      </c>
      <c r="I87" s="771">
        <f t="shared" si="6"/>
        <v>2</v>
      </c>
      <c r="J87" s="769">
        <f t="shared" si="7"/>
        <v>160</v>
      </c>
      <c r="K87" s="113" t="e">
        <f>#REF!+H87</f>
        <v>#REF!</v>
      </c>
      <c r="L87" s="113" t="e">
        <f>H87-#REF!</f>
        <v>#REF!</v>
      </c>
    </row>
    <row r="88" spans="1:13" ht="60.75" customHeight="1">
      <c r="A88" s="760">
        <v>78</v>
      </c>
      <c r="B88" s="761" t="s">
        <v>386</v>
      </c>
      <c r="C88" s="764">
        <f>[5]Data!$K$2286</f>
        <v>2355</v>
      </c>
      <c r="D88" s="763" t="s">
        <v>332</v>
      </c>
      <c r="E88" s="769">
        <f>Main!H547</f>
        <v>1</v>
      </c>
      <c r="F88" s="764">
        <f t="shared" si="4"/>
        <v>2355</v>
      </c>
      <c r="G88" s="770"/>
      <c r="H88" s="763">
        <f t="shared" si="5"/>
        <v>0</v>
      </c>
      <c r="I88" s="771">
        <f t="shared" si="6"/>
        <v>1</v>
      </c>
      <c r="J88" s="769">
        <f t="shared" si="7"/>
        <v>2355</v>
      </c>
      <c r="K88" s="113" t="e">
        <f>#REF!+H88</f>
        <v>#REF!</v>
      </c>
      <c r="L88" s="113" t="e">
        <f>H88-#REF!</f>
        <v>#REF!</v>
      </c>
    </row>
    <row r="89" spans="1:13" ht="60.75" customHeight="1">
      <c r="A89" s="793">
        <v>86</v>
      </c>
      <c r="B89" s="761" t="s">
        <v>388</v>
      </c>
      <c r="C89" s="764">
        <f>[5]Data!$K$1793</f>
        <v>33.9</v>
      </c>
      <c r="D89" s="763" t="s">
        <v>311</v>
      </c>
      <c r="E89" s="769">
        <f>Main!H357</f>
        <v>65.569999999999993</v>
      </c>
      <c r="F89" s="764">
        <f t="shared" si="4"/>
        <v>2222.8229999999999</v>
      </c>
      <c r="G89" s="770"/>
      <c r="H89" s="763">
        <f t="shared" si="5"/>
        <v>0</v>
      </c>
      <c r="I89" s="771">
        <f t="shared" si="6"/>
        <v>65.569999999999993</v>
      </c>
      <c r="J89" s="769">
        <f t="shared" si="7"/>
        <v>2222.8229999999999</v>
      </c>
      <c r="K89" s="113" t="e">
        <f>#REF!+H89</f>
        <v>#REF!</v>
      </c>
      <c r="L89" s="113" t="e">
        <f>H89-#REF!</f>
        <v>#REF!</v>
      </c>
    </row>
    <row r="90" spans="1:13" ht="60.75" customHeight="1">
      <c r="A90" s="793"/>
      <c r="B90" s="794" t="s">
        <v>389</v>
      </c>
      <c r="C90" s="764"/>
      <c r="D90" s="763"/>
      <c r="E90" s="769"/>
      <c r="F90" s="764">
        <f t="shared" si="4"/>
        <v>0</v>
      </c>
      <c r="G90" s="770"/>
      <c r="H90" s="763">
        <f t="shared" si="5"/>
        <v>0</v>
      </c>
      <c r="I90" s="771">
        <f t="shared" si="6"/>
        <v>0</v>
      </c>
      <c r="J90" s="769">
        <f t="shared" si="7"/>
        <v>0</v>
      </c>
      <c r="K90" s="754" t="s">
        <v>307</v>
      </c>
      <c r="L90" s="113" t="e">
        <f>H90-#REF!</f>
        <v>#REF!</v>
      </c>
      <c r="M90" s="130" t="s">
        <v>307</v>
      </c>
    </row>
    <row r="91" spans="1:13" ht="60.75" customHeight="1">
      <c r="A91" s="793">
        <v>4.0999999999999996</v>
      </c>
      <c r="B91" s="795" t="s">
        <v>390</v>
      </c>
      <c r="C91" s="764"/>
      <c r="D91" s="763"/>
      <c r="E91" s="769"/>
      <c r="F91" s="764">
        <f t="shared" si="4"/>
        <v>0</v>
      </c>
      <c r="G91" s="770"/>
      <c r="H91" s="763">
        <f t="shared" si="5"/>
        <v>0</v>
      </c>
      <c r="I91" s="771">
        <f t="shared" si="6"/>
        <v>0</v>
      </c>
      <c r="J91" s="769">
        <f t="shared" si="7"/>
        <v>0</v>
      </c>
      <c r="K91" s="754" t="s">
        <v>307</v>
      </c>
      <c r="L91" s="113" t="e">
        <f>H91-#REF!</f>
        <v>#REF!</v>
      </c>
      <c r="M91" s="130" t="s">
        <v>307</v>
      </c>
    </row>
    <row r="92" spans="1:13" ht="60.75" customHeight="1">
      <c r="A92" s="793"/>
      <c r="B92" s="761" t="s">
        <v>318</v>
      </c>
      <c r="C92" s="764">
        <f>[5]Data!$X$718</f>
        <v>7041.59</v>
      </c>
      <c r="D92" s="763" t="s">
        <v>238</v>
      </c>
      <c r="E92" s="769">
        <f>Main!H69</f>
        <v>11.548387999999999</v>
      </c>
      <c r="F92" s="764">
        <f t="shared" si="4"/>
        <v>81319.013456920002</v>
      </c>
      <c r="G92" s="770"/>
      <c r="H92" s="763">
        <f t="shared" si="5"/>
        <v>0</v>
      </c>
      <c r="I92" s="771">
        <f t="shared" si="6"/>
        <v>11.548387999999999</v>
      </c>
      <c r="J92" s="769">
        <f t="shared" si="7"/>
        <v>81319.013456920002</v>
      </c>
      <c r="K92" s="113" t="e">
        <f>#REF!+H92</f>
        <v>#REF!</v>
      </c>
      <c r="L92" s="113" t="e">
        <f>H92-#REF!</f>
        <v>#REF!</v>
      </c>
    </row>
    <row r="93" spans="1:13" ht="60.75" customHeight="1">
      <c r="A93" s="793">
        <v>8.1</v>
      </c>
      <c r="B93" s="761" t="s">
        <v>391</v>
      </c>
      <c r="C93" s="764">
        <f>[5]Data!$X$720</f>
        <v>7140.48</v>
      </c>
      <c r="D93" s="763" t="s">
        <v>238</v>
      </c>
      <c r="E93" s="769">
        <f>Main!H89</f>
        <v>12.300082</v>
      </c>
      <c r="F93" s="764">
        <f t="shared" si="4"/>
        <v>87828.489519359995</v>
      </c>
      <c r="G93" s="770"/>
      <c r="H93" s="763">
        <f t="shared" si="5"/>
        <v>0</v>
      </c>
      <c r="I93" s="771">
        <f t="shared" si="6"/>
        <v>12.300082</v>
      </c>
      <c r="J93" s="769">
        <f t="shared" si="7"/>
        <v>87828.489519359995</v>
      </c>
      <c r="K93" s="113" t="e">
        <f>#REF!+H93</f>
        <v>#REF!</v>
      </c>
      <c r="L93" s="113" t="e">
        <f>H93-#REF!</f>
        <v>#REF!</v>
      </c>
    </row>
    <row r="94" spans="1:13" ht="60.75" customHeight="1">
      <c r="A94" s="760">
        <v>18.100000000000001</v>
      </c>
      <c r="B94" s="784" t="s">
        <v>394</v>
      </c>
      <c r="C94" s="764"/>
      <c r="D94" s="763"/>
      <c r="E94" s="769"/>
      <c r="F94" s="764">
        <f t="shared" si="4"/>
        <v>0</v>
      </c>
      <c r="G94" s="770"/>
      <c r="H94" s="763">
        <f t="shared" si="5"/>
        <v>0</v>
      </c>
      <c r="I94" s="771">
        <f t="shared" si="6"/>
        <v>0</v>
      </c>
      <c r="J94" s="769">
        <f t="shared" si="7"/>
        <v>0</v>
      </c>
      <c r="K94" s="754" t="s">
        <v>307</v>
      </c>
      <c r="L94" s="113" t="e">
        <f>H94-#REF!</f>
        <v>#REF!</v>
      </c>
      <c r="M94" s="130" t="s">
        <v>307</v>
      </c>
    </row>
    <row r="95" spans="1:13" ht="60.75" customHeight="1">
      <c r="A95" s="760"/>
      <c r="B95" s="761" t="s">
        <v>395</v>
      </c>
      <c r="C95" s="764">
        <f>[5]Data!$I$2354</f>
        <v>722.82</v>
      </c>
      <c r="D95" s="763" t="s">
        <v>250</v>
      </c>
      <c r="E95" s="769">
        <f>Main!H168</f>
        <v>55.503599999999999</v>
      </c>
      <c r="F95" s="764">
        <f t="shared" si="4"/>
        <v>40119.112152000002</v>
      </c>
      <c r="G95" s="770"/>
      <c r="H95" s="763">
        <f t="shared" si="5"/>
        <v>0</v>
      </c>
      <c r="I95" s="771">
        <f t="shared" si="6"/>
        <v>55.503599999999999</v>
      </c>
      <c r="J95" s="769">
        <f t="shared" si="7"/>
        <v>40119.112152000002</v>
      </c>
      <c r="K95" s="113" t="e">
        <f>#REF!+H95</f>
        <v>#REF!</v>
      </c>
      <c r="L95" s="113" t="e">
        <f>H95-#REF!</f>
        <v>#REF!</v>
      </c>
    </row>
    <row r="96" spans="1:13" ht="88.5" customHeight="1">
      <c r="A96" s="760"/>
      <c r="B96" s="761" t="s">
        <v>396</v>
      </c>
      <c r="C96" s="764">
        <f>[5]Data!$I$2356</f>
        <v>813.94</v>
      </c>
      <c r="D96" s="763" t="s">
        <v>250</v>
      </c>
      <c r="E96" s="769">
        <f>Main!H186</f>
        <v>93.151199999999989</v>
      </c>
      <c r="F96" s="764">
        <f t="shared" si="4"/>
        <v>75819.487727999993</v>
      </c>
      <c r="G96" s="770"/>
      <c r="H96" s="763">
        <f t="shared" si="5"/>
        <v>0</v>
      </c>
      <c r="I96" s="771">
        <f t="shared" si="6"/>
        <v>93.151199999999989</v>
      </c>
      <c r="J96" s="769">
        <f t="shared" si="7"/>
        <v>75819.487727999993</v>
      </c>
      <c r="K96" s="113" t="e">
        <f>#REF!+H96</f>
        <v>#REF!</v>
      </c>
      <c r="L96" s="113" t="e">
        <f>H96-#REF!</f>
        <v>#REF!</v>
      </c>
    </row>
    <row r="97" spans="1:12" ht="60.75" customHeight="1">
      <c r="A97" s="761"/>
      <c r="B97" s="761" t="s">
        <v>397</v>
      </c>
      <c r="C97" s="764">
        <f>[5]Data!$I$2358</f>
        <v>976.73</v>
      </c>
      <c r="D97" s="763" t="s">
        <v>250</v>
      </c>
      <c r="E97" s="769">
        <f>Main!H197</f>
        <v>37.550800000000002</v>
      </c>
      <c r="F97" s="764">
        <f t="shared" si="4"/>
        <v>36676.992884000007</v>
      </c>
      <c r="G97" s="770"/>
      <c r="H97" s="763">
        <f t="shared" si="5"/>
        <v>0</v>
      </c>
      <c r="I97" s="771">
        <f t="shared" si="6"/>
        <v>37.550800000000002</v>
      </c>
      <c r="J97" s="769">
        <f t="shared" si="7"/>
        <v>36676.992884000007</v>
      </c>
      <c r="K97" s="113" t="e">
        <f>#REF!+H97</f>
        <v>#REF!</v>
      </c>
      <c r="L97" s="113" t="e">
        <f>H97-#REF!</f>
        <v>#REF!</v>
      </c>
    </row>
    <row r="98" spans="1:12" ht="60.75" customHeight="1">
      <c r="A98" s="793" t="s">
        <v>398</v>
      </c>
      <c r="B98" s="761" t="s">
        <v>3452</v>
      </c>
      <c r="C98" s="764">
        <v>2828</v>
      </c>
      <c r="D98" s="763" t="s">
        <v>250</v>
      </c>
      <c r="E98" s="769">
        <f>Main!H352</f>
        <v>3.2</v>
      </c>
      <c r="F98" s="764">
        <f t="shared" si="4"/>
        <v>9049.6</v>
      </c>
      <c r="G98" s="770"/>
      <c r="H98" s="763">
        <f t="shared" si="5"/>
        <v>0</v>
      </c>
      <c r="I98" s="771">
        <f t="shared" si="6"/>
        <v>3.2</v>
      </c>
      <c r="J98" s="769">
        <f t="shared" si="7"/>
        <v>9049.6</v>
      </c>
      <c r="K98" s="113" t="e">
        <f>#REF!+H98</f>
        <v>#REF!</v>
      </c>
      <c r="L98" s="113" t="e">
        <f>H98-#REF!</f>
        <v>#REF!</v>
      </c>
    </row>
    <row r="99" spans="1:12" ht="60.75" customHeight="1">
      <c r="A99" s="796" t="s">
        <v>399</v>
      </c>
      <c r="B99" s="761" t="s">
        <v>400</v>
      </c>
      <c r="C99" s="764">
        <f>[5]Data!$K$1185</f>
        <v>704.8</v>
      </c>
      <c r="D99" s="763" t="s">
        <v>250</v>
      </c>
      <c r="E99" s="769">
        <f>Main!H480</f>
        <v>10.600000000000001</v>
      </c>
      <c r="F99" s="764">
        <f t="shared" si="4"/>
        <v>7470.88</v>
      </c>
      <c r="G99" s="770"/>
      <c r="H99" s="763">
        <f t="shared" si="5"/>
        <v>0</v>
      </c>
      <c r="I99" s="771">
        <f t="shared" si="6"/>
        <v>10.600000000000001</v>
      </c>
      <c r="J99" s="769">
        <f t="shared" si="7"/>
        <v>7470.88</v>
      </c>
      <c r="K99" s="113" t="e">
        <f>#REF!+H99</f>
        <v>#REF!</v>
      </c>
      <c r="L99" s="113" t="e">
        <f>H99-#REF!</f>
        <v>#REF!</v>
      </c>
    </row>
    <row r="100" spans="1:12" ht="110.25" customHeight="1">
      <c r="A100" s="760"/>
      <c r="B100" s="761" t="s">
        <v>3397</v>
      </c>
      <c r="C100" s="764">
        <f>Data!K1796</f>
        <v>5739.9999999999991</v>
      </c>
      <c r="D100" s="763" t="s">
        <v>332</v>
      </c>
      <c r="E100" s="769">
        <f>Main!H606</f>
        <v>1</v>
      </c>
      <c r="F100" s="764">
        <f t="shared" si="4"/>
        <v>5739.9999999999991</v>
      </c>
      <c r="G100" s="770"/>
      <c r="H100" s="763">
        <f t="shared" si="5"/>
        <v>0</v>
      </c>
      <c r="I100" s="771">
        <f t="shared" si="6"/>
        <v>1</v>
      </c>
      <c r="J100" s="769">
        <f t="shared" si="7"/>
        <v>5739.9999999999991</v>
      </c>
      <c r="K100" s="113" t="e">
        <f>#REF!+H100</f>
        <v>#REF!</v>
      </c>
      <c r="L100" s="113" t="e">
        <f>H100-#REF!</f>
        <v>#REF!</v>
      </c>
    </row>
    <row r="101" spans="1:12" s="129" customFormat="1" ht="87.75" customHeight="1">
      <c r="A101" s="797"/>
      <c r="B101" s="772" t="s">
        <v>401</v>
      </c>
      <c r="C101" s="783">
        <f>[5]Elec.Data!$K$3092</f>
        <v>187</v>
      </c>
      <c r="D101" s="903" t="s">
        <v>41</v>
      </c>
      <c r="E101" s="783">
        <f>Main!H514</f>
        <v>36</v>
      </c>
      <c r="F101" s="790">
        <f t="shared" si="4"/>
        <v>6732</v>
      </c>
      <c r="G101" s="788"/>
      <c r="H101" s="791">
        <f t="shared" si="5"/>
        <v>0</v>
      </c>
      <c r="I101" s="771">
        <f t="shared" si="6"/>
        <v>36</v>
      </c>
      <c r="J101" s="783">
        <f t="shared" si="7"/>
        <v>6732</v>
      </c>
      <c r="K101" s="128"/>
      <c r="L101" s="128"/>
    </row>
    <row r="102" spans="1:12" ht="60.75" customHeight="1">
      <c r="A102" s="760">
        <v>112.1</v>
      </c>
      <c r="B102" s="761" t="s">
        <v>402</v>
      </c>
      <c r="C102" s="764">
        <f>[5]Data!$K$3018</f>
        <v>1770</v>
      </c>
      <c r="D102" s="799" t="s">
        <v>332</v>
      </c>
      <c r="E102" s="769">
        <f>Main!H529</f>
        <v>2</v>
      </c>
      <c r="F102" s="764">
        <f t="shared" si="4"/>
        <v>3540</v>
      </c>
      <c r="G102" s="770"/>
      <c r="H102" s="763">
        <f t="shared" si="5"/>
        <v>0</v>
      </c>
      <c r="I102" s="771">
        <f t="shared" si="6"/>
        <v>2</v>
      </c>
      <c r="J102" s="769">
        <f t="shared" si="7"/>
        <v>3540</v>
      </c>
      <c r="K102" s="113" t="e">
        <f>#REF!+H102</f>
        <v>#REF!</v>
      </c>
      <c r="L102" s="113" t="e">
        <f>H102-#REF!</f>
        <v>#REF!</v>
      </c>
    </row>
    <row r="103" spans="1:12" ht="60.75" customHeight="1">
      <c r="A103" s="793">
        <v>344.2</v>
      </c>
      <c r="B103" s="761" t="s">
        <v>404</v>
      </c>
      <c r="C103" s="764">
        <f>[5]Data!$K$3014</f>
        <v>375.7</v>
      </c>
      <c r="D103" s="799" t="s">
        <v>332</v>
      </c>
      <c r="E103" s="769">
        <f>Main!H332</f>
        <v>2</v>
      </c>
      <c r="F103" s="764">
        <f t="shared" si="4"/>
        <v>751.4</v>
      </c>
      <c r="G103" s="770"/>
      <c r="H103" s="763">
        <f t="shared" si="5"/>
        <v>0</v>
      </c>
      <c r="I103" s="771">
        <f t="shared" si="6"/>
        <v>2</v>
      </c>
      <c r="J103" s="769">
        <f t="shared" si="7"/>
        <v>751.4</v>
      </c>
      <c r="K103" s="113" t="e">
        <f>#REF!+H103</f>
        <v>#REF!</v>
      </c>
      <c r="L103" s="113" t="e">
        <f>H103-#REF!</f>
        <v>#REF!</v>
      </c>
    </row>
    <row r="104" spans="1:12" ht="60.75" customHeight="1">
      <c r="A104" s="760"/>
      <c r="B104" s="761" t="s">
        <v>405</v>
      </c>
      <c r="C104" s="764">
        <f>[5]Data!$R$1326</f>
        <v>203.84</v>
      </c>
      <c r="D104" s="798" t="s">
        <v>250</v>
      </c>
      <c r="E104" s="769">
        <f>Main!H425</f>
        <v>170.70459999999997</v>
      </c>
      <c r="F104" s="764">
        <f t="shared" si="4"/>
        <v>34796.425663999995</v>
      </c>
      <c r="G104" s="770"/>
      <c r="H104" s="763">
        <f t="shared" si="5"/>
        <v>0</v>
      </c>
      <c r="I104" s="771">
        <f t="shared" si="6"/>
        <v>170.70459999999997</v>
      </c>
      <c r="J104" s="769">
        <f t="shared" si="7"/>
        <v>34796.425663999995</v>
      </c>
      <c r="K104" s="113" t="e">
        <f>#REF!+H104</f>
        <v>#REF!</v>
      </c>
      <c r="L104" s="113" t="e">
        <f>H104-#REF!</f>
        <v>#REF!</v>
      </c>
    </row>
    <row r="105" spans="1:12" ht="91.5" customHeight="1">
      <c r="A105" s="760" t="s">
        <v>406</v>
      </c>
      <c r="B105" s="761" t="s">
        <v>3387</v>
      </c>
      <c r="C105" s="764">
        <f>[5]Data!$K$3348</f>
        <v>107.65</v>
      </c>
      <c r="D105" s="798" t="s">
        <v>250</v>
      </c>
      <c r="E105" s="769">
        <f>Main!H415</f>
        <v>278.70379999999989</v>
      </c>
      <c r="F105" s="764">
        <f t="shared" si="4"/>
        <v>30002.464069999991</v>
      </c>
      <c r="G105" s="770"/>
      <c r="H105" s="763">
        <f t="shared" si="5"/>
        <v>0</v>
      </c>
      <c r="I105" s="771">
        <f t="shared" si="6"/>
        <v>278.70379999999989</v>
      </c>
      <c r="J105" s="769">
        <f t="shared" si="7"/>
        <v>30002.464069999991</v>
      </c>
      <c r="K105" s="113" t="e">
        <f>#REF!+H105</f>
        <v>#REF!</v>
      </c>
      <c r="L105" s="113" t="e">
        <f>H105-#REF!</f>
        <v>#REF!</v>
      </c>
    </row>
    <row r="106" spans="1:12" ht="91.5" customHeight="1">
      <c r="A106" s="760"/>
      <c r="B106" s="761" t="s">
        <v>407</v>
      </c>
      <c r="C106" s="764">
        <f>[5]Data!$R$2416</f>
        <v>1283.5899999999999</v>
      </c>
      <c r="D106" s="799" t="s">
        <v>250</v>
      </c>
      <c r="E106" s="769">
        <f>Main!H336</f>
        <v>7.0975000000000001</v>
      </c>
      <c r="F106" s="764">
        <f t="shared" si="4"/>
        <v>9110.280025</v>
      </c>
      <c r="G106" s="770"/>
      <c r="H106" s="763">
        <f t="shared" si="5"/>
        <v>0</v>
      </c>
      <c r="I106" s="771">
        <f t="shared" si="6"/>
        <v>7.0975000000000001</v>
      </c>
      <c r="J106" s="769">
        <f t="shared" si="7"/>
        <v>9110.280025</v>
      </c>
      <c r="K106" s="113" t="e">
        <f>#REF!+H106</f>
        <v>#REF!</v>
      </c>
      <c r="L106" s="113" t="e">
        <f>H106-#REF!</f>
        <v>#REF!</v>
      </c>
    </row>
    <row r="107" spans="1:12" ht="91.5" customHeight="1">
      <c r="A107" s="760"/>
      <c r="B107" s="761" t="s">
        <v>408</v>
      </c>
      <c r="C107" s="777">
        <f>[5]Data!$R$1272</f>
        <v>1137.45</v>
      </c>
      <c r="D107" s="799" t="s">
        <v>250</v>
      </c>
      <c r="E107" s="769">
        <f>Main!H324</f>
        <v>86.295999999999992</v>
      </c>
      <c r="F107" s="764">
        <f t="shared" si="4"/>
        <v>98157.38519999999</v>
      </c>
      <c r="G107" s="770"/>
      <c r="H107" s="763">
        <f t="shared" si="5"/>
        <v>0</v>
      </c>
      <c r="I107" s="771">
        <f t="shared" si="6"/>
        <v>86.295999999999992</v>
      </c>
      <c r="J107" s="769">
        <f t="shared" si="7"/>
        <v>98157.38519999999</v>
      </c>
      <c r="K107" s="113" t="e">
        <f>#REF!+H107</f>
        <v>#REF!</v>
      </c>
      <c r="L107" s="113" t="e">
        <f>H107-#REF!</f>
        <v>#REF!</v>
      </c>
    </row>
    <row r="108" spans="1:12" s="129" customFormat="1" ht="91.5" customHeight="1">
      <c r="A108" s="773"/>
      <c r="B108" s="772" t="s">
        <v>409</v>
      </c>
      <c r="C108" s="775">
        <f>[5]Data!$R$1230</f>
        <v>1313.29</v>
      </c>
      <c r="D108" s="800" t="s">
        <v>250</v>
      </c>
      <c r="E108" s="769">
        <f>Main!H328</f>
        <v>4.0999999999999996</v>
      </c>
      <c r="F108" s="764">
        <f t="shared" si="4"/>
        <v>5384.4889999999996</v>
      </c>
      <c r="G108" s="770"/>
      <c r="H108" s="763">
        <f t="shared" si="5"/>
        <v>0</v>
      </c>
      <c r="I108" s="771">
        <f t="shared" si="6"/>
        <v>4.0999999999999996</v>
      </c>
      <c r="J108" s="769">
        <f t="shared" si="7"/>
        <v>5384.4889999999996</v>
      </c>
      <c r="K108" s="128" t="e">
        <f>#REF!+H108</f>
        <v>#REF!</v>
      </c>
      <c r="L108" s="128" t="e">
        <f>J108-K108</f>
        <v>#REF!</v>
      </c>
    </row>
    <row r="109" spans="1:12" ht="60.75" customHeight="1">
      <c r="A109" s="760"/>
      <c r="B109" s="784" t="s">
        <v>418</v>
      </c>
      <c r="C109" s="769"/>
      <c r="D109" s="763"/>
      <c r="E109" s="769"/>
      <c r="F109" s="764">
        <f t="shared" si="4"/>
        <v>0</v>
      </c>
      <c r="G109" s="770"/>
      <c r="H109" s="763">
        <f t="shared" si="5"/>
        <v>0</v>
      </c>
      <c r="I109" s="771">
        <f t="shared" si="6"/>
        <v>0</v>
      </c>
      <c r="J109" s="769">
        <f t="shared" si="7"/>
        <v>0</v>
      </c>
      <c r="K109" s="113" t="e">
        <f>#REF!+H109</f>
        <v>#REF!</v>
      </c>
      <c r="L109" s="113" t="e">
        <f>H109-#REF!</f>
        <v>#REF!</v>
      </c>
    </row>
    <row r="110" spans="1:12" ht="60.75" customHeight="1">
      <c r="A110" s="760"/>
      <c r="B110" s="761" t="s">
        <v>419</v>
      </c>
      <c r="C110" s="801">
        <f>[5]Data!$K$3677</f>
        <v>345.37</v>
      </c>
      <c r="D110" s="763" t="s">
        <v>41</v>
      </c>
      <c r="E110" s="769">
        <f>Main!H603</f>
        <v>19</v>
      </c>
      <c r="F110" s="764">
        <f t="shared" si="4"/>
        <v>6562.03</v>
      </c>
      <c r="G110" s="770"/>
      <c r="H110" s="763">
        <f t="shared" si="5"/>
        <v>0</v>
      </c>
      <c r="I110" s="771">
        <f t="shared" si="6"/>
        <v>19</v>
      </c>
      <c r="J110" s="769">
        <f t="shared" si="7"/>
        <v>6562.03</v>
      </c>
      <c r="K110" s="113" t="e">
        <f>#REF!+H110</f>
        <v>#REF!</v>
      </c>
      <c r="L110" s="113" t="e">
        <f>H110-#REF!</f>
        <v>#REF!</v>
      </c>
    </row>
    <row r="111" spans="1:12" s="129" customFormat="1" ht="60.75" customHeight="1">
      <c r="A111" s="792"/>
      <c r="B111" s="772" t="s">
        <v>3468</v>
      </c>
      <c r="C111" s="772">
        <v>81</v>
      </c>
      <c r="D111" s="776" t="s">
        <v>332</v>
      </c>
      <c r="E111" s="769">
        <f>Main!H521</f>
        <v>4</v>
      </c>
      <c r="F111" s="764">
        <f t="shared" si="4"/>
        <v>324</v>
      </c>
      <c r="G111" s="770"/>
      <c r="H111" s="763">
        <f t="shared" si="5"/>
        <v>0</v>
      </c>
      <c r="I111" s="771">
        <f t="shared" si="6"/>
        <v>4</v>
      </c>
      <c r="J111" s="769">
        <f t="shared" si="7"/>
        <v>324</v>
      </c>
      <c r="K111" s="128"/>
      <c r="L111" s="128"/>
    </row>
    <row r="112" spans="1:12" s="129" customFormat="1" ht="60.75" customHeight="1">
      <c r="A112" s="792"/>
      <c r="B112" s="772" t="s">
        <v>3469</v>
      </c>
      <c r="C112" s="772">
        <v>600</v>
      </c>
      <c r="D112" s="776" t="s">
        <v>332</v>
      </c>
      <c r="E112" s="769">
        <f>Main!H526</f>
        <v>8</v>
      </c>
      <c r="F112" s="764">
        <f t="shared" si="4"/>
        <v>4800</v>
      </c>
      <c r="G112" s="770"/>
      <c r="H112" s="763">
        <f t="shared" si="5"/>
        <v>0</v>
      </c>
      <c r="I112" s="771">
        <f t="shared" si="6"/>
        <v>8</v>
      </c>
      <c r="J112" s="769">
        <f t="shared" si="7"/>
        <v>4800</v>
      </c>
      <c r="K112" s="128"/>
      <c r="L112" s="128"/>
    </row>
    <row r="113" spans="1:20" s="129" customFormat="1" ht="126" customHeight="1">
      <c r="A113" s="792"/>
      <c r="B113" s="772" t="s">
        <v>3470</v>
      </c>
      <c r="C113" s="772">
        <v>224</v>
      </c>
      <c r="D113" s="776" t="s">
        <v>41</v>
      </c>
      <c r="E113" s="769">
        <f>Main!H555</f>
        <v>18</v>
      </c>
      <c r="F113" s="764">
        <f t="shared" si="4"/>
        <v>4032</v>
      </c>
      <c r="G113" s="770"/>
      <c r="H113" s="763">
        <f t="shared" si="5"/>
        <v>0</v>
      </c>
      <c r="I113" s="771">
        <f t="shared" si="6"/>
        <v>18</v>
      </c>
      <c r="J113" s="769">
        <f t="shared" si="7"/>
        <v>4032</v>
      </c>
      <c r="K113" s="128"/>
      <c r="L113" s="128"/>
    </row>
    <row r="114" spans="1:20" ht="60.75" customHeight="1">
      <c r="A114" s="789"/>
      <c r="B114" s="802" t="s">
        <v>14</v>
      </c>
      <c r="C114" s="777"/>
      <c r="D114" s="776"/>
      <c r="E114" s="769"/>
      <c r="F114" s="803">
        <f>SUM(F6:F113)</f>
        <v>1470423.1538047383</v>
      </c>
      <c r="G114" s="770"/>
      <c r="H114" s="803">
        <f>SUM(H6:H113)</f>
        <v>35148.946000000004</v>
      </c>
      <c r="I114" s="767" t="s">
        <v>307</v>
      </c>
      <c r="J114" s="803">
        <f>SUM(J6:J113)</f>
        <v>1505572.0998047383</v>
      </c>
      <c r="K114" s="114">
        <f>H114+F114</f>
        <v>1505572.0998047383</v>
      </c>
      <c r="L114" s="114">
        <f>K114-J114</f>
        <v>0</v>
      </c>
      <c r="N114" s="139"/>
      <c r="O114" s="120">
        <f>N114*84</f>
        <v>0</v>
      </c>
      <c r="P114" s="119" t="e">
        <f>O114*#REF!</f>
        <v>#REF!</v>
      </c>
      <c r="Q114" s="121" t="e">
        <f>[3]development!AD925</f>
        <v>#REF!</v>
      </c>
      <c r="R114" s="118" t="e">
        <f>Q114*#REF!</f>
        <v>#REF!</v>
      </c>
      <c r="S114" s="122" t="e">
        <f>Q114+O114</f>
        <v>#REF!</v>
      </c>
      <c r="T114" s="120" t="e">
        <f>S114*#REF!</f>
        <v>#REF!</v>
      </c>
    </row>
    <row r="115" spans="1:20" s="129" customFormat="1" ht="23.25">
      <c r="A115" s="140"/>
      <c r="B115" s="141"/>
      <c r="C115" s="142"/>
      <c r="D115" s="143"/>
      <c r="E115" s="123"/>
      <c r="F115" s="124">
        <f t="shared" ref="F115:F178" si="8">E115*C115</f>
        <v>0</v>
      </c>
      <c r="G115" s="684">
        <f>[3]development!T922</f>
        <v>0</v>
      </c>
      <c r="H115" s="125">
        <f>[3]development!U921</f>
        <v>21464614.489999998</v>
      </c>
      <c r="I115" s="751">
        <f t="shared" ref="I115:I176" si="9">G115+E115</f>
        <v>0</v>
      </c>
      <c r="J115" s="123">
        <f>I115*C115</f>
        <v>0</v>
      </c>
      <c r="K115" s="128"/>
      <c r="L115" s="128"/>
    </row>
    <row r="116" spans="1:20" s="129" customFormat="1" ht="23.25">
      <c r="A116" s="140"/>
      <c r="B116" s="126" t="s">
        <v>411</v>
      </c>
      <c r="C116" s="144"/>
      <c r="D116" s="138" t="s">
        <v>332</v>
      </c>
      <c r="E116" s="120"/>
      <c r="F116" s="119">
        <f t="shared" si="8"/>
        <v>0</v>
      </c>
      <c r="G116" s="682">
        <f>[3]development!T923</f>
        <v>0</v>
      </c>
      <c r="H116" s="118">
        <f>H115-H114</f>
        <v>21429465.544</v>
      </c>
      <c r="I116" s="736">
        <f t="shared" si="9"/>
        <v>0</v>
      </c>
      <c r="J116" s="120">
        <f>H114+F114</f>
        <v>1505572.0998047383</v>
      </c>
      <c r="K116" s="128"/>
      <c r="L116" s="128"/>
    </row>
    <row r="117" spans="1:20" s="129" customFormat="1" ht="23.25">
      <c r="A117" s="140"/>
      <c r="B117" s="126" t="s">
        <v>413</v>
      </c>
      <c r="C117" s="144"/>
      <c r="D117" s="138" t="s">
        <v>332</v>
      </c>
      <c r="E117" s="120"/>
      <c r="F117" s="119">
        <f t="shared" si="8"/>
        <v>0</v>
      </c>
      <c r="G117" s="682">
        <f>[3]development!T924</f>
        <v>0</v>
      </c>
      <c r="H117" s="118">
        <f t="shared" ref="H117:H173" si="10">G117*C117</f>
        <v>0</v>
      </c>
      <c r="I117" s="736">
        <f t="shared" si="9"/>
        <v>0</v>
      </c>
      <c r="J117" s="120">
        <f>J114-J116</f>
        <v>0</v>
      </c>
      <c r="K117" s="128"/>
      <c r="L117" s="128"/>
    </row>
    <row r="118" spans="1:20" s="129" customFormat="1" ht="23.25">
      <c r="A118" s="140"/>
      <c r="B118" s="126" t="s">
        <v>415</v>
      </c>
      <c r="C118" s="144">
        <f>[3]Data!K2492</f>
        <v>3814.33</v>
      </c>
      <c r="D118" s="143" t="s">
        <v>250</v>
      </c>
      <c r="E118" s="120"/>
      <c r="F118" s="119">
        <f t="shared" si="8"/>
        <v>0</v>
      </c>
      <c r="G118" s="682">
        <f>[3]development!T925</f>
        <v>0</v>
      </c>
      <c r="H118" s="118">
        <f t="shared" si="10"/>
        <v>0</v>
      </c>
      <c r="I118" s="736">
        <f t="shared" si="9"/>
        <v>0</v>
      </c>
      <c r="J118" s="120">
        <f t="shared" ref="J118:J181" si="11">I118*C118</f>
        <v>0</v>
      </c>
      <c r="K118" s="128"/>
      <c r="L118" s="128"/>
    </row>
    <row r="119" spans="1:20" s="129" customFormat="1" ht="23.25">
      <c r="A119" s="140"/>
      <c r="B119" s="126" t="s">
        <v>416</v>
      </c>
      <c r="C119" s="144">
        <f>[3]Data!K2515</f>
        <v>4038.14</v>
      </c>
      <c r="D119" s="143" t="s">
        <v>250</v>
      </c>
      <c r="E119" s="120"/>
      <c r="F119" s="119">
        <f t="shared" si="8"/>
        <v>0</v>
      </c>
      <c r="G119" s="682">
        <f>[3]development!T926</f>
        <v>0</v>
      </c>
      <c r="H119" s="118">
        <f t="shared" si="10"/>
        <v>0</v>
      </c>
      <c r="I119" s="736">
        <f t="shared" si="9"/>
        <v>0</v>
      </c>
      <c r="J119" s="120">
        <f t="shared" si="11"/>
        <v>0</v>
      </c>
      <c r="K119" s="128"/>
      <c r="L119" s="128"/>
    </row>
    <row r="120" spans="1:20" s="129" customFormat="1" ht="23.25">
      <c r="A120" s="140"/>
      <c r="B120" s="126" t="s">
        <v>417</v>
      </c>
      <c r="C120" s="144">
        <f>[3]Data!R2580</f>
        <v>3477.23</v>
      </c>
      <c r="D120" s="143" t="s">
        <v>250</v>
      </c>
      <c r="E120" s="120"/>
      <c r="F120" s="119">
        <f t="shared" si="8"/>
        <v>0</v>
      </c>
      <c r="G120" s="682">
        <f>[3]development!T927</f>
        <v>0</v>
      </c>
      <c r="H120" s="118">
        <f t="shared" si="10"/>
        <v>0</v>
      </c>
      <c r="I120" s="736">
        <f t="shared" si="9"/>
        <v>0</v>
      </c>
      <c r="J120" s="120">
        <f t="shared" si="11"/>
        <v>0</v>
      </c>
      <c r="K120" s="128"/>
      <c r="L120" s="128"/>
    </row>
    <row r="121" spans="1:20" s="129" customFormat="1" ht="23.25">
      <c r="A121" s="140"/>
      <c r="B121" s="126" t="s">
        <v>414</v>
      </c>
      <c r="C121" s="144"/>
      <c r="D121" s="143" t="s">
        <v>250</v>
      </c>
      <c r="E121" s="120"/>
      <c r="F121" s="119">
        <f t="shared" si="8"/>
        <v>0</v>
      </c>
      <c r="G121" s="682">
        <f>[3]development!T928</f>
        <v>0</v>
      </c>
      <c r="H121" s="118">
        <f t="shared" si="10"/>
        <v>0</v>
      </c>
      <c r="I121" s="736">
        <f t="shared" si="9"/>
        <v>0</v>
      </c>
      <c r="J121" s="120">
        <f t="shared" si="11"/>
        <v>0</v>
      </c>
      <c r="K121" s="128"/>
      <c r="L121" s="128"/>
    </row>
    <row r="122" spans="1:20" s="129" customFormat="1" ht="23.25">
      <c r="A122" s="140"/>
      <c r="B122" s="126" t="s">
        <v>422</v>
      </c>
      <c r="C122" s="144"/>
      <c r="D122" s="143" t="s">
        <v>250</v>
      </c>
      <c r="E122" s="120"/>
      <c r="F122" s="119">
        <f t="shared" si="8"/>
        <v>0</v>
      </c>
      <c r="G122" s="682">
        <f>[3]development!T929</f>
        <v>0</v>
      </c>
      <c r="H122" s="118">
        <f t="shared" si="10"/>
        <v>0</v>
      </c>
      <c r="I122" s="736">
        <f t="shared" si="9"/>
        <v>0</v>
      </c>
      <c r="J122" s="120">
        <f t="shared" si="11"/>
        <v>0</v>
      </c>
      <c r="K122" s="128"/>
      <c r="L122" s="128"/>
    </row>
    <row r="123" spans="1:20" s="129" customFormat="1" ht="46.5">
      <c r="A123" s="140"/>
      <c r="B123" s="126" t="s">
        <v>423</v>
      </c>
      <c r="C123" s="144"/>
      <c r="D123" s="143" t="s">
        <v>250</v>
      </c>
      <c r="E123" s="120"/>
      <c r="F123" s="119">
        <f t="shared" si="8"/>
        <v>0</v>
      </c>
      <c r="G123" s="682">
        <f>[3]development!T930</f>
        <v>0</v>
      </c>
      <c r="H123" s="118">
        <f t="shared" si="10"/>
        <v>0</v>
      </c>
      <c r="I123" s="736">
        <f t="shared" si="9"/>
        <v>0</v>
      </c>
      <c r="J123" s="120">
        <f t="shared" si="11"/>
        <v>0</v>
      </c>
      <c r="K123" s="128"/>
      <c r="L123" s="128"/>
    </row>
    <row r="124" spans="1:20" s="129" customFormat="1" ht="46.5">
      <c r="A124" s="140"/>
      <c r="B124" s="126" t="s">
        <v>424</v>
      </c>
      <c r="C124" s="144"/>
      <c r="D124" s="143" t="s">
        <v>250</v>
      </c>
      <c r="E124" s="120"/>
      <c r="F124" s="119">
        <f t="shared" si="8"/>
        <v>0</v>
      </c>
      <c r="G124" s="682">
        <f>[3]development!T931</f>
        <v>0</v>
      </c>
      <c r="H124" s="118">
        <f t="shared" si="10"/>
        <v>0</v>
      </c>
      <c r="I124" s="736">
        <f t="shared" si="9"/>
        <v>0</v>
      </c>
      <c r="J124" s="120">
        <f t="shared" si="11"/>
        <v>0</v>
      </c>
      <c r="K124" s="128"/>
      <c r="L124" s="128"/>
    </row>
    <row r="125" spans="1:20" s="129" customFormat="1" ht="23.25">
      <c r="A125" s="140"/>
      <c r="B125" s="126" t="s">
        <v>425</v>
      </c>
      <c r="C125" s="144">
        <f>8.2*1500</f>
        <v>12299.999999999998</v>
      </c>
      <c r="D125" s="143" t="s">
        <v>332</v>
      </c>
      <c r="E125" s="120"/>
      <c r="F125" s="119">
        <f t="shared" si="8"/>
        <v>0</v>
      </c>
      <c r="G125" s="682">
        <f>[3]development!T932</f>
        <v>0</v>
      </c>
      <c r="H125" s="118">
        <f t="shared" si="10"/>
        <v>0</v>
      </c>
      <c r="I125" s="736">
        <f t="shared" si="9"/>
        <v>0</v>
      </c>
      <c r="J125" s="120">
        <f t="shared" si="11"/>
        <v>0</v>
      </c>
      <c r="K125" s="128"/>
      <c r="L125" s="128"/>
    </row>
    <row r="126" spans="1:20" s="129" customFormat="1" ht="23.25">
      <c r="A126" s="140"/>
      <c r="B126" s="126" t="s">
        <v>426</v>
      </c>
      <c r="C126" s="144">
        <f>[3]Data!K2435</f>
        <v>1194.1400000000001</v>
      </c>
      <c r="D126" s="143" t="s">
        <v>250</v>
      </c>
      <c r="E126" s="120"/>
      <c r="F126" s="119">
        <f t="shared" si="8"/>
        <v>0</v>
      </c>
      <c r="G126" s="682">
        <f>[3]development!T933</f>
        <v>0</v>
      </c>
      <c r="H126" s="118">
        <f t="shared" si="10"/>
        <v>0</v>
      </c>
      <c r="I126" s="736">
        <f t="shared" si="9"/>
        <v>0</v>
      </c>
      <c r="J126" s="120">
        <f t="shared" si="11"/>
        <v>0</v>
      </c>
      <c r="K126" s="128"/>
      <c r="L126" s="128"/>
    </row>
    <row r="127" spans="1:20" s="129" customFormat="1" ht="23.25">
      <c r="A127" s="140"/>
      <c r="B127" s="126" t="s">
        <v>409</v>
      </c>
      <c r="C127" s="144">
        <f>[3]Data!R1230</f>
        <v>1227.2</v>
      </c>
      <c r="D127" s="143" t="s">
        <v>250</v>
      </c>
      <c r="E127" s="120"/>
      <c r="F127" s="119">
        <f t="shared" si="8"/>
        <v>0</v>
      </c>
      <c r="G127" s="682">
        <f>[3]development!T934</f>
        <v>0</v>
      </c>
      <c r="H127" s="118">
        <f t="shared" si="10"/>
        <v>0</v>
      </c>
      <c r="I127" s="736">
        <f t="shared" si="9"/>
        <v>0</v>
      </c>
      <c r="J127" s="120">
        <f t="shared" si="11"/>
        <v>0</v>
      </c>
      <c r="K127" s="128"/>
      <c r="L127" s="128"/>
    </row>
    <row r="128" spans="1:20" s="129" customFormat="1" ht="23.25">
      <c r="A128" s="140"/>
      <c r="B128" s="126" t="s">
        <v>427</v>
      </c>
      <c r="C128" s="144">
        <f>[3]Data!R1272</f>
        <v>1051.4000000000001</v>
      </c>
      <c r="D128" s="143" t="s">
        <v>250</v>
      </c>
      <c r="E128" s="120"/>
      <c r="F128" s="119">
        <f t="shared" si="8"/>
        <v>0</v>
      </c>
      <c r="G128" s="682">
        <f>[3]development!T935</f>
        <v>0</v>
      </c>
      <c r="H128" s="118">
        <f t="shared" si="10"/>
        <v>0</v>
      </c>
      <c r="I128" s="736">
        <f t="shared" si="9"/>
        <v>0</v>
      </c>
      <c r="J128" s="120">
        <f t="shared" si="11"/>
        <v>0</v>
      </c>
      <c r="K128" s="128"/>
      <c r="L128" s="128"/>
    </row>
    <row r="129" spans="1:12" s="129" customFormat="1" ht="23.25">
      <c r="A129" s="140"/>
      <c r="B129" s="126" t="s">
        <v>428</v>
      </c>
      <c r="C129" s="144">
        <f>[3]Data!R2442</f>
        <v>1365.29</v>
      </c>
      <c r="D129" s="143" t="s">
        <v>250</v>
      </c>
      <c r="E129" s="120"/>
      <c r="F129" s="119">
        <f t="shared" si="8"/>
        <v>0</v>
      </c>
      <c r="G129" s="682">
        <f>[3]development!T936</f>
        <v>0</v>
      </c>
      <c r="H129" s="118">
        <f t="shared" si="10"/>
        <v>0</v>
      </c>
      <c r="I129" s="736">
        <f t="shared" si="9"/>
        <v>0</v>
      </c>
      <c r="J129" s="120">
        <f t="shared" si="11"/>
        <v>0</v>
      </c>
      <c r="K129" s="128"/>
      <c r="L129" s="128"/>
    </row>
    <row r="130" spans="1:12" s="129" customFormat="1" ht="23.25">
      <c r="A130" s="140"/>
      <c r="B130" s="126" t="s">
        <v>429</v>
      </c>
      <c r="C130" s="144">
        <f>[3]Data!AD1257</f>
        <v>1386.1</v>
      </c>
      <c r="D130" s="143" t="s">
        <v>250</v>
      </c>
      <c r="E130" s="120"/>
      <c r="F130" s="119">
        <f t="shared" si="8"/>
        <v>0</v>
      </c>
      <c r="G130" s="682">
        <f>[3]development!T937</f>
        <v>0</v>
      </c>
      <c r="H130" s="118">
        <f t="shared" si="10"/>
        <v>0</v>
      </c>
      <c r="I130" s="736">
        <f t="shared" si="9"/>
        <v>0</v>
      </c>
      <c r="J130" s="120">
        <f t="shared" si="11"/>
        <v>0</v>
      </c>
      <c r="K130" s="128"/>
      <c r="L130" s="128"/>
    </row>
    <row r="131" spans="1:12" s="129" customFormat="1" ht="23.25">
      <c r="A131" s="140"/>
      <c r="B131" s="140" t="s">
        <v>430</v>
      </c>
      <c r="C131" s="142">
        <f>[3]Data!K1442</f>
        <v>216.16</v>
      </c>
      <c r="D131" s="143" t="s">
        <v>250</v>
      </c>
      <c r="E131" s="120"/>
      <c r="F131" s="119">
        <f t="shared" si="8"/>
        <v>0</v>
      </c>
      <c r="G131" s="682">
        <f>[3]development!T938</f>
        <v>0</v>
      </c>
      <c r="H131" s="118">
        <f t="shared" si="10"/>
        <v>0</v>
      </c>
      <c r="I131" s="736">
        <f t="shared" si="9"/>
        <v>0</v>
      </c>
      <c r="J131" s="120">
        <f t="shared" si="11"/>
        <v>0</v>
      </c>
      <c r="K131" s="128"/>
      <c r="L131" s="128"/>
    </row>
    <row r="132" spans="1:12" s="129" customFormat="1" ht="23.25">
      <c r="A132" s="140"/>
      <c r="B132" s="140" t="s">
        <v>431</v>
      </c>
      <c r="C132" s="142">
        <f>5000*8.2</f>
        <v>41000</v>
      </c>
      <c r="D132" s="143" t="s">
        <v>332</v>
      </c>
      <c r="E132" s="120"/>
      <c r="F132" s="119">
        <f t="shared" si="8"/>
        <v>0</v>
      </c>
      <c r="G132" s="682">
        <f>[3]development!T939</f>
        <v>0</v>
      </c>
      <c r="H132" s="118">
        <f t="shared" si="10"/>
        <v>0</v>
      </c>
      <c r="I132" s="736">
        <f t="shared" si="9"/>
        <v>0</v>
      </c>
      <c r="J132" s="120">
        <f t="shared" si="11"/>
        <v>0</v>
      </c>
      <c r="K132" s="128"/>
      <c r="L132" s="128"/>
    </row>
    <row r="133" spans="1:12" s="129" customFormat="1" ht="23.25">
      <c r="A133" s="140"/>
      <c r="B133" s="140" t="str">
        <f>[3]Data!O2626</f>
        <v>T.W DOOR SHUTTER TWO LEAVES(1200 X 2100 mm ) with Brass Fittings</v>
      </c>
      <c r="C133" s="142">
        <f>[3]Data!R2654</f>
        <v>5924.19</v>
      </c>
      <c r="D133" s="143" t="s">
        <v>250</v>
      </c>
      <c r="E133" s="120"/>
      <c r="F133" s="119">
        <f t="shared" si="8"/>
        <v>0</v>
      </c>
      <c r="G133" s="682">
        <f>[3]development!T940</f>
        <v>0</v>
      </c>
      <c r="H133" s="118">
        <f t="shared" si="10"/>
        <v>0</v>
      </c>
      <c r="I133" s="736">
        <f t="shared" si="9"/>
        <v>0</v>
      </c>
      <c r="J133" s="120">
        <f t="shared" si="11"/>
        <v>0</v>
      </c>
      <c r="K133" s="128"/>
      <c r="L133" s="128"/>
    </row>
    <row r="134" spans="1:12" s="129" customFormat="1" ht="23.25">
      <c r="A134" s="140"/>
      <c r="B134" s="140" t="s">
        <v>432</v>
      </c>
      <c r="C134" s="142">
        <f>[3]Data!R1124</f>
        <v>4797.72</v>
      </c>
      <c r="D134" s="143" t="s">
        <v>250</v>
      </c>
      <c r="E134" s="120"/>
      <c r="F134" s="119">
        <f t="shared" si="8"/>
        <v>0</v>
      </c>
      <c r="G134" s="682">
        <f>[3]development!T941</f>
        <v>0</v>
      </c>
      <c r="H134" s="118">
        <f t="shared" si="10"/>
        <v>0</v>
      </c>
      <c r="I134" s="736">
        <f t="shared" si="9"/>
        <v>0</v>
      </c>
      <c r="J134" s="120">
        <f t="shared" si="11"/>
        <v>0</v>
      </c>
      <c r="K134" s="128"/>
      <c r="L134" s="128"/>
    </row>
    <row r="135" spans="1:12" s="129" customFormat="1" ht="23.25">
      <c r="A135" s="140"/>
      <c r="B135" s="140" t="s">
        <v>433</v>
      </c>
      <c r="C135" s="142">
        <f>[3]Data!R3205</f>
        <v>5937.95</v>
      </c>
      <c r="D135" s="143" t="s">
        <v>250</v>
      </c>
      <c r="E135" s="120"/>
      <c r="F135" s="119">
        <f t="shared" si="8"/>
        <v>0</v>
      </c>
      <c r="G135" s="682">
        <f>[3]development!T942</f>
        <v>0</v>
      </c>
      <c r="H135" s="118">
        <f t="shared" si="10"/>
        <v>0</v>
      </c>
      <c r="I135" s="736">
        <f t="shared" si="9"/>
        <v>0</v>
      </c>
      <c r="J135" s="120">
        <f t="shared" si="11"/>
        <v>0</v>
      </c>
      <c r="K135" s="128"/>
      <c r="L135" s="128"/>
    </row>
    <row r="136" spans="1:12" s="129" customFormat="1" ht="23.25">
      <c r="A136" s="140"/>
      <c r="B136" s="140" t="s">
        <v>434</v>
      </c>
      <c r="C136" s="142">
        <f>[3]Data!R3274</f>
        <v>5907.58</v>
      </c>
      <c r="D136" s="143" t="s">
        <v>250</v>
      </c>
      <c r="E136" s="120"/>
      <c r="F136" s="119">
        <f t="shared" si="8"/>
        <v>0</v>
      </c>
      <c r="G136" s="682">
        <f>[3]development!T943</f>
        <v>0</v>
      </c>
      <c r="H136" s="118">
        <f t="shared" si="10"/>
        <v>0</v>
      </c>
      <c r="I136" s="736">
        <f t="shared" si="9"/>
        <v>0</v>
      </c>
      <c r="J136" s="120">
        <f t="shared" si="11"/>
        <v>0</v>
      </c>
      <c r="K136" s="128"/>
      <c r="L136" s="128"/>
    </row>
    <row r="137" spans="1:12" s="129" customFormat="1" ht="23.25">
      <c r="A137" s="140"/>
      <c r="B137" s="140" t="s">
        <v>435</v>
      </c>
      <c r="C137" s="142">
        <f>[3]Data!K3333</f>
        <v>4607.8900000000003</v>
      </c>
      <c r="D137" s="143" t="s">
        <v>250</v>
      </c>
      <c r="E137" s="120"/>
      <c r="F137" s="119">
        <f t="shared" si="8"/>
        <v>0</v>
      </c>
      <c r="G137" s="682">
        <f>[3]development!T944</f>
        <v>0</v>
      </c>
      <c r="H137" s="118">
        <f t="shared" si="10"/>
        <v>0</v>
      </c>
      <c r="I137" s="736">
        <f t="shared" si="9"/>
        <v>0</v>
      </c>
      <c r="J137" s="120">
        <f t="shared" si="11"/>
        <v>0</v>
      </c>
      <c r="K137" s="128"/>
      <c r="L137" s="128"/>
    </row>
    <row r="138" spans="1:12" s="129" customFormat="1" ht="69.75">
      <c r="A138" s="140"/>
      <c r="B138" s="135" t="s">
        <v>436</v>
      </c>
      <c r="C138" s="142">
        <f>[3]Data!R3341</f>
        <v>4609.45</v>
      </c>
      <c r="D138" s="143" t="s">
        <v>250</v>
      </c>
      <c r="E138" s="120"/>
      <c r="F138" s="119">
        <f t="shared" si="8"/>
        <v>0</v>
      </c>
      <c r="G138" s="682">
        <f>[3]development!T945</f>
        <v>0</v>
      </c>
      <c r="H138" s="118">
        <f t="shared" si="10"/>
        <v>0</v>
      </c>
      <c r="I138" s="736">
        <f t="shared" si="9"/>
        <v>0</v>
      </c>
      <c r="J138" s="120">
        <f t="shared" si="11"/>
        <v>0</v>
      </c>
      <c r="K138" s="128"/>
      <c r="L138" s="128"/>
    </row>
    <row r="139" spans="1:12" s="129" customFormat="1" ht="69.75">
      <c r="A139" s="140"/>
      <c r="B139" s="135" t="s">
        <v>437</v>
      </c>
      <c r="C139" s="142">
        <f>[3]Data!R3454</f>
        <v>5451.76</v>
      </c>
      <c r="D139" s="143" t="s">
        <v>250</v>
      </c>
      <c r="E139" s="120"/>
      <c r="F139" s="119">
        <f t="shared" si="8"/>
        <v>0</v>
      </c>
      <c r="G139" s="682">
        <f>[3]development!T946</f>
        <v>0</v>
      </c>
      <c r="H139" s="118">
        <f t="shared" si="10"/>
        <v>0</v>
      </c>
      <c r="I139" s="736">
        <f t="shared" si="9"/>
        <v>0</v>
      </c>
      <c r="J139" s="120">
        <f t="shared" si="11"/>
        <v>0</v>
      </c>
      <c r="K139" s="128"/>
      <c r="L139" s="128"/>
    </row>
    <row r="140" spans="1:12" s="129" customFormat="1" ht="46.5">
      <c r="A140" s="140"/>
      <c r="B140" s="126" t="s">
        <v>438</v>
      </c>
      <c r="C140" s="142">
        <f>[3]Data!K3436</f>
        <v>4766.0200000000004</v>
      </c>
      <c r="D140" s="143" t="s">
        <v>250</v>
      </c>
      <c r="E140" s="120"/>
      <c r="F140" s="119">
        <f t="shared" si="8"/>
        <v>0</v>
      </c>
      <c r="G140" s="682">
        <f>[3]development!T947</f>
        <v>0</v>
      </c>
      <c r="H140" s="118">
        <f t="shared" si="10"/>
        <v>0</v>
      </c>
      <c r="I140" s="736">
        <f t="shared" si="9"/>
        <v>0</v>
      </c>
      <c r="J140" s="120">
        <f t="shared" si="11"/>
        <v>0</v>
      </c>
      <c r="K140" s="128"/>
      <c r="L140" s="128"/>
    </row>
    <row r="141" spans="1:12" s="129" customFormat="1" ht="23.25">
      <c r="A141" s="140"/>
      <c r="B141" s="140" t="s">
        <v>439</v>
      </c>
      <c r="C141" s="142">
        <f>[3]Data!R3376</f>
        <v>5192.58</v>
      </c>
      <c r="D141" s="143" t="s">
        <v>250</v>
      </c>
      <c r="E141" s="120"/>
      <c r="F141" s="119">
        <f t="shared" si="8"/>
        <v>0</v>
      </c>
      <c r="G141" s="682">
        <f>[3]development!T948</f>
        <v>0</v>
      </c>
      <c r="H141" s="118">
        <f t="shared" si="10"/>
        <v>0</v>
      </c>
      <c r="I141" s="736">
        <f t="shared" si="9"/>
        <v>0</v>
      </c>
      <c r="J141" s="120">
        <f t="shared" si="11"/>
        <v>0</v>
      </c>
      <c r="K141" s="128"/>
      <c r="L141" s="128"/>
    </row>
    <row r="142" spans="1:12" s="129" customFormat="1" ht="23.25">
      <c r="A142" s="140"/>
      <c r="B142" s="140" t="s">
        <v>440</v>
      </c>
      <c r="C142" s="142">
        <f>[3]Data!R3410</f>
        <v>4689.8</v>
      </c>
      <c r="D142" s="143" t="s">
        <v>250</v>
      </c>
      <c r="E142" s="120"/>
      <c r="F142" s="119">
        <f t="shared" si="8"/>
        <v>0</v>
      </c>
      <c r="G142" s="682">
        <f>[3]development!T949</f>
        <v>0</v>
      </c>
      <c r="H142" s="118">
        <f t="shared" si="10"/>
        <v>0</v>
      </c>
      <c r="I142" s="736">
        <f t="shared" si="9"/>
        <v>0</v>
      </c>
      <c r="J142" s="120">
        <f t="shared" si="11"/>
        <v>0</v>
      </c>
      <c r="K142" s="128"/>
      <c r="L142" s="128"/>
    </row>
    <row r="143" spans="1:12" s="129" customFormat="1" ht="23.25">
      <c r="A143" s="140"/>
      <c r="B143" s="140" t="s">
        <v>441</v>
      </c>
      <c r="C143" s="142">
        <f>[3]Data!R3307</f>
        <v>5224.93</v>
      </c>
      <c r="D143" s="143" t="s">
        <v>250</v>
      </c>
      <c r="E143" s="120"/>
      <c r="F143" s="119">
        <f t="shared" si="8"/>
        <v>0</v>
      </c>
      <c r="G143" s="682">
        <f>[3]development!T950</f>
        <v>0</v>
      </c>
      <c r="H143" s="118">
        <f t="shared" si="10"/>
        <v>0</v>
      </c>
      <c r="I143" s="736">
        <f t="shared" si="9"/>
        <v>0</v>
      </c>
      <c r="J143" s="120">
        <f t="shared" si="11"/>
        <v>0</v>
      </c>
      <c r="K143" s="128"/>
      <c r="L143" s="128"/>
    </row>
    <row r="144" spans="1:12" s="129" customFormat="1" ht="23.25">
      <c r="A144" s="140"/>
      <c r="B144" s="140" t="s">
        <v>442</v>
      </c>
      <c r="C144" s="142">
        <f>[3]Data!R3341</f>
        <v>4609.45</v>
      </c>
      <c r="D144" s="143" t="s">
        <v>250</v>
      </c>
      <c r="E144" s="120"/>
      <c r="F144" s="119">
        <f t="shared" si="8"/>
        <v>0</v>
      </c>
      <c r="G144" s="682">
        <f>[3]development!T951</f>
        <v>0</v>
      </c>
      <c r="H144" s="118">
        <f t="shared" si="10"/>
        <v>0</v>
      </c>
      <c r="I144" s="736">
        <f t="shared" si="9"/>
        <v>0</v>
      </c>
      <c r="J144" s="120">
        <f t="shared" si="11"/>
        <v>0</v>
      </c>
      <c r="K144" s="128"/>
      <c r="L144" s="128"/>
    </row>
    <row r="145" spans="1:12" s="129" customFormat="1" ht="23.25">
      <c r="A145" s="140"/>
      <c r="B145" s="140" t="s">
        <v>443</v>
      </c>
      <c r="C145" s="142">
        <f>[3]Elec.Data!K3481</f>
        <v>1087</v>
      </c>
      <c r="D145" s="143" t="s">
        <v>332</v>
      </c>
      <c r="E145" s="120"/>
      <c r="F145" s="119">
        <f t="shared" si="8"/>
        <v>0</v>
      </c>
      <c r="G145" s="682">
        <f>[3]development!T952</f>
        <v>0</v>
      </c>
      <c r="H145" s="118">
        <f t="shared" si="10"/>
        <v>0</v>
      </c>
      <c r="I145" s="736">
        <f t="shared" si="9"/>
        <v>0</v>
      </c>
      <c r="J145" s="120">
        <f t="shared" si="11"/>
        <v>0</v>
      </c>
      <c r="K145" s="128"/>
      <c r="L145" s="128"/>
    </row>
    <row r="146" spans="1:12" s="129" customFormat="1" ht="23.25">
      <c r="A146" s="140"/>
      <c r="B146" s="140" t="s">
        <v>444</v>
      </c>
      <c r="C146" s="142">
        <f>[3]Elec.Data!K3547</f>
        <v>162.69999999999999</v>
      </c>
      <c r="D146" s="143" t="s">
        <v>41</v>
      </c>
      <c r="E146" s="120"/>
      <c r="F146" s="119">
        <f t="shared" si="8"/>
        <v>0</v>
      </c>
      <c r="G146" s="682">
        <f>[3]development!T953</f>
        <v>0</v>
      </c>
      <c r="H146" s="118">
        <f t="shared" si="10"/>
        <v>0</v>
      </c>
      <c r="I146" s="736">
        <f t="shared" si="9"/>
        <v>0</v>
      </c>
      <c r="J146" s="120">
        <f t="shared" si="11"/>
        <v>0</v>
      </c>
      <c r="K146" s="128"/>
      <c r="L146" s="128"/>
    </row>
    <row r="147" spans="1:12" s="129" customFormat="1" ht="23.25">
      <c r="A147" s="140"/>
      <c r="B147" s="145" t="s">
        <v>445</v>
      </c>
      <c r="C147" s="142">
        <f>[3]Elec.Data!K3468</f>
        <v>2798</v>
      </c>
      <c r="D147" s="143" t="s">
        <v>332</v>
      </c>
      <c r="E147" s="120"/>
      <c r="F147" s="119">
        <f t="shared" si="8"/>
        <v>0</v>
      </c>
      <c r="G147" s="682">
        <f>[3]development!T954</f>
        <v>0</v>
      </c>
      <c r="H147" s="118">
        <f t="shared" si="10"/>
        <v>0</v>
      </c>
      <c r="I147" s="736">
        <f t="shared" si="9"/>
        <v>0</v>
      </c>
      <c r="J147" s="120">
        <f t="shared" si="11"/>
        <v>0</v>
      </c>
      <c r="K147" s="128"/>
      <c r="L147" s="128"/>
    </row>
    <row r="148" spans="1:12" s="129" customFormat="1" ht="23.25">
      <c r="A148" s="140"/>
      <c r="B148" s="140" t="s">
        <v>446</v>
      </c>
      <c r="C148" s="142">
        <f>[3]Data!K2983</f>
        <v>2912.03</v>
      </c>
      <c r="D148" s="143" t="s">
        <v>250</v>
      </c>
      <c r="E148" s="120"/>
      <c r="F148" s="119">
        <f t="shared" si="8"/>
        <v>0</v>
      </c>
      <c r="G148" s="682">
        <f>[3]development!T955</f>
        <v>0</v>
      </c>
      <c r="H148" s="118">
        <f t="shared" si="10"/>
        <v>0</v>
      </c>
      <c r="I148" s="736">
        <f t="shared" si="9"/>
        <v>0</v>
      </c>
      <c r="J148" s="120">
        <f t="shared" si="11"/>
        <v>0</v>
      </c>
      <c r="K148" s="128"/>
      <c r="L148" s="128"/>
    </row>
    <row r="149" spans="1:12" s="129" customFormat="1" ht="23.25">
      <c r="A149" s="140"/>
      <c r="B149" s="140" t="s">
        <v>447</v>
      </c>
      <c r="C149" s="142">
        <f>[3]Data!K2847</f>
        <v>2871.79</v>
      </c>
      <c r="D149" s="143" t="s">
        <v>250</v>
      </c>
      <c r="E149" s="120"/>
      <c r="F149" s="119">
        <f t="shared" si="8"/>
        <v>0</v>
      </c>
      <c r="G149" s="682">
        <f>[3]development!T956</f>
        <v>0</v>
      </c>
      <c r="H149" s="118">
        <f t="shared" si="10"/>
        <v>0</v>
      </c>
      <c r="I149" s="736">
        <f t="shared" si="9"/>
        <v>0</v>
      </c>
      <c r="J149" s="120">
        <f t="shared" si="11"/>
        <v>0</v>
      </c>
      <c r="K149" s="128"/>
      <c r="L149" s="128"/>
    </row>
    <row r="150" spans="1:12" s="129" customFormat="1" ht="23.25">
      <c r="A150" s="140"/>
      <c r="B150" s="140" t="s">
        <v>448</v>
      </c>
      <c r="C150" s="142">
        <f>[3]Data!R2990</f>
        <v>2802.18</v>
      </c>
      <c r="D150" s="143" t="s">
        <v>250</v>
      </c>
      <c r="E150" s="120"/>
      <c r="F150" s="119">
        <f t="shared" si="8"/>
        <v>0</v>
      </c>
      <c r="G150" s="682">
        <f>[3]development!T957</f>
        <v>0</v>
      </c>
      <c r="H150" s="118">
        <f t="shared" si="10"/>
        <v>0</v>
      </c>
      <c r="I150" s="736">
        <f t="shared" si="9"/>
        <v>0</v>
      </c>
      <c r="J150" s="120">
        <f t="shared" si="11"/>
        <v>0</v>
      </c>
      <c r="K150" s="128"/>
      <c r="L150" s="128"/>
    </row>
    <row r="151" spans="1:12" s="129" customFormat="1" ht="23.25">
      <c r="A151" s="140"/>
      <c r="B151" s="140" t="s">
        <v>449</v>
      </c>
      <c r="C151" s="142">
        <f>[3]Data!K3087</f>
        <v>2990.37</v>
      </c>
      <c r="D151" s="143" t="s">
        <v>250</v>
      </c>
      <c r="E151" s="120"/>
      <c r="F151" s="119">
        <f t="shared" si="8"/>
        <v>0</v>
      </c>
      <c r="G151" s="682">
        <f>[3]development!T958</f>
        <v>0</v>
      </c>
      <c r="H151" s="118">
        <f t="shared" si="10"/>
        <v>0</v>
      </c>
      <c r="I151" s="736">
        <f t="shared" si="9"/>
        <v>0</v>
      </c>
      <c r="J151" s="120">
        <f t="shared" si="11"/>
        <v>0</v>
      </c>
      <c r="K151" s="128"/>
      <c r="L151" s="128"/>
    </row>
    <row r="152" spans="1:12" s="129" customFormat="1" ht="23.25">
      <c r="A152" s="140"/>
      <c r="B152" s="140" t="s">
        <v>450</v>
      </c>
      <c r="C152" s="142">
        <f>[3]Data!K3068</f>
        <v>3106.5</v>
      </c>
      <c r="D152" s="143" t="s">
        <v>250</v>
      </c>
      <c r="E152" s="120"/>
      <c r="F152" s="119">
        <f t="shared" si="8"/>
        <v>0</v>
      </c>
      <c r="G152" s="682">
        <f>[3]development!T959</f>
        <v>0</v>
      </c>
      <c r="H152" s="118">
        <f t="shared" si="10"/>
        <v>0</v>
      </c>
      <c r="I152" s="736">
        <f t="shared" si="9"/>
        <v>0</v>
      </c>
      <c r="J152" s="120">
        <f t="shared" si="11"/>
        <v>0</v>
      </c>
      <c r="K152" s="128"/>
      <c r="L152" s="128"/>
    </row>
    <row r="153" spans="1:12" s="129" customFormat="1" ht="23.25">
      <c r="A153" s="140"/>
      <c r="B153" s="140" t="s">
        <v>451</v>
      </c>
      <c r="C153" s="142">
        <f>[3]Data!R3075</f>
        <v>2938.49</v>
      </c>
      <c r="D153" s="143" t="s">
        <v>250</v>
      </c>
      <c r="E153" s="120"/>
      <c r="F153" s="119">
        <f t="shared" si="8"/>
        <v>0</v>
      </c>
      <c r="G153" s="682">
        <f>[3]development!T960</f>
        <v>0</v>
      </c>
      <c r="H153" s="118">
        <f t="shared" si="10"/>
        <v>0</v>
      </c>
      <c r="I153" s="736">
        <f t="shared" si="9"/>
        <v>0</v>
      </c>
      <c r="J153" s="120">
        <f t="shared" si="11"/>
        <v>0</v>
      </c>
      <c r="K153" s="128"/>
      <c r="L153" s="128"/>
    </row>
    <row r="154" spans="1:12" s="129" customFormat="1" ht="46.5">
      <c r="A154" s="140"/>
      <c r="B154" s="146" t="s">
        <v>452</v>
      </c>
      <c r="C154" s="142">
        <f>[3]Data!K2879</f>
        <v>2020.3</v>
      </c>
      <c r="D154" s="143" t="s">
        <v>250</v>
      </c>
      <c r="E154" s="120" t="e">
        <f>#REF!*84</f>
        <v>#REF!</v>
      </c>
      <c r="F154" s="119" t="e">
        <f t="shared" si="8"/>
        <v>#REF!</v>
      </c>
      <c r="G154" s="682">
        <f>[3]development!T961</f>
        <v>0</v>
      </c>
      <c r="H154" s="118">
        <f t="shared" si="10"/>
        <v>0</v>
      </c>
      <c r="I154" s="736" t="e">
        <f t="shared" si="9"/>
        <v>#REF!</v>
      </c>
      <c r="J154" s="120" t="e">
        <f t="shared" si="11"/>
        <v>#REF!</v>
      </c>
      <c r="K154" s="128"/>
      <c r="L154" s="128"/>
    </row>
    <row r="155" spans="1:12" s="129" customFormat="1" ht="23.25">
      <c r="A155" s="140"/>
      <c r="B155" s="140" t="s">
        <v>453</v>
      </c>
      <c r="C155" s="142">
        <f>[3]Data!K1154</f>
        <v>95</v>
      </c>
      <c r="D155" s="143"/>
      <c r="E155" s="120" t="e">
        <f>#REF!*84</f>
        <v>#REF!</v>
      </c>
      <c r="F155" s="119" t="e">
        <f t="shared" si="8"/>
        <v>#REF!</v>
      </c>
      <c r="G155" s="682">
        <f>[3]development!T962</f>
        <v>0</v>
      </c>
      <c r="H155" s="118">
        <f t="shared" si="10"/>
        <v>0</v>
      </c>
      <c r="I155" s="736" t="e">
        <f t="shared" si="9"/>
        <v>#REF!</v>
      </c>
      <c r="J155" s="120" t="e">
        <f t="shared" si="11"/>
        <v>#REF!</v>
      </c>
      <c r="K155" s="128"/>
      <c r="L155" s="128"/>
    </row>
    <row r="156" spans="1:12" s="129" customFormat="1" ht="23.25">
      <c r="A156" s="140"/>
      <c r="B156" s="140" t="s">
        <v>454</v>
      </c>
      <c r="C156" s="142">
        <f>[3]Data!K1167</f>
        <v>148.79</v>
      </c>
      <c r="D156" s="143"/>
      <c r="E156" s="120" t="e">
        <f>#REF!*84</f>
        <v>#REF!</v>
      </c>
      <c r="F156" s="119" t="e">
        <f t="shared" si="8"/>
        <v>#REF!</v>
      </c>
      <c r="G156" s="682">
        <f>[3]development!T963</f>
        <v>0</v>
      </c>
      <c r="H156" s="118">
        <f t="shared" si="10"/>
        <v>0</v>
      </c>
      <c r="I156" s="736" t="e">
        <f t="shared" si="9"/>
        <v>#REF!</v>
      </c>
      <c r="J156" s="120" t="e">
        <f t="shared" si="11"/>
        <v>#REF!</v>
      </c>
      <c r="K156" s="128"/>
      <c r="L156" s="128"/>
    </row>
    <row r="157" spans="1:12" s="129" customFormat="1" ht="23.25">
      <c r="A157" s="140"/>
      <c r="B157" s="140" t="s">
        <v>455</v>
      </c>
      <c r="C157" s="142">
        <f>[3]Data!K2448</f>
        <v>609.03</v>
      </c>
      <c r="D157" s="143"/>
      <c r="E157" s="120" t="e">
        <f>#REF!*84</f>
        <v>#REF!</v>
      </c>
      <c r="F157" s="119" t="e">
        <f t="shared" si="8"/>
        <v>#REF!</v>
      </c>
      <c r="G157" s="682">
        <f>[3]development!T964</f>
        <v>0</v>
      </c>
      <c r="H157" s="118">
        <f t="shared" si="10"/>
        <v>0</v>
      </c>
      <c r="I157" s="736" t="e">
        <f t="shared" si="9"/>
        <v>#REF!</v>
      </c>
      <c r="J157" s="120" t="e">
        <f t="shared" si="11"/>
        <v>#REF!</v>
      </c>
      <c r="K157" s="128"/>
      <c r="L157" s="128"/>
    </row>
    <row r="158" spans="1:12" s="129" customFormat="1" ht="23.25">
      <c r="A158" s="140"/>
      <c r="B158" s="140" t="s">
        <v>456</v>
      </c>
      <c r="C158" s="142">
        <f>[3]Data!K2800</f>
        <v>1325.67</v>
      </c>
      <c r="D158" s="143"/>
      <c r="E158" s="120" t="e">
        <f>#REF!*84</f>
        <v>#REF!</v>
      </c>
      <c r="F158" s="119" t="e">
        <f t="shared" si="8"/>
        <v>#REF!</v>
      </c>
      <c r="G158" s="682">
        <f>[3]development!T965</f>
        <v>0</v>
      </c>
      <c r="H158" s="118">
        <f t="shared" si="10"/>
        <v>0</v>
      </c>
      <c r="I158" s="736" t="e">
        <f t="shared" si="9"/>
        <v>#REF!</v>
      </c>
      <c r="J158" s="120" t="e">
        <f t="shared" si="11"/>
        <v>#REF!</v>
      </c>
      <c r="K158" s="128"/>
      <c r="L158" s="128"/>
    </row>
    <row r="159" spans="1:12" s="129" customFormat="1" ht="46.5">
      <c r="A159" s="140"/>
      <c r="B159" s="146" t="s">
        <v>457</v>
      </c>
      <c r="C159" s="142">
        <f>[3]Elec.Data!K3011</f>
        <v>1937</v>
      </c>
      <c r="D159" s="143"/>
      <c r="E159" s="120" t="e">
        <f>#REF!*84</f>
        <v>#REF!</v>
      </c>
      <c r="F159" s="119" t="e">
        <f t="shared" si="8"/>
        <v>#REF!</v>
      </c>
      <c r="G159" s="682">
        <f>[3]development!T966</f>
        <v>0</v>
      </c>
      <c r="H159" s="118">
        <f t="shared" si="10"/>
        <v>0</v>
      </c>
      <c r="I159" s="736" t="e">
        <f t="shared" si="9"/>
        <v>#REF!</v>
      </c>
      <c r="J159" s="120" t="e">
        <f t="shared" si="11"/>
        <v>#REF!</v>
      </c>
      <c r="K159" s="128"/>
      <c r="L159" s="128"/>
    </row>
    <row r="160" spans="1:12" s="129" customFormat="1" ht="69.75">
      <c r="A160" s="140"/>
      <c r="B160" s="146" t="s">
        <v>458</v>
      </c>
      <c r="C160" s="142">
        <f>[3]Elec.Data!K3023</f>
        <v>1938</v>
      </c>
      <c r="D160" s="143"/>
      <c r="E160" s="120" t="e">
        <f>#REF!*84</f>
        <v>#REF!</v>
      </c>
      <c r="F160" s="119" t="e">
        <f t="shared" si="8"/>
        <v>#REF!</v>
      </c>
      <c r="G160" s="682">
        <f>[3]development!T967</f>
        <v>0</v>
      </c>
      <c r="H160" s="118">
        <f t="shared" si="10"/>
        <v>0</v>
      </c>
      <c r="I160" s="736" t="e">
        <f t="shared" si="9"/>
        <v>#REF!</v>
      </c>
      <c r="J160" s="120" t="e">
        <f t="shared" si="11"/>
        <v>#REF!</v>
      </c>
      <c r="K160" s="128"/>
      <c r="L160" s="128"/>
    </row>
    <row r="161" spans="1:12" s="129" customFormat="1" ht="46.5">
      <c r="A161" s="140"/>
      <c r="B161" s="146" t="s">
        <v>459</v>
      </c>
      <c r="C161" s="142">
        <f>[3]Elec.Data!K3044</f>
        <v>1996</v>
      </c>
      <c r="D161" s="143"/>
      <c r="E161" s="120" t="e">
        <f>#REF!*84</f>
        <v>#REF!</v>
      </c>
      <c r="F161" s="119" t="e">
        <f t="shared" si="8"/>
        <v>#REF!</v>
      </c>
      <c r="G161" s="682">
        <f>[3]development!T968</f>
        <v>0</v>
      </c>
      <c r="H161" s="118">
        <f t="shared" si="10"/>
        <v>0</v>
      </c>
      <c r="I161" s="736" t="e">
        <f t="shared" si="9"/>
        <v>#REF!</v>
      </c>
      <c r="J161" s="120" t="e">
        <f t="shared" si="11"/>
        <v>#REF!</v>
      </c>
      <c r="K161" s="128"/>
      <c r="L161" s="128"/>
    </row>
    <row r="162" spans="1:12" s="129" customFormat="1" ht="46.5">
      <c r="A162" s="140"/>
      <c r="B162" s="146" t="s">
        <v>460</v>
      </c>
      <c r="C162" s="142">
        <f>[3]Elec.Data!K3063</f>
        <v>3614</v>
      </c>
      <c r="D162" s="143"/>
      <c r="E162" s="120" t="e">
        <f>#REF!*84</f>
        <v>#REF!</v>
      </c>
      <c r="F162" s="119" t="e">
        <f t="shared" si="8"/>
        <v>#REF!</v>
      </c>
      <c r="G162" s="685"/>
      <c r="H162" s="118">
        <f t="shared" si="10"/>
        <v>0</v>
      </c>
      <c r="I162" s="736" t="e">
        <f t="shared" si="9"/>
        <v>#REF!</v>
      </c>
      <c r="J162" s="120" t="e">
        <f t="shared" si="11"/>
        <v>#REF!</v>
      </c>
      <c r="K162" s="128"/>
      <c r="L162" s="128"/>
    </row>
    <row r="163" spans="1:12" s="129" customFormat="1">
      <c r="A163" s="140"/>
      <c r="B163" s="146" t="s">
        <v>461</v>
      </c>
      <c r="C163" s="142">
        <f>[3]Elec.Data!K3092</f>
        <v>170.8</v>
      </c>
      <c r="D163" s="143"/>
      <c r="E163" s="120" t="e">
        <f>#REF!*84</f>
        <v>#REF!</v>
      </c>
      <c r="F163" s="119" t="e">
        <f t="shared" si="8"/>
        <v>#REF!</v>
      </c>
      <c r="G163" s="685"/>
      <c r="H163" s="118">
        <f t="shared" si="10"/>
        <v>0</v>
      </c>
      <c r="I163" s="736" t="e">
        <f t="shared" si="9"/>
        <v>#REF!</v>
      </c>
      <c r="J163" s="120" t="e">
        <f t="shared" si="11"/>
        <v>#REF!</v>
      </c>
      <c r="K163" s="128"/>
      <c r="L163" s="128"/>
    </row>
    <row r="164" spans="1:12" s="129" customFormat="1">
      <c r="A164" s="140"/>
      <c r="B164" s="146" t="s">
        <v>462</v>
      </c>
      <c r="C164" s="142">
        <f>[3]Elec.Data!K3105</f>
        <v>202.6</v>
      </c>
      <c r="D164" s="143"/>
      <c r="E164" s="120" t="e">
        <f>#REF!*84</f>
        <v>#REF!</v>
      </c>
      <c r="F164" s="119" t="e">
        <f t="shared" si="8"/>
        <v>#REF!</v>
      </c>
      <c r="G164" s="685"/>
      <c r="H164" s="118">
        <f t="shared" si="10"/>
        <v>0</v>
      </c>
      <c r="I164" s="736" t="e">
        <f t="shared" si="9"/>
        <v>#REF!</v>
      </c>
      <c r="J164" s="120" t="e">
        <f t="shared" si="11"/>
        <v>#REF!</v>
      </c>
      <c r="K164" s="128"/>
      <c r="L164" s="128"/>
    </row>
    <row r="165" spans="1:12" s="129" customFormat="1">
      <c r="A165" s="140"/>
      <c r="B165" s="146" t="s">
        <v>463</v>
      </c>
      <c r="C165" s="142">
        <f>[3]Elec.Data!K3119</f>
        <v>304.60000000000002</v>
      </c>
      <c r="D165" s="143"/>
      <c r="E165" s="120" t="e">
        <f>#REF!*84</f>
        <v>#REF!</v>
      </c>
      <c r="F165" s="119" t="e">
        <f t="shared" si="8"/>
        <v>#REF!</v>
      </c>
      <c r="G165" s="685"/>
      <c r="H165" s="118">
        <f t="shared" si="10"/>
        <v>0</v>
      </c>
      <c r="I165" s="736" t="e">
        <f t="shared" si="9"/>
        <v>#REF!</v>
      </c>
      <c r="J165" s="120" t="e">
        <f t="shared" si="11"/>
        <v>#REF!</v>
      </c>
      <c r="K165" s="128"/>
      <c r="L165" s="128"/>
    </row>
    <row r="166" spans="1:12" s="129" customFormat="1" ht="69.75">
      <c r="A166" s="140"/>
      <c r="B166" s="146" t="s">
        <v>464</v>
      </c>
      <c r="C166" s="142">
        <f>[3]Elec.Data!K3173</f>
        <v>898.5</v>
      </c>
      <c r="D166" s="143"/>
      <c r="E166" s="120" t="e">
        <f>#REF!*84</f>
        <v>#REF!</v>
      </c>
      <c r="F166" s="119" t="e">
        <f t="shared" si="8"/>
        <v>#REF!</v>
      </c>
      <c r="G166" s="685"/>
      <c r="H166" s="118">
        <f t="shared" si="10"/>
        <v>0</v>
      </c>
      <c r="I166" s="736" t="e">
        <f t="shared" si="9"/>
        <v>#REF!</v>
      </c>
      <c r="J166" s="120" t="e">
        <f t="shared" si="11"/>
        <v>#REF!</v>
      </c>
      <c r="K166" s="128"/>
      <c r="L166" s="128"/>
    </row>
    <row r="167" spans="1:12" s="129" customFormat="1" ht="69.75">
      <c r="A167" s="140"/>
      <c r="B167" s="146" t="s">
        <v>465</v>
      </c>
      <c r="C167" s="142">
        <f>[3]Elec.Data!K3184</f>
        <v>894.5</v>
      </c>
      <c r="D167" s="143"/>
      <c r="E167" s="120" t="e">
        <f>#REF!*84</f>
        <v>#REF!</v>
      </c>
      <c r="F167" s="119" t="e">
        <f t="shared" si="8"/>
        <v>#REF!</v>
      </c>
      <c r="G167" s="685"/>
      <c r="H167" s="118">
        <f t="shared" si="10"/>
        <v>0</v>
      </c>
      <c r="I167" s="736" t="e">
        <f t="shared" si="9"/>
        <v>#REF!</v>
      </c>
      <c r="J167" s="120" t="e">
        <f t="shared" si="11"/>
        <v>#REF!</v>
      </c>
      <c r="K167" s="128"/>
      <c r="L167" s="128"/>
    </row>
    <row r="168" spans="1:12" s="129" customFormat="1" ht="69.75">
      <c r="A168" s="140"/>
      <c r="B168" s="146" t="s">
        <v>466</v>
      </c>
      <c r="C168" s="142">
        <f>[3]Elec.Data!K3195</f>
        <v>1094</v>
      </c>
      <c r="D168" s="143"/>
      <c r="E168" s="120" t="e">
        <f>#REF!*84</f>
        <v>#REF!</v>
      </c>
      <c r="F168" s="119" t="e">
        <f t="shared" si="8"/>
        <v>#REF!</v>
      </c>
      <c r="G168" s="685"/>
      <c r="H168" s="118">
        <f t="shared" si="10"/>
        <v>0</v>
      </c>
      <c r="I168" s="736" t="e">
        <f t="shared" si="9"/>
        <v>#REF!</v>
      </c>
      <c r="J168" s="120" t="e">
        <f t="shared" si="11"/>
        <v>#REF!</v>
      </c>
      <c r="K168" s="128"/>
      <c r="L168" s="128"/>
    </row>
    <row r="169" spans="1:12" s="129" customFormat="1" ht="69.75">
      <c r="A169" s="140"/>
      <c r="B169" s="146" t="s">
        <v>467</v>
      </c>
      <c r="C169" s="142">
        <f>[3]Elec.Data!K3210</f>
        <v>1412</v>
      </c>
      <c r="D169" s="143"/>
      <c r="E169" s="120" t="e">
        <f>#REF!*84</f>
        <v>#REF!</v>
      </c>
      <c r="F169" s="119" t="e">
        <f t="shared" si="8"/>
        <v>#REF!</v>
      </c>
      <c r="G169" s="685"/>
      <c r="H169" s="118">
        <f t="shared" si="10"/>
        <v>0</v>
      </c>
      <c r="I169" s="736" t="e">
        <f t="shared" si="9"/>
        <v>#REF!</v>
      </c>
      <c r="J169" s="120" t="e">
        <f t="shared" si="11"/>
        <v>#REF!</v>
      </c>
      <c r="K169" s="128"/>
      <c r="L169" s="128"/>
    </row>
    <row r="170" spans="1:12" s="129" customFormat="1" ht="93">
      <c r="A170" s="140"/>
      <c r="B170" s="146" t="s">
        <v>468</v>
      </c>
      <c r="C170" s="142">
        <f>[3]Elec.Data!K3233</f>
        <v>3909</v>
      </c>
      <c r="D170" s="143"/>
      <c r="E170" s="120" t="e">
        <f>#REF!*84</f>
        <v>#REF!</v>
      </c>
      <c r="F170" s="119" t="e">
        <f t="shared" si="8"/>
        <v>#REF!</v>
      </c>
      <c r="G170" s="685"/>
      <c r="H170" s="118">
        <f t="shared" si="10"/>
        <v>0</v>
      </c>
      <c r="I170" s="736" t="e">
        <f t="shared" si="9"/>
        <v>#REF!</v>
      </c>
      <c r="J170" s="120" t="e">
        <f t="shared" si="11"/>
        <v>#REF!</v>
      </c>
      <c r="K170" s="128"/>
      <c r="L170" s="128"/>
    </row>
    <row r="171" spans="1:12" s="129" customFormat="1" ht="69.75">
      <c r="A171" s="140"/>
      <c r="B171" s="146" t="s">
        <v>469</v>
      </c>
      <c r="C171" s="142">
        <f>[3]Elec.Data!K3221</f>
        <v>3149</v>
      </c>
      <c r="D171" s="143"/>
      <c r="E171" s="120" t="e">
        <f>#REF!*84</f>
        <v>#REF!</v>
      </c>
      <c r="F171" s="119" t="e">
        <f t="shared" si="8"/>
        <v>#REF!</v>
      </c>
      <c r="G171" s="685"/>
      <c r="H171" s="118">
        <f t="shared" si="10"/>
        <v>0</v>
      </c>
      <c r="I171" s="736" t="e">
        <f t="shared" si="9"/>
        <v>#REF!</v>
      </c>
      <c r="J171" s="120" t="e">
        <f t="shared" si="11"/>
        <v>#REF!</v>
      </c>
      <c r="K171" s="128"/>
      <c r="L171" s="128"/>
    </row>
    <row r="172" spans="1:12" s="129" customFormat="1">
      <c r="A172" s="140"/>
      <c r="B172" s="146" t="s">
        <v>470</v>
      </c>
      <c r="C172" s="142">
        <f>[3]Elec.Data!K3244</f>
        <v>219</v>
      </c>
      <c r="D172" s="143"/>
      <c r="E172" s="120" t="e">
        <f>#REF!*84</f>
        <v>#REF!</v>
      </c>
      <c r="F172" s="119" t="e">
        <f t="shared" si="8"/>
        <v>#REF!</v>
      </c>
      <c r="G172" s="685"/>
      <c r="H172" s="118">
        <f t="shared" si="10"/>
        <v>0</v>
      </c>
      <c r="I172" s="736" t="e">
        <f t="shared" si="9"/>
        <v>#REF!</v>
      </c>
      <c r="J172" s="120" t="e">
        <f t="shared" si="11"/>
        <v>#REF!</v>
      </c>
      <c r="K172" s="128"/>
      <c r="L172" s="128"/>
    </row>
    <row r="173" spans="1:12" s="129" customFormat="1">
      <c r="A173" s="140"/>
      <c r="B173" s="146" t="s">
        <v>471</v>
      </c>
      <c r="C173" s="142">
        <f>[3]Elec.Data!K3262</f>
        <v>368</v>
      </c>
      <c r="D173" s="143"/>
      <c r="E173" s="120" t="e">
        <f>#REF!*84</f>
        <v>#REF!</v>
      </c>
      <c r="F173" s="119" t="e">
        <f t="shared" si="8"/>
        <v>#REF!</v>
      </c>
      <c r="G173" s="685"/>
      <c r="H173" s="118">
        <f t="shared" si="10"/>
        <v>0</v>
      </c>
      <c r="I173" s="736" t="e">
        <f t="shared" si="9"/>
        <v>#REF!</v>
      </c>
      <c r="J173" s="120" t="e">
        <f t="shared" si="11"/>
        <v>#REF!</v>
      </c>
      <c r="K173" s="128"/>
      <c r="L173" s="128"/>
    </row>
    <row r="174" spans="1:12" s="129" customFormat="1" ht="46.5">
      <c r="A174" s="140"/>
      <c r="B174" s="146" t="s">
        <v>472</v>
      </c>
      <c r="C174" s="142">
        <f>[3]Elec.Data!K3333</f>
        <v>293</v>
      </c>
      <c r="D174" s="143"/>
      <c r="E174" s="120" t="e">
        <f>#REF!*84</f>
        <v>#REF!</v>
      </c>
      <c r="F174" s="119" t="e">
        <f t="shared" si="8"/>
        <v>#REF!</v>
      </c>
      <c r="G174" s="685"/>
      <c r="H174" s="127"/>
      <c r="I174" s="736" t="e">
        <f t="shared" si="9"/>
        <v>#REF!</v>
      </c>
      <c r="J174" s="120" t="e">
        <f t="shared" si="11"/>
        <v>#REF!</v>
      </c>
      <c r="K174" s="128"/>
      <c r="L174" s="128"/>
    </row>
    <row r="175" spans="1:12" s="129" customFormat="1" ht="46.5">
      <c r="A175" s="140"/>
      <c r="B175" s="146" t="s">
        <v>473</v>
      </c>
      <c r="C175" s="142">
        <f>[3]Elec.Data!K3348</f>
        <v>584</v>
      </c>
      <c r="D175" s="143"/>
      <c r="E175" s="120" t="e">
        <f>#REF!*84</f>
        <v>#REF!</v>
      </c>
      <c r="F175" s="119" t="e">
        <f t="shared" si="8"/>
        <v>#REF!</v>
      </c>
      <c r="G175" s="685"/>
      <c r="H175" s="127"/>
      <c r="I175" s="736" t="e">
        <f t="shared" si="9"/>
        <v>#REF!</v>
      </c>
      <c r="J175" s="120" t="e">
        <f t="shared" si="11"/>
        <v>#REF!</v>
      </c>
      <c r="K175" s="128"/>
      <c r="L175" s="128"/>
    </row>
    <row r="176" spans="1:12" s="129" customFormat="1" ht="46.5">
      <c r="A176" s="140"/>
      <c r="B176" s="146" t="s">
        <v>474</v>
      </c>
      <c r="C176" s="142">
        <f>[3]Elec.Data!K3366</f>
        <v>380</v>
      </c>
      <c r="D176" s="143"/>
      <c r="E176" s="120" t="e">
        <f>#REF!*84</f>
        <v>#REF!</v>
      </c>
      <c r="F176" s="119" t="e">
        <f t="shared" si="8"/>
        <v>#REF!</v>
      </c>
      <c r="G176" s="685"/>
      <c r="H176" s="127"/>
      <c r="I176" s="736" t="e">
        <f t="shared" si="9"/>
        <v>#REF!</v>
      </c>
      <c r="J176" s="120" t="e">
        <f t="shared" si="11"/>
        <v>#REF!</v>
      </c>
      <c r="K176" s="128"/>
      <c r="L176" s="128"/>
    </row>
    <row r="177" spans="1:12" s="129" customFormat="1" ht="46.5">
      <c r="A177" s="140"/>
      <c r="B177" s="146" t="s">
        <v>475</v>
      </c>
      <c r="C177" s="142">
        <f>[3]Elec.Data!K3379</f>
        <v>598</v>
      </c>
      <c r="D177" s="143"/>
      <c r="E177" s="120" t="e">
        <f>#REF!*84</f>
        <v>#REF!</v>
      </c>
      <c r="F177" s="119" t="e">
        <f t="shared" si="8"/>
        <v>#REF!</v>
      </c>
      <c r="G177" s="685"/>
      <c r="H177" s="127"/>
      <c r="I177" s="736" t="e">
        <f t="shared" ref="I177:I181" si="12">G177+E177</f>
        <v>#REF!</v>
      </c>
      <c r="J177" s="120" t="e">
        <f t="shared" si="11"/>
        <v>#REF!</v>
      </c>
      <c r="K177" s="128"/>
      <c r="L177" s="128"/>
    </row>
    <row r="178" spans="1:12" s="129" customFormat="1">
      <c r="A178" s="140"/>
      <c r="B178" s="146" t="s">
        <v>476</v>
      </c>
      <c r="C178" s="142">
        <f>[3]Elec.Data!K3384</f>
        <v>1478</v>
      </c>
      <c r="D178" s="143"/>
      <c r="E178" s="120" t="e">
        <f>#REF!*84</f>
        <v>#REF!</v>
      </c>
      <c r="F178" s="119" t="e">
        <f t="shared" si="8"/>
        <v>#REF!</v>
      </c>
      <c r="G178" s="685"/>
      <c r="H178" s="127"/>
      <c r="I178" s="736" t="e">
        <f t="shared" si="12"/>
        <v>#REF!</v>
      </c>
      <c r="J178" s="120" t="e">
        <f t="shared" si="11"/>
        <v>#REF!</v>
      </c>
      <c r="K178" s="128"/>
      <c r="L178" s="128"/>
    </row>
    <row r="179" spans="1:12" s="129" customFormat="1">
      <c r="A179" s="140"/>
      <c r="B179" s="146" t="s">
        <v>477</v>
      </c>
      <c r="C179" s="142">
        <f>[3]Elec.Data!K3389</f>
        <v>1822</v>
      </c>
      <c r="D179" s="143"/>
      <c r="E179" s="120" t="e">
        <f>#REF!*84</f>
        <v>#REF!</v>
      </c>
      <c r="F179" s="119" t="e">
        <f t="shared" ref="F179:F210" si="13">E179*C179</f>
        <v>#REF!</v>
      </c>
      <c r="G179" s="685"/>
      <c r="H179" s="127"/>
      <c r="I179" s="736" t="e">
        <f t="shared" si="12"/>
        <v>#REF!</v>
      </c>
      <c r="J179" s="120" t="e">
        <f t="shared" si="11"/>
        <v>#REF!</v>
      </c>
      <c r="K179" s="128"/>
      <c r="L179" s="128"/>
    </row>
    <row r="180" spans="1:12" s="129" customFormat="1" ht="46.5">
      <c r="A180" s="140"/>
      <c r="B180" s="146" t="s">
        <v>478</v>
      </c>
      <c r="C180" s="142">
        <f>[3]Elec.Data!K3501</f>
        <v>118</v>
      </c>
      <c r="D180" s="143"/>
      <c r="E180" s="120" t="e">
        <f>#REF!*84</f>
        <v>#REF!</v>
      </c>
      <c r="F180" s="119" t="e">
        <f t="shared" si="13"/>
        <v>#REF!</v>
      </c>
      <c r="G180" s="685"/>
      <c r="H180" s="127"/>
      <c r="I180" s="736" t="e">
        <f t="shared" si="12"/>
        <v>#REF!</v>
      </c>
      <c r="J180" s="120" t="e">
        <f t="shared" si="11"/>
        <v>#REF!</v>
      </c>
      <c r="K180" s="128"/>
      <c r="L180" s="128"/>
    </row>
    <row r="181" spans="1:12" s="129" customFormat="1" ht="46.5">
      <c r="A181" s="140"/>
      <c r="B181" s="146" t="s">
        <v>479</v>
      </c>
      <c r="C181" s="142">
        <f>[3]Elec.Data!K3539</f>
        <v>209.9</v>
      </c>
      <c r="D181" s="143"/>
      <c r="E181" s="120" t="e">
        <f>#REF!*84</f>
        <v>#REF!</v>
      </c>
      <c r="F181" s="119" t="e">
        <f t="shared" si="13"/>
        <v>#REF!</v>
      </c>
      <c r="G181" s="686"/>
      <c r="H181" s="147"/>
      <c r="I181" s="736" t="e">
        <f t="shared" si="12"/>
        <v>#REF!</v>
      </c>
      <c r="J181" s="120" t="e">
        <f t="shared" si="11"/>
        <v>#REF!</v>
      </c>
      <c r="K181" s="128"/>
      <c r="L181" s="128"/>
    </row>
    <row r="182" spans="1:12" s="129" customFormat="1" ht="23.25">
      <c r="A182" s="140"/>
      <c r="B182" s="146" t="s">
        <v>480</v>
      </c>
      <c r="C182" s="142">
        <f>[3]Elec.Data!K3547</f>
        <v>162.69999999999999</v>
      </c>
      <c r="D182" s="143"/>
      <c r="E182" s="120" t="e">
        <f>#REF!*84</f>
        <v>#REF!</v>
      </c>
      <c r="F182" s="119" t="e">
        <f t="shared" si="13"/>
        <v>#REF!</v>
      </c>
      <c r="G182" s="686"/>
      <c r="H182" s="147"/>
      <c r="I182" s="736" t="e">
        <f>G182+#REF!</f>
        <v>#REF!</v>
      </c>
      <c r="J182" s="120" t="e">
        <f t="shared" ref="J182:J213" si="14">I182*C182</f>
        <v>#REF!</v>
      </c>
      <c r="K182" s="128"/>
      <c r="L182" s="128"/>
    </row>
    <row r="183" spans="1:12" s="129" customFormat="1" ht="23.25">
      <c r="A183" s="140"/>
      <c r="B183" s="146" t="s">
        <v>481</v>
      </c>
      <c r="C183" s="142">
        <f>[3]Elec.Data!K3567</f>
        <v>215.13</v>
      </c>
      <c r="D183" s="143"/>
      <c r="E183" s="120" t="e">
        <f>#REF!*84</f>
        <v>#REF!</v>
      </c>
      <c r="F183" s="119" t="e">
        <f t="shared" si="13"/>
        <v>#REF!</v>
      </c>
      <c r="G183" s="687">
        <f>122909764.17+11617482.76</f>
        <v>134527246.93000001</v>
      </c>
      <c r="H183" s="148">
        <f>H114-[3]development!U921</f>
        <v>-21429465.544</v>
      </c>
      <c r="I183" s="736" t="e">
        <f>G183+#REF!</f>
        <v>#REF!</v>
      </c>
      <c r="J183" s="120" t="e">
        <f t="shared" si="14"/>
        <v>#REF!</v>
      </c>
      <c r="K183" s="128"/>
      <c r="L183" s="128"/>
    </row>
    <row r="184" spans="1:12" s="129" customFormat="1">
      <c r="A184" s="140"/>
      <c r="B184" s="146" t="s">
        <v>482</v>
      </c>
      <c r="C184" s="142">
        <f>[3]Elec.Data!K3584</f>
        <v>117</v>
      </c>
      <c r="D184" s="143"/>
      <c r="E184" s="120" t="e">
        <f>#REF!*84</f>
        <v>#REF!</v>
      </c>
      <c r="F184" s="119" t="e">
        <f t="shared" si="13"/>
        <v>#REF!</v>
      </c>
      <c r="G184" s="685"/>
      <c r="H184" s="127"/>
      <c r="I184" s="736" t="e">
        <f>G184+#REF!</f>
        <v>#REF!</v>
      </c>
      <c r="J184" s="120" t="e">
        <f t="shared" si="14"/>
        <v>#REF!</v>
      </c>
      <c r="K184" s="128"/>
      <c r="L184" s="128"/>
    </row>
    <row r="185" spans="1:12" s="129" customFormat="1">
      <c r="A185" s="140"/>
      <c r="B185" s="146" t="s">
        <v>483</v>
      </c>
      <c r="C185" s="142">
        <f>[3]Elec.Data!K3619</f>
        <v>1700</v>
      </c>
      <c r="D185" s="143"/>
      <c r="E185" s="120" t="e">
        <f>#REF!*84</f>
        <v>#REF!</v>
      </c>
      <c r="F185" s="119" t="e">
        <f t="shared" si="13"/>
        <v>#REF!</v>
      </c>
      <c r="G185" s="685"/>
      <c r="H185" s="127"/>
      <c r="I185" s="736" t="e">
        <f>G185+#REF!</f>
        <v>#REF!</v>
      </c>
      <c r="J185" s="120" t="e">
        <f t="shared" si="14"/>
        <v>#REF!</v>
      </c>
      <c r="K185" s="128"/>
      <c r="L185" s="128"/>
    </row>
    <row r="186" spans="1:12" s="129" customFormat="1" ht="116.25">
      <c r="A186" s="140"/>
      <c r="B186" s="146" t="s">
        <v>484</v>
      </c>
      <c r="C186" s="142">
        <f>[3]Elec.Data!K3650</f>
        <v>1814</v>
      </c>
      <c r="D186" s="143"/>
      <c r="E186" s="120" t="e">
        <f>#REF!*84</f>
        <v>#REF!</v>
      </c>
      <c r="F186" s="119" t="e">
        <f t="shared" si="13"/>
        <v>#REF!</v>
      </c>
      <c r="G186" s="685"/>
      <c r="H186" s="127"/>
      <c r="I186" s="736" t="e">
        <f>G186+#REF!</f>
        <v>#REF!</v>
      </c>
      <c r="J186" s="120" t="e">
        <f t="shared" si="14"/>
        <v>#REF!</v>
      </c>
      <c r="K186" s="128"/>
      <c r="L186" s="128"/>
    </row>
    <row r="187" spans="1:12" s="129" customFormat="1" ht="46.5">
      <c r="A187" s="140"/>
      <c r="B187" s="146" t="s">
        <v>485</v>
      </c>
      <c r="C187" s="142">
        <f>[3]Elec.Data!K3676</f>
        <v>4460</v>
      </c>
      <c r="D187" s="143"/>
      <c r="E187" s="120" t="e">
        <f>#REF!*84</f>
        <v>#REF!</v>
      </c>
      <c r="F187" s="119" t="e">
        <f t="shared" si="13"/>
        <v>#REF!</v>
      </c>
      <c r="G187" s="685"/>
      <c r="H187" s="127"/>
      <c r="I187" s="736" t="e">
        <f>G187+#REF!</f>
        <v>#REF!</v>
      </c>
      <c r="J187" s="120" t="e">
        <f t="shared" si="14"/>
        <v>#REF!</v>
      </c>
      <c r="K187" s="128"/>
      <c r="L187" s="128"/>
    </row>
    <row r="188" spans="1:12" s="129" customFormat="1" ht="46.5">
      <c r="A188" s="140"/>
      <c r="B188" s="146" t="s">
        <v>486</v>
      </c>
      <c r="C188" s="142">
        <f>[3]Elec.Data!K3695</f>
        <v>74.2</v>
      </c>
      <c r="D188" s="143"/>
      <c r="E188" s="120" t="e">
        <f>#REF!*84</f>
        <v>#REF!</v>
      </c>
      <c r="F188" s="119" t="e">
        <f t="shared" si="13"/>
        <v>#REF!</v>
      </c>
      <c r="G188" s="685"/>
      <c r="H188" s="127"/>
      <c r="I188" s="736" t="e">
        <f>G188+#REF!</f>
        <v>#REF!</v>
      </c>
      <c r="J188" s="120" t="e">
        <f t="shared" si="14"/>
        <v>#REF!</v>
      </c>
      <c r="K188" s="128"/>
      <c r="L188" s="128"/>
    </row>
    <row r="189" spans="1:12" s="129" customFormat="1">
      <c r="A189" s="140"/>
      <c r="B189" s="146" t="s">
        <v>487</v>
      </c>
      <c r="C189" s="142">
        <f>[3]Elec.Data!K3702</f>
        <v>52</v>
      </c>
      <c r="D189" s="143"/>
      <c r="E189" s="120" t="e">
        <f>#REF!*84</f>
        <v>#REF!</v>
      </c>
      <c r="F189" s="119" t="e">
        <f t="shared" si="13"/>
        <v>#REF!</v>
      </c>
      <c r="G189" s="685"/>
      <c r="H189" s="127"/>
      <c r="I189" s="736" t="e">
        <f>G189+#REF!</f>
        <v>#REF!</v>
      </c>
      <c r="J189" s="120" t="e">
        <f t="shared" si="14"/>
        <v>#REF!</v>
      </c>
      <c r="K189" s="128"/>
      <c r="L189" s="128"/>
    </row>
    <row r="190" spans="1:12" s="129" customFormat="1" ht="69.75">
      <c r="A190" s="140"/>
      <c r="B190" s="146" t="s">
        <v>488</v>
      </c>
      <c r="C190" s="142">
        <f>[3]Elec.Data!K3727</f>
        <v>5559</v>
      </c>
      <c r="D190" s="143"/>
      <c r="E190" s="120" t="e">
        <f>#REF!*84</f>
        <v>#REF!</v>
      </c>
      <c r="F190" s="119" t="e">
        <f t="shared" si="13"/>
        <v>#REF!</v>
      </c>
      <c r="G190" s="685"/>
      <c r="H190" s="127"/>
      <c r="I190" s="736" t="e">
        <f>G190+#REF!</f>
        <v>#REF!</v>
      </c>
      <c r="J190" s="120" t="e">
        <f t="shared" si="14"/>
        <v>#REF!</v>
      </c>
      <c r="K190" s="128"/>
      <c r="L190" s="128"/>
    </row>
    <row r="191" spans="1:12" s="129" customFormat="1">
      <c r="A191" s="140"/>
      <c r="B191" s="146" t="s">
        <v>489</v>
      </c>
      <c r="C191" s="142">
        <f>[3]Elec.Data!K3774</f>
        <v>697</v>
      </c>
      <c r="D191" s="143"/>
      <c r="E191" s="120" t="e">
        <f>#REF!*84</f>
        <v>#REF!</v>
      </c>
      <c r="F191" s="119" t="e">
        <f t="shared" si="13"/>
        <v>#REF!</v>
      </c>
      <c r="G191" s="685"/>
      <c r="H191" s="127"/>
      <c r="I191" s="736" t="e">
        <f>G191+#REF!</f>
        <v>#REF!</v>
      </c>
      <c r="J191" s="120" t="e">
        <f t="shared" si="14"/>
        <v>#REF!</v>
      </c>
      <c r="K191" s="128"/>
      <c r="L191" s="128"/>
    </row>
    <row r="192" spans="1:12" s="129" customFormat="1" ht="46.5">
      <c r="A192" s="140"/>
      <c r="B192" s="149" t="s">
        <v>490</v>
      </c>
      <c r="C192" s="142">
        <f>[3]Elec.Data!K3815</f>
        <v>687</v>
      </c>
      <c r="D192" s="143"/>
      <c r="E192" s="120" t="e">
        <f>#REF!*84</f>
        <v>#REF!</v>
      </c>
      <c r="F192" s="119" t="e">
        <f t="shared" si="13"/>
        <v>#REF!</v>
      </c>
      <c r="G192" s="685"/>
      <c r="H192" s="127"/>
      <c r="I192" s="736" t="e">
        <f>G192+#REF!</f>
        <v>#REF!</v>
      </c>
      <c r="J192" s="120" t="e">
        <f t="shared" si="14"/>
        <v>#REF!</v>
      </c>
      <c r="K192" s="128"/>
      <c r="L192" s="128"/>
    </row>
    <row r="193" spans="1:12" s="129" customFormat="1" ht="46.5">
      <c r="A193" s="140"/>
      <c r="B193" s="146" t="s">
        <v>491</v>
      </c>
      <c r="C193" s="142">
        <f>[3]Elec.Data!K3841</f>
        <v>689</v>
      </c>
      <c r="D193" s="143"/>
      <c r="E193" s="120" t="e">
        <f>#REF!*84</f>
        <v>#REF!</v>
      </c>
      <c r="F193" s="119" t="e">
        <f t="shared" si="13"/>
        <v>#REF!</v>
      </c>
      <c r="G193" s="685"/>
      <c r="H193" s="127"/>
      <c r="I193" s="736" t="e">
        <f>G193+#REF!</f>
        <v>#REF!</v>
      </c>
      <c r="J193" s="120" t="e">
        <f t="shared" si="14"/>
        <v>#REF!</v>
      </c>
      <c r="K193" s="128"/>
      <c r="L193" s="128"/>
    </row>
    <row r="194" spans="1:12" s="129" customFormat="1" ht="69.75">
      <c r="A194" s="140"/>
      <c r="B194" s="149" t="s">
        <v>492</v>
      </c>
      <c r="C194" s="142">
        <f>[3]Elec.Data!K3857</f>
        <v>729</v>
      </c>
      <c r="D194" s="143"/>
      <c r="E194" s="120" t="e">
        <f>#REF!*84</f>
        <v>#REF!</v>
      </c>
      <c r="F194" s="119" t="e">
        <f t="shared" si="13"/>
        <v>#REF!</v>
      </c>
      <c r="G194" s="685"/>
      <c r="H194" s="127"/>
      <c r="I194" s="736" t="e">
        <f>G194+#REF!</f>
        <v>#REF!</v>
      </c>
      <c r="J194" s="120" t="e">
        <f t="shared" si="14"/>
        <v>#REF!</v>
      </c>
      <c r="K194" s="128"/>
      <c r="L194" s="128"/>
    </row>
    <row r="195" spans="1:12" s="129" customFormat="1" ht="46.5">
      <c r="A195" s="140"/>
      <c r="B195" s="149" t="s">
        <v>493</v>
      </c>
      <c r="C195" s="142">
        <f>[3]Elec.Data!K3879</f>
        <v>772</v>
      </c>
      <c r="D195" s="143"/>
      <c r="E195" s="120" t="e">
        <f>#REF!*84</f>
        <v>#REF!</v>
      </c>
      <c r="F195" s="119" t="e">
        <f t="shared" si="13"/>
        <v>#REF!</v>
      </c>
      <c r="G195" s="685"/>
      <c r="H195" s="127"/>
      <c r="I195" s="736" t="e">
        <f>G195+#REF!</f>
        <v>#REF!</v>
      </c>
      <c r="J195" s="120" t="e">
        <f t="shared" si="14"/>
        <v>#REF!</v>
      </c>
      <c r="K195" s="128"/>
      <c r="L195" s="128"/>
    </row>
    <row r="196" spans="1:12" s="129" customFormat="1" ht="69.75">
      <c r="A196" s="140"/>
      <c r="B196" s="149" t="s">
        <v>494</v>
      </c>
      <c r="C196" s="142">
        <f>[3]Elec.Data!K3899</f>
        <v>1586</v>
      </c>
      <c r="D196" s="143"/>
      <c r="E196" s="120" t="e">
        <f>#REF!*84</f>
        <v>#REF!</v>
      </c>
      <c r="F196" s="119" t="e">
        <f t="shared" si="13"/>
        <v>#REF!</v>
      </c>
      <c r="G196" s="685"/>
      <c r="H196" s="127"/>
      <c r="I196" s="736" t="e">
        <f>G196+#REF!</f>
        <v>#REF!</v>
      </c>
      <c r="J196" s="120" t="e">
        <f t="shared" si="14"/>
        <v>#REF!</v>
      </c>
      <c r="K196" s="128"/>
      <c r="L196" s="128"/>
    </row>
    <row r="197" spans="1:12" s="129" customFormat="1" ht="46.5">
      <c r="A197" s="140"/>
      <c r="B197" s="149" t="s">
        <v>495</v>
      </c>
      <c r="C197" s="142">
        <f>[3]Elec.Data!K3918</f>
        <v>533</v>
      </c>
      <c r="D197" s="143"/>
      <c r="E197" s="120" t="e">
        <f>#REF!*84</f>
        <v>#REF!</v>
      </c>
      <c r="F197" s="119" t="e">
        <f t="shared" si="13"/>
        <v>#REF!</v>
      </c>
      <c r="G197" s="685"/>
      <c r="H197" s="127"/>
      <c r="I197" s="736" t="e">
        <f>G197+#REF!</f>
        <v>#REF!</v>
      </c>
      <c r="J197" s="120" t="e">
        <f t="shared" si="14"/>
        <v>#REF!</v>
      </c>
      <c r="K197" s="128"/>
      <c r="L197" s="128"/>
    </row>
    <row r="198" spans="1:12" s="129" customFormat="1" ht="46.5">
      <c r="A198" s="140"/>
      <c r="B198" s="149" t="s">
        <v>496</v>
      </c>
      <c r="C198" s="142">
        <f>[3]Elec.Data!K3942</f>
        <v>99.3</v>
      </c>
      <c r="D198" s="143"/>
      <c r="E198" s="120" t="e">
        <f>#REF!*84</f>
        <v>#REF!</v>
      </c>
      <c r="F198" s="119" t="e">
        <f t="shared" si="13"/>
        <v>#REF!</v>
      </c>
      <c r="G198" s="685"/>
      <c r="H198" s="127"/>
      <c r="I198" s="736" t="e">
        <f>G198+#REF!</f>
        <v>#REF!</v>
      </c>
      <c r="J198" s="120" t="e">
        <f t="shared" si="14"/>
        <v>#REF!</v>
      </c>
      <c r="K198" s="128"/>
      <c r="L198" s="128"/>
    </row>
    <row r="199" spans="1:12" s="129" customFormat="1" ht="46.5">
      <c r="A199" s="140"/>
      <c r="B199" s="146" t="s">
        <v>497</v>
      </c>
      <c r="C199" s="142">
        <f>[3]Elec.Data!K3953</f>
        <v>114.5</v>
      </c>
      <c r="D199" s="143"/>
      <c r="E199" s="120" t="e">
        <f>#REF!*84</f>
        <v>#REF!</v>
      </c>
      <c r="F199" s="119" t="e">
        <f t="shared" si="13"/>
        <v>#REF!</v>
      </c>
      <c r="G199" s="685"/>
      <c r="H199" s="127"/>
      <c r="I199" s="736" t="e">
        <f>G199+#REF!</f>
        <v>#REF!</v>
      </c>
      <c r="J199" s="120" t="e">
        <f t="shared" si="14"/>
        <v>#REF!</v>
      </c>
      <c r="K199" s="128"/>
      <c r="L199" s="128"/>
    </row>
    <row r="200" spans="1:12" s="129" customFormat="1">
      <c r="A200" s="140"/>
      <c r="B200" s="146" t="s">
        <v>498</v>
      </c>
      <c r="C200" s="142">
        <f>[3]Data!R384</f>
        <v>17.12</v>
      </c>
      <c r="D200" s="143"/>
      <c r="E200" s="120" t="e">
        <f>#REF!*84</f>
        <v>#REF!</v>
      </c>
      <c r="F200" s="119" t="e">
        <f t="shared" si="13"/>
        <v>#REF!</v>
      </c>
      <c r="G200" s="685"/>
      <c r="H200" s="127"/>
      <c r="I200" s="736" t="e">
        <f>G200+#REF!</f>
        <v>#REF!</v>
      </c>
      <c r="J200" s="120" t="e">
        <f t="shared" si="14"/>
        <v>#REF!</v>
      </c>
      <c r="K200" s="128"/>
      <c r="L200" s="128"/>
    </row>
    <row r="201" spans="1:12" s="129" customFormat="1">
      <c r="A201" s="140"/>
      <c r="B201" s="146" t="s">
        <v>499</v>
      </c>
      <c r="C201" s="142">
        <f>C200+C203</f>
        <v>19.920000000000002</v>
      </c>
      <c r="D201" s="143"/>
      <c r="E201" s="120" t="e">
        <f>#REF!*84</f>
        <v>#REF!</v>
      </c>
      <c r="F201" s="119" t="e">
        <f t="shared" si="13"/>
        <v>#REF!</v>
      </c>
      <c r="G201" s="685"/>
      <c r="H201" s="127"/>
      <c r="I201" s="736" t="e">
        <f>G201+#REF!</f>
        <v>#REF!</v>
      </c>
      <c r="J201" s="120" t="e">
        <f t="shared" si="14"/>
        <v>#REF!</v>
      </c>
      <c r="K201" s="128"/>
      <c r="L201" s="128"/>
    </row>
    <row r="202" spans="1:12" s="129" customFormat="1">
      <c r="A202" s="140"/>
      <c r="B202" s="146" t="s">
        <v>500</v>
      </c>
      <c r="C202" s="142">
        <f>[3]Data!R398</f>
        <v>24.9</v>
      </c>
      <c r="D202" s="143"/>
      <c r="E202" s="120" t="e">
        <f>#REF!*84</f>
        <v>#REF!</v>
      </c>
      <c r="F202" s="119" t="e">
        <f t="shared" si="13"/>
        <v>#REF!</v>
      </c>
      <c r="G202" s="685"/>
      <c r="H202" s="127"/>
      <c r="I202" s="736" t="e">
        <f>G202+#REF!</f>
        <v>#REF!</v>
      </c>
      <c r="J202" s="120" t="e">
        <f t="shared" si="14"/>
        <v>#REF!</v>
      </c>
      <c r="K202" s="128"/>
      <c r="L202" s="128"/>
    </row>
    <row r="203" spans="1:12" s="129" customFormat="1">
      <c r="A203" s="140"/>
      <c r="B203" s="146" t="s">
        <v>501</v>
      </c>
      <c r="C203" s="142">
        <f>[3]Data!I3174</f>
        <v>2.8</v>
      </c>
      <c r="D203" s="143"/>
      <c r="E203" s="120" t="e">
        <f>#REF!*84</f>
        <v>#REF!</v>
      </c>
      <c r="F203" s="119" t="e">
        <f t="shared" si="13"/>
        <v>#REF!</v>
      </c>
      <c r="G203" s="685"/>
      <c r="H203" s="127"/>
      <c r="I203" s="736" t="e">
        <f>G203+#REF!</f>
        <v>#REF!</v>
      </c>
      <c r="J203" s="120" t="e">
        <f t="shared" si="14"/>
        <v>#REF!</v>
      </c>
      <c r="K203" s="128"/>
      <c r="L203" s="128"/>
    </row>
    <row r="204" spans="1:12" s="129" customFormat="1">
      <c r="A204" s="140"/>
      <c r="B204" s="146" t="s">
        <v>502</v>
      </c>
      <c r="C204" s="142">
        <f>[3]Data!I3200</f>
        <v>6</v>
      </c>
      <c r="D204" s="143"/>
      <c r="E204" s="120" t="e">
        <f>#REF!*84</f>
        <v>#REF!</v>
      </c>
      <c r="F204" s="119" t="e">
        <f t="shared" si="13"/>
        <v>#REF!</v>
      </c>
      <c r="G204" s="685"/>
      <c r="H204" s="127"/>
      <c r="I204" s="736" t="e">
        <f>G204+#REF!</f>
        <v>#REF!</v>
      </c>
      <c r="J204" s="120" t="e">
        <f t="shared" si="14"/>
        <v>#REF!</v>
      </c>
      <c r="K204" s="128"/>
      <c r="L204" s="128"/>
    </row>
    <row r="205" spans="1:12" s="129" customFormat="1">
      <c r="A205" s="140"/>
      <c r="B205" s="146" t="s">
        <v>503</v>
      </c>
      <c r="C205" s="142">
        <f>[3]Data!I3214</f>
        <v>6.5</v>
      </c>
      <c r="D205" s="143"/>
      <c r="E205" s="120" t="e">
        <f>#REF!*84</f>
        <v>#REF!</v>
      </c>
      <c r="F205" s="119" t="e">
        <f t="shared" si="13"/>
        <v>#REF!</v>
      </c>
      <c r="G205" s="685"/>
      <c r="H205" s="127"/>
      <c r="I205" s="736" t="e">
        <f>G205+#REF!</f>
        <v>#REF!</v>
      </c>
      <c r="J205" s="120" t="e">
        <f t="shared" si="14"/>
        <v>#REF!</v>
      </c>
      <c r="K205" s="128"/>
      <c r="L205" s="128"/>
    </row>
    <row r="206" spans="1:12" s="129" customFormat="1">
      <c r="A206" s="140"/>
      <c r="B206" s="146" t="s">
        <v>504</v>
      </c>
      <c r="C206" s="142">
        <f>[3]Data!K3190</f>
        <v>53.95</v>
      </c>
      <c r="D206" s="143"/>
      <c r="E206" s="120" t="e">
        <f>#REF!*84</f>
        <v>#REF!</v>
      </c>
      <c r="F206" s="119" t="e">
        <f t="shared" si="13"/>
        <v>#REF!</v>
      </c>
      <c r="G206" s="685"/>
      <c r="H206" s="127"/>
      <c r="I206" s="736" t="e">
        <f>G206+#REF!</f>
        <v>#REF!</v>
      </c>
      <c r="J206" s="120" t="e">
        <f t="shared" si="14"/>
        <v>#REF!</v>
      </c>
      <c r="K206" s="128"/>
      <c r="L206" s="128"/>
    </row>
    <row r="207" spans="1:12" s="129" customFormat="1">
      <c r="A207" s="140"/>
      <c r="B207" s="146" t="s">
        <v>505</v>
      </c>
      <c r="C207" s="142">
        <f>[3]Data!K3177</f>
        <v>103.17</v>
      </c>
      <c r="D207" s="143"/>
      <c r="E207" s="120" t="e">
        <f>#REF!*84</f>
        <v>#REF!</v>
      </c>
      <c r="F207" s="119" t="e">
        <f t="shared" si="13"/>
        <v>#REF!</v>
      </c>
      <c r="G207" s="685"/>
      <c r="H207" s="127"/>
      <c r="I207" s="736" t="e">
        <f>G207+#REF!</f>
        <v>#REF!</v>
      </c>
      <c r="J207" s="120" t="e">
        <f t="shared" si="14"/>
        <v>#REF!</v>
      </c>
      <c r="K207" s="128"/>
      <c r="L207" s="128"/>
    </row>
    <row r="208" spans="1:12" s="129" customFormat="1">
      <c r="A208" s="140"/>
      <c r="B208" s="140" t="s">
        <v>506</v>
      </c>
      <c r="C208" s="142">
        <f>[3]Data!K3204</f>
        <v>70.92</v>
      </c>
      <c r="D208" s="143"/>
      <c r="E208" s="150"/>
      <c r="F208" s="119">
        <f t="shared" si="13"/>
        <v>0</v>
      </c>
      <c r="G208" s="685"/>
      <c r="H208" s="127"/>
      <c r="I208" s="736" t="e">
        <f>G208+#REF!</f>
        <v>#REF!</v>
      </c>
      <c r="J208" s="120" t="e">
        <f t="shared" si="14"/>
        <v>#REF!</v>
      </c>
      <c r="K208" s="128"/>
      <c r="L208" s="128"/>
    </row>
    <row r="209" spans="2:12" s="129" customFormat="1">
      <c r="B209" s="129" t="s">
        <v>507</v>
      </c>
      <c r="C209" s="150">
        <f>[3]Data!K3249</f>
        <v>110.82</v>
      </c>
      <c r="D209" s="143"/>
      <c r="E209" s="150"/>
      <c r="F209" s="119">
        <f t="shared" si="13"/>
        <v>0</v>
      </c>
      <c r="G209" s="685"/>
      <c r="H209" s="127"/>
      <c r="I209" s="736" t="e">
        <f>G209+#REF!</f>
        <v>#REF!</v>
      </c>
      <c r="J209" s="120" t="e">
        <f t="shared" si="14"/>
        <v>#REF!</v>
      </c>
      <c r="K209" s="128"/>
      <c r="L209" s="128"/>
    </row>
    <row r="210" spans="2:12" s="129" customFormat="1" ht="23.25">
      <c r="B210" s="129" t="s">
        <v>508</v>
      </c>
      <c r="C210" s="150">
        <f>[3]Data!K3218</f>
        <v>77.7</v>
      </c>
      <c r="D210" s="143"/>
      <c r="E210" s="150"/>
      <c r="F210" s="119">
        <f t="shared" si="13"/>
        <v>0</v>
      </c>
      <c r="G210" s="686"/>
      <c r="H210" s="147"/>
      <c r="I210" s="736" t="e">
        <f>G210+#REF!</f>
        <v>#REF!</v>
      </c>
      <c r="J210" s="120" t="e">
        <f t="shared" si="14"/>
        <v>#REF!</v>
      </c>
      <c r="K210" s="128"/>
      <c r="L210" s="128"/>
    </row>
    <row r="211" spans="2:12" s="129" customFormat="1" ht="23.25">
      <c r="B211" s="129" t="s">
        <v>509</v>
      </c>
      <c r="C211" s="150">
        <f>[3]Data!K3233</f>
        <v>127.06</v>
      </c>
      <c r="D211" s="143"/>
      <c r="E211" s="150"/>
      <c r="F211" s="119">
        <f>E211*C211</f>
        <v>0</v>
      </c>
      <c r="G211" s="686"/>
      <c r="H211" s="147"/>
      <c r="I211" s="736" t="e">
        <f>G211+#REF!</f>
        <v>#REF!</v>
      </c>
      <c r="J211" s="120" t="e">
        <f t="shared" si="14"/>
        <v>#REF!</v>
      </c>
      <c r="K211" s="128"/>
      <c r="L211" s="128"/>
    </row>
    <row r="212" spans="2:12" s="129" customFormat="1" ht="23.25">
      <c r="B212" s="129" t="s">
        <v>510</v>
      </c>
      <c r="C212" s="150">
        <f>[3]Data!K3277</f>
        <v>72.95</v>
      </c>
      <c r="D212" s="143"/>
      <c r="E212" s="150"/>
      <c r="F212" s="150"/>
      <c r="G212" s="687"/>
      <c r="H212" s="148"/>
      <c r="I212" s="736" t="e">
        <f>G212+#REF!</f>
        <v>#REF!</v>
      </c>
      <c r="J212" s="120" t="e">
        <f t="shared" si="14"/>
        <v>#REF!</v>
      </c>
      <c r="K212" s="128"/>
      <c r="L212" s="128"/>
    </row>
    <row r="213" spans="2:12" s="129" customFormat="1">
      <c r="B213" s="129" t="str">
        <f>[3]Data!H3366</f>
        <v>Plastic Emulsion PAINT one coat for old wall</v>
      </c>
      <c r="C213" s="150">
        <f>[3]Data!K3373</f>
        <v>63.12</v>
      </c>
      <c r="D213" s="143"/>
      <c r="E213" s="150"/>
      <c r="F213" s="150"/>
      <c r="G213" s="685"/>
      <c r="H213" s="127" t="e">
        <f>H114-#REF!</f>
        <v>#REF!</v>
      </c>
      <c r="I213" s="736" t="e">
        <f>G213+#REF!</f>
        <v>#REF!</v>
      </c>
      <c r="J213" s="120" t="e">
        <f t="shared" si="14"/>
        <v>#REF!</v>
      </c>
      <c r="K213" s="128"/>
      <c r="L213" s="128"/>
    </row>
    <row r="214" spans="2:12" s="129" customFormat="1">
      <c r="B214" s="129" t="str">
        <f>[3]Data!H3353</f>
        <v>Plastic Emulsion PAINT two coat for old wall</v>
      </c>
      <c r="C214" s="150">
        <f>[3]Data!K3360</f>
        <v>129.27000000000001</v>
      </c>
      <c r="D214" s="143"/>
      <c r="E214" s="150"/>
      <c r="F214" s="150"/>
      <c r="G214" s="685"/>
      <c r="H214" s="127"/>
      <c r="I214" s="736" t="e">
        <f>G214+#REF!</f>
        <v>#REF!</v>
      </c>
      <c r="J214" s="120" t="e">
        <f>I214*C214</f>
        <v>#REF!</v>
      </c>
      <c r="K214" s="128"/>
      <c r="L214" s="128"/>
    </row>
    <row r="215" spans="2:12" s="129" customFormat="1">
      <c r="C215" s="150"/>
      <c r="D215" s="143"/>
      <c r="E215" s="150"/>
      <c r="F215" s="150"/>
      <c r="G215" s="685"/>
      <c r="H215" s="127" t="e">
        <f>H114-#REF!</f>
        <v>#REF!</v>
      </c>
      <c r="I215" s="734"/>
      <c r="J215" s="128"/>
      <c r="K215" s="128"/>
      <c r="L215" s="128"/>
    </row>
    <row r="216" spans="2:12" s="129" customFormat="1">
      <c r="C216" s="150"/>
      <c r="D216" s="143"/>
      <c r="E216" s="150"/>
      <c r="F216" s="150"/>
      <c r="G216" s="685"/>
      <c r="H216" s="127"/>
      <c r="I216" s="734"/>
      <c r="J216" s="128"/>
      <c r="K216" s="128"/>
      <c r="L216" s="128"/>
    </row>
    <row r="217" spans="2:12" s="129" customFormat="1">
      <c r="C217" s="150"/>
      <c r="D217" s="143"/>
      <c r="E217" s="150"/>
      <c r="F217" s="150"/>
      <c r="G217" s="685"/>
      <c r="H217" s="127"/>
      <c r="I217" s="734"/>
      <c r="J217" s="128"/>
      <c r="K217" s="128"/>
      <c r="L217" s="128"/>
    </row>
    <row r="218" spans="2:12" s="129" customFormat="1">
      <c r="C218" s="150"/>
      <c r="D218" s="143"/>
      <c r="E218" s="150"/>
      <c r="F218" s="150"/>
      <c r="G218" s="685"/>
      <c r="H218" s="127"/>
      <c r="I218" s="734"/>
      <c r="J218" s="128"/>
      <c r="K218" s="128"/>
      <c r="L218" s="128"/>
    </row>
    <row r="219" spans="2:12" s="129" customFormat="1">
      <c r="C219" s="150"/>
      <c r="D219" s="143"/>
      <c r="E219" s="150"/>
      <c r="F219" s="150"/>
      <c r="G219" s="685"/>
      <c r="H219" s="127"/>
      <c r="I219" s="734"/>
      <c r="J219" s="128"/>
      <c r="K219" s="128"/>
      <c r="L219" s="128"/>
    </row>
    <row r="220" spans="2:12" s="129" customFormat="1">
      <c r="C220" s="150"/>
      <c r="D220" s="143"/>
      <c r="E220" s="150"/>
      <c r="F220" s="150"/>
      <c r="G220" s="685"/>
      <c r="H220" s="127"/>
      <c r="I220" s="734"/>
      <c r="J220" s="128"/>
      <c r="K220" s="128"/>
      <c r="L220" s="128"/>
    </row>
    <row r="221" spans="2:12" s="129" customFormat="1">
      <c r="C221" s="150"/>
      <c r="D221" s="143"/>
      <c r="E221" s="150"/>
      <c r="F221" s="150"/>
      <c r="G221" s="685"/>
      <c r="H221" s="127"/>
      <c r="I221" s="734"/>
      <c r="J221" s="128"/>
      <c r="K221" s="128"/>
      <c r="L221" s="128"/>
    </row>
    <row r="222" spans="2:12" s="129" customFormat="1">
      <c r="C222" s="150"/>
      <c r="D222" s="143"/>
      <c r="E222" s="150"/>
      <c r="F222" s="150"/>
      <c r="G222" s="685"/>
      <c r="H222" s="127"/>
      <c r="I222" s="734"/>
      <c r="J222" s="128"/>
      <c r="K222" s="128"/>
      <c r="L222" s="128"/>
    </row>
    <row r="223" spans="2:12">
      <c r="G223" s="683"/>
      <c r="H223" s="117"/>
    </row>
    <row r="224" spans="2:12">
      <c r="G224" s="683"/>
      <c r="H224" s="117" t="e">
        <f>#REF!</f>
        <v>#REF!</v>
      </c>
    </row>
    <row r="225" spans="3:12">
      <c r="G225" s="683"/>
      <c r="H225" s="117" t="e">
        <f>H224-H114</f>
        <v>#REF!</v>
      </c>
      <c r="J225" s="113" t="e">
        <f>H114+#REF!</f>
        <v>#REF!</v>
      </c>
    </row>
    <row r="226" spans="3:12">
      <c r="G226" s="683"/>
      <c r="H226" s="117"/>
      <c r="J226" s="113" t="e">
        <f>#REF!+H114</f>
        <v>#REF!</v>
      </c>
    </row>
    <row r="227" spans="3:12">
      <c r="G227" s="683"/>
      <c r="H227" s="117"/>
    </row>
    <row r="228" spans="3:12">
      <c r="G228" s="683"/>
      <c r="H228" s="117"/>
    </row>
    <row r="229" spans="3:12">
      <c r="G229" s="683"/>
      <c r="H229" s="117"/>
    </row>
    <row r="230" spans="3:12">
      <c r="G230" s="683"/>
      <c r="H230" s="117"/>
    </row>
    <row r="231" spans="3:12">
      <c r="G231" s="683"/>
      <c r="H231" s="117"/>
    </row>
    <row r="232" spans="3:12">
      <c r="G232" s="683"/>
      <c r="H232" s="117"/>
    </row>
    <row r="233" spans="3:12">
      <c r="G233" s="683"/>
      <c r="H233" s="117"/>
    </row>
    <row r="235" spans="3:12">
      <c r="C235" s="114"/>
      <c r="D235" s="114"/>
      <c r="E235" s="114"/>
      <c r="F235" s="114"/>
      <c r="G235" s="688"/>
      <c r="H235" s="114"/>
      <c r="I235" s="753"/>
      <c r="J235" s="114"/>
      <c r="K235" s="114"/>
      <c r="L235" s="114"/>
    </row>
    <row r="236" spans="3:12">
      <c r="C236" s="114"/>
      <c r="D236" s="114"/>
      <c r="E236" s="114"/>
      <c r="F236" s="114"/>
      <c r="G236" s="688"/>
      <c r="H236" s="114"/>
      <c r="I236" s="753"/>
      <c r="J236" s="114"/>
      <c r="K236" s="114"/>
      <c r="L236" s="114"/>
    </row>
    <row r="237" spans="3:12">
      <c r="C237" s="114"/>
      <c r="D237" s="114"/>
      <c r="E237" s="114"/>
      <c r="F237" s="114"/>
      <c r="G237" s="688"/>
      <c r="H237" s="114"/>
      <c r="I237" s="753"/>
      <c r="J237" s="114"/>
      <c r="K237" s="114"/>
      <c r="L237" s="114"/>
    </row>
    <row r="238" spans="3:12">
      <c r="C238" s="114"/>
      <c r="D238" s="114"/>
      <c r="E238" s="114"/>
      <c r="F238" s="114"/>
      <c r="G238" s="688"/>
      <c r="H238" s="114"/>
      <c r="I238" s="753"/>
      <c r="J238" s="114"/>
      <c r="K238" s="114"/>
      <c r="L238" s="114"/>
    </row>
    <row r="239" spans="3:12">
      <c r="C239" s="114"/>
      <c r="D239" s="114"/>
      <c r="E239" s="114"/>
      <c r="F239" s="114"/>
      <c r="G239" s="688"/>
      <c r="H239" s="114"/>
      <c r="I239" s="753"/>
      <c r="J239" s="114"/>
      <c r="K239" s="114"/>
      <c r="L239" s="114"/>
    </row>
    <row r="240" spans="3:12">
      <c r="C240" s="114"/>
      <c r="D240" s="114"/>
      <c r="E240" s="114"/>
      <c r="F240" s="114"/>
      <c r="G240" s="688"/>
      <c r="H240" s="114"/>
      <c r="I240" s="753"/>
      <c r="J240" s="114"/>
      <c r="K240" s="114"/>
      <c r="L240" s="114"/>
    </row>
    <row r="241" spans="3:12">
      <c r="C241" s="114"/>
      <c r="D241" s="114"/>
      <c r="E241" s="114"/>
      <c r="F241" s="114"/>
      <c r="G241" s="688"/>
      <c r="H241" s="114"/>
      <c r="I241" s="753"/>
      <c r="J241" s="114"/>
      <c r="K241" s="114"/>
      <c r="L241" s="114"/>
    </row>
    <row r="242" spans="3:12">
      <c r="C242" s="114"/>
      <c r="D242" s="114"/>
      <c r="E242" s="114"/>
      <c r="F242" s="114"/>
      <c r="G242" s="688"/>
      <c r="H242" s="114"/>
      <c r="I242" s="753"/>
      <c r="J242" s="114"/>
      <c r="K242" s="114"/>
      <c r="L242" s="114"/>
    </row>
    <row r="243" spans="3:12">
      <c r="C243" s="114"/>
      <c r="D243" s="114"/>
      <c r="E243" s="114"/>
      <c r="F243" s="114"/>
      <c r="G243" s="688"/>
      <c r="H243" s="114"/>
      <c r="I243" s="753"/>
      <c r="J243" s="114"/>
      <c r="K243" s="114"/>
      <c r="L243" s="114"/>
    </row>
    <row r="244" spans="3:12">
      <c r="C244" s="114"/>
      <c r="D244" s="114"/>
      <c r="E244" s="114"/>
      <c r="F244" s="114"/>
      <c r="G244" s="688"/>
      <c r="H244" s="114"/>
      <c r="I244" s="753"/>
      <c r="J244" s="114"/>
      <c r="K244" s="114"/>
      <c r="L244" s="114"/>
    </row>
    <row r="245" spans="3:12">
      <c r="C245" s="114"/>
      <c r="D245" s="114"/>
      <c r="E245" s="114"/>
      <c r="F245" s="114"/>
      <c r="G245" s="688"/>
      <c r="H245" s="114"/>
      <c r="I245" s="753"/>
      <c r="J245" s="114"/>
      <c r="K245" s="114"/>
      <c r="L245" s="114"/>
    </row>
    <row r="246" spans="3:12">
      <c r="C246" s="114"/>
      <c r="D246" s="114"/>
      <c r="E246" s="114"/>
      <c r="F246" s="114"/>
      <c r="G246" s="688"/>
      <c r="H246" s="114"/>
      <c r="I246" s="753"/>
      <c r="J246" s="114"/>
      <c r="K246" s="114"/>
      <c r="L246" s="114"/>
    </row>
    <row r="247" spans="3:12">
      <c r="C247" s="114"/>
      <c r="D247" s="114"/>
      <c r="E247" s="114"/>
      <c r="F247" s="114"/>
      <c r="G247" s="688"/>
      <c r="H247" s="114"/>
      <c r="I247" s="753"/>
      <c r="J247" s="114"/>
      <c r="K247" s="114"/>
      <c r="L247" s="114"/>
    </row>
    <row r="248" spans="3:12">
      <c r="C248" s="114"/>
      <c r="D248" s="114"/>
      <c r="E248" s="114"/>
      <c r="F248" s="114"/>
      <c r="G248" s="688"/>
      <c r="H248" s="114"/>
      <c r="I248" s="753"/>
      <c r="J248" s="114"/>
      <c r="K248" s="114"/>
      <c r="L248" s="114"/>
    </row>
    <row r="249" spans="3:12">
      <c r="C249" s="114"/>
      <c r="D249" s="114"/>
      <c r="E249" s="114"/>
      <c r="F249" s="114"/>
      <c r="G249" s="688"/>
      <c r="H249" s="114"/>
      <c r="I249" s="753"/>
      <c r="J249" s="114"/>
      <c r="K249" s="114"/>
      <c r="L249" s="114"/>
    </row>
    <row r="250" spans="3:12">
      <c r="C250" s="114"/>
      <c r="D250" s="114"/>
      <c r="E250" s="114"/>
      <c r="F250" s="114"/>
      <c r="G250" s="688"/>
      <c r="H250" s="114"/>
      <c r="I250" s="753"/>
      <c r="J250" s="114"/>
      <c r="K250" s="114"/>
      <c r="L250" s="114"/>
    </row>
    <row r="251" spans="3:12">
      <c r="C251" s="114"/>
      <c r="D251" s="114"/>
      <c r="E251" s="114"/>
      <c r="F251" s="114"/>
      <c r="G251" s="688"/>
      <c r="H251" s="114"/>
      <c r="I251" s="753"/>
      <c r="J251" s="114"/>
      <c r="K251" s="114"/>
      <c r="L251" s="114"/>
    </row>
    <row r="252" spans="3:12">
      <c r="C252" s="114"/>
      <c r="D252" s="114"/>
      <c r="E252" s="114"/>
      <c r="F252" s="114"/>
      <c r="G252" s="688"/>
      <c r="H252" s="114"/>
      <c r="I252" s="753"/>
      <c r="J252" s="114"/>
      <c r="K252" s="114"/>
      <c r="L252" s="114"/>
    </row>
    <row r="253" spans="3:12">
      <c r="C253" s="114"/>
      <c r="D253" s="114"/>
      <c r="E253" s="114"/>
      <c r="F253" s="114"/>
      <c r="G253" s="688"/>
      <c r="H253" s="114"/>
      <c r="I253" s="753"/>
      <c r="J253" s="114"/>
      <c r="K253" s="114"/>
      <c r="L253" s="114"/>
    </row>
  </sheetData>
  <autoFilter ref="A4:T222"/>
  <mergeCells count="8">
    <mergeCell ref="A1:J1"/>
    <mergeCell ref="A2:A3"/>
    <mergeCell ref="B2:B3"/>
    <mergeCell ref="C2:C3"/>
    <mergeCell ref="D2:D3"/>
    <mergeCell ref="E2:F2"/>
    <mergeCell ref="G2:H2"/>
    <mergeCell ref="I2:J2"/>
  </mergeCells>
  <printOptions horizontalCentered="1"/>
  <pageMargins left="0.23622047244094491" right="0.19685039370078741" top="0.55118110236220474" bottom="0.55118110236220474" header="0.27559055118110237" footer="0.43307086614173229"/>
  <pageSetup paperSize="8" scale="65" orientation="landscape" r:id="rId1"/>
  <headerFooter alignWithMargins="0">
    <oddHeader>&amp;R&amp;P</oddHeader>
  </headerFooter>
</worksheet>
</file>

<file path=xl/worksheets/sheet4.xml><?xml version="1.0" encoding="utf-8"?>
<worksheet xmlns="http://schemas.openxmlformats.org/spreadsheetml/2006/main" xmlns:r="http://schemas.openxmlformats.org/officeDocument/2006/relationships">
  <dimension ref="A1:K662"/>
  <sheetViews>
    <sheetView tabSelected="1" view="pageBreakPreview" topLeftCell="A486" zoomScaleNormal="70" zoomScaleSheetLayoutView="100" workbookViewId="0">
      <selection activeCell="J487" sqref="J487"/>
    </sheetView>
  </sheetViews>
  <sheetFormatPr defaultRowHeight="18.75"/>
  <cols>
    <col min="1" max="1" width="6.85546875" style="45" customWidth="1"/>
    <col min="2" max="2" width="43.5703125" style="1" customWidth="1"/>
    <col min="3" max="4" width="8.85546875" style="45" customWidth="1"/>
    <col min="5" max="5" width="12.42578125" style="45" customWidth="1"/>
    <col min="6" max="6" width="11.7109375" style="45" customWidth="1"/>
    <col min="7" max="7" width="11.85546875" style="45" customWidth="1"/>
    <col min="8" max="8" width="14.140625" style="843" customWidth="1"/>
    <col min="9" max="10" width="9.140625" style="1"/>
    <col min="11" max="11" width="10.5703125" style="1" bestFit="1" customWidth="1"/>
    <col min="12" max="16384" width="9.140625" style="1"/>
  </cols>
  <sheetData>
    <row r="1" spans="1:8" ht="48" customHeight="1">
      <c r="A1" s="965" t="s">
        <v>3420</v>
      </c>
      <c r="B1" s="965"/>
      <c r="C1" s="965"/>
      <c r="D1" s="965"/>
      <c r="E1" s="965"/>
      <c r="F1" s="965"/>
      <c r="G1" s="965"/>
      <c r="H1" s="965"/>
    </row>
    <row r="2" spans="1:8" ht="30" customHeight="1">
      <c r="A2" s="966" t="s">
        <v>0</v>
      </c>
      <c r="B2" s="966"/>
      <c r="C2" s="966"/>
      <c r="D2" s="966"/>
      <c r="E2" s="966"/>
      <c r="F2" s="966"/>
      <c r="G2" s="966"/>
      <c r="H2" s="966"/>
    </row>
    <row r="3" spans="1:8" ht="15.75" customHeight="1">
      <c r="A3" s="75"/>
      <c r="B3" s="848"/>
      <c r="C3" s="848"/>
      <c r="D3" s="848"/>
      <c r="E3" s="848"/>
      <c r="F3" s="848"/>
      <c r="G3" s="848"/>
      <c r="H3" s="832"/>
    </row>
    <row r="4" spans="1:8" ht="21.75" customHeight="1">
      <c r="A4" s="967" t="s">
        <v>1</v>
      </c>
      <c r="B4" s="967" t="s">
        <v>2</v>
      </c>
      <c r="C4" s="967" t="s">
        <v>3</v>
      </c>
      <c r="D4" s="967"/>
      <c r="E4" s="967" t="s">
        <v>4</v>
      </c>
      <c r="F4" s="967"/>
      <c r="G4" s="967"/>
      <c r="H4" s="968" t="s">
        <v>5</v>
      </c>
    </row>
    <row r="5" spans="1:8">
      <c r="A5" s="967"/>
      <c r="B5" s="967"/>
      <c r="C5" s="967"/>
      <c r="D5" s="967"/>
      <c r="E5" s="849" t="s">
        <v>6</v>
      </c>
      <c r="F5" s="849" t="s">
        <v>7</v>
      </c>
      <c r="G5" s="849" t="s">
        <v>8</v>
      </c>
      <c r="H5" s="968"/>
    </row>
    <row r="6" spans="1:8" ht="159" customHeight="1">
      <c r="A6" s="3">
        <f>'Abstract A3'!A5</f>
        <v>1.1000000000000001</v>
      </c>
      <c r="B6" s="972" t="s">
        <v>146</v>
      </c>
      <c r="C6" s="972"/>
      <c r="D6" s="972"/>
      <c r="E6" s="972"/>
      <c r="F6" s="972"/>
      <c r="G6" s="972"/>
      <c r="H6" s="64"/>
    </row>
    <row r="7" spans="1:8" ht="27" customHeight="1">
      <c r="A7" s="3"/>
      <c r="B7" s="852" t="s">
        <v>9</v>
      </c>
      <c r="C7" s="847"/>
      <c r="D7" s="847"/>
      <c r="E7" s="59"/>
      <c r="F7" s="59"/>
      <c r="G7" s="59"/>
      <c r="H7" s="64"/>
    </row>
    <row r="8" spans="1:8" ht="27" customHeight="1">
      <c r="A8" s="3"/>
      <c r="B8" s="846" t="s">
        <v>205</v>
      </c>
      <c r="C8" s="4">
        <v>1</v>
      </c>
      <c r="D8" s="4">
        <v>2</v>
      </c>
      <c r="E8" s="59">
        <v>1.2</v>
      </c>
      <c r="F8" s="59">
        <v>1.2</v>
      </c>
      <c r="G8" s="59">
        <v>1.5</v>
      </c>
      <c r="H8" s="695">
        <f t="shared" ref="H8:H17" si="0">PRODUCT(C8:G8)</f>
        <v>4.32</v>
      </c>
    </row>
    <row r="9" spans="1:8" ht="27" customHeight="1">
      <c r="A9" s="3"/>
      <c r="B9" s="846" t="s">
        <v>206</v>
      </c>
      <c r="C9" s="4">
        <v>1</v>
      </c>
      <c r="D9" s="4">
        <v>11</v>
      </c>
      <c r="E9" s="59">
        <v>1.4</v>
      </c>
      <c r="F9" s="59">
        <v>1.4</v>
      </c>
      <c r="G9" s="59">
        <v>1.5</v>
      </c>
      <c r="H9" s="695">
        <f t="shared" si="0"/>
        <v>32.339999999999989</v>
      </c>
    </row>
    <row r="10" spans="1:8" ht="27" customHeight="1">
      <c r="A10" s="3"/>
      <c r="B10" s="5" t="s">
        <v>10</v>
      </c>
      <c r="C10" s="3">
        <v>1</v>
      </c>
      <c r="D10" s="3">
        <v>1</v>
      </c>
      <c r="E10" s="59">
        <v>30.45</v>
      </c>
      <c r="F10" s="59">
        <v>0.38</v>
      </c>
      <c r="G10" s="59">
        <v>0.3</v>
      </c>
      <c r="H10" s="695">
        <f t="shared" si="0"/>
        <v>3.4712999999999998</v>
      </c>
    </row>
    <row r="11" spans="1:8" ht="27" customHeight="1">
      <c r="A11" s="3"/>
      <c r="B11" s="5" t="s">
        <v>11</v>
      </c>
      <c r="C11" s="3">
        <v>1</v>
      </c>
      <c r="D11" s="3">
        <v>1</v>
      </c>
      <c r="E11" s="59">
        <v>7.6</v>
      </c>
      <c r="F11" s="59">
        <v>0.38</v>
      </c>
      <c r="G11" s="59">
        <v>0.3</v>
      </c>
      <c r="H11" s="695">
        <f t="shared" si="0"/>
        <v>0.86639999999999995</v>
      </c>
    </row>
    <row r="12" spans="1:8" ht="27" customHeight="1">
      <c r="A12" s="3"/>
      <c r="B12" s="5" t="s">
        <v>3473</v>
      </c>
      <c r="C12" s="3">
        <v>1</v>
      </c>
      <c r="D12" s="3">
        <v>3</v>
      </c>
      <c r="E12" s="59">
        <v>1.8</v>
      </c>
      <c r="F12" s="59">
        <v>0.38</v>
      </c>
      <c r="G12" s="59">
        <v>0.3</v>
      </c>
      <c r="H12" s="695">
        <f t="shared" si="0"/>
        <v>0.61560000000000004</v>
      </c>
    </row>
    <row r="13" spans="1:8" ht="27" customHeight="1">
      <c r="A13" s="3"/>
      <c r="B13" s="5" t="s">
        <v>3474</v>
      </c>
      <c r="C13" s="3">
        <v>1</v>
      </c>
      <c r="D13" s="3">
        <v>1</v>
      </c>
      <c r="E13" s="59">
        <v>6.46</v>
      </c>
      <c r="F13" s="59">
        <v>0.38</v>
      </c>
      <c r="G13" s="59">
        <v>0.2</v>
      </c>
      <c r="H13" s="695">
        <f t="shared" si="0"/>
        <v>0.49096000000000006</v>
      </c>
    </row>
    <row r="14" spans="1:8" ht="27" customHeight="1">
      <c r="A14" s="3"/>
      <c r="B14" s="5" t="s">
        <v>12</v>
      </c>
      <c r="C14" s="3">
        <v>1</v>
      </c>
      <c r="D14" s="3">
        <v>2</v>
      </c>
      <c r="E14" s="59">
        <v>1.31</v>
      </c>
      <c r="F14" s="59">
        <v>1.31</v>
      </c>
      <c r="G14" s="59">
        <v>0.5</v>
      </c>
      <c r="H14" s="695">
        <f t="shared" si="0"/>
        <v>1.7161000000000002</v>
      </c>
    </row>
    <row r="15" spans="1:8" ht="27" customHeight="1">
      <c r="A15" s="3"/>
      <c r="B15" s="5" t="s">
        <v>13</v>
      </c>
      <c r="C15" s="3">
        <v>1</v>
      </c>
      <c r="D15" s="3">
        <v>1</v>
      </c>
      <c r="E15" s="59">
        <v>3</v>
      </c>
      <c r="F15" s="59">
        <v>1.65</v>
      </c>
      <c r="G15" s="59">
        <v>0.3</v>
      </c>
      <c r="H15" s="695">
        <f t="shared" si="0"/>
        <v>1.4849999999999997</v>
      </c>
    </row>
    <row r="16" spans="1:8" ht="27" customHeight="1">
      <c r="A16" s="3"/>
      <c r="B16" s="5" t="s">
        <v>3475</v>
      </c>
      <c r="C16" s="3">
        <v>-1</v>
      </c>
      <c r="D16" s="3">
        <v>2</v>
      </c>
      <c r="E16" s="59">
        <v>1.2</v>
      </c>
      <c r="F16" s="59">
        <v>1.2</v>
      </c>
      <c r="G16" s="59">
        <v>0.3</v>
      </c>
      <c r="H16" s="695">
        <f t="shared" si="0"/>
        <v>-0.86399999999999999</v>
      </c>
    </row>
    <row r="17" spans="1:8" ht="27" customHeight="1">
      <c r="A17" s="3"/>
      <c r="B17" s="5" t="s">
        <v>3476</v>
      </c>
      <c r="C17" s="3">
        <v>-1</v>
      </c>
      <c r="D17" s="3">
        <v>11</v>
      </c>
      <c r="E17" s="59">
        <v>1.4</v>
      </c>
      <c r="F17" s="59">
        <v>1.4</v>
      </c>
      <c r="G17" s="59">
        <v>0.3</v>
      </c>
      <c r="H17" s="695">
        <f t="shared" si="0"/>
        <v>-6.4679999999999982</v>
      </c>
    </row>
    <row r="18" spans="1:8" ht="27" customHeight="1">
      <c r="A18" s="3"/>
      <c r="B18" s="5" t="s">
        <v>207</v>
      </c>
      <c r="C18" s="3"/>
      <c r="D18" s="3"/>
      <c r="E18" s="59"/>
      <c r="F18" s="59"/>
      <c r="G18" s="59"/>
      <c r="H18" s="695">
        <v>0.03</v>
      </c>
    </row>
    <row r="19" spans="1:8" ht="27" customHeight="1">
      <c r="A19" s="3"/>
      <c r="B19" s="2"/>
      <c r="C19" s="3"/>
      <c r="D19" s="3"/>
      <c r="E19" s="59"/>
      <c r="F19" s="59"/>
      <c r="G19" s="72" t="s">
        <v>14</v>
      </c>
      <c r="H19" s="694">
        <f>SUM(H8:H18)</f>
        <v>38.003359999999994</v>
      </c>
    </row>
    <row r="20" spans="1:8" ht="86.25" customHeight="1">
      <c r="A20" s="3">
        <f>'Abstract A3'!A7</f>
        <v>2.1</v>
      </c>
      <c r="B20" s="972" t="s">
        <v>147</v>
      </c>
      <c r="C20" s="972"/>
      <c r="D20" s="972"/>
      <c r="E20" s="972"/>
      <c r="F20" s="59"/>
      <c r="G20" s="59"/>
      <c r="H20" s="695"/>
    </row>
    <row r="21" spans="1:8" s="9" customFormat="1" ht="27" customHeight="1">
      <c r="A21" s="6"/>
      <c r="B21" s="859" t="s">
        <v>15</v>
      </c>
      <c r="C21" s="7">
        <v>1</v>
      </c>
      <c r="D21" s="7">
        <v>1</v>
      </c>
      <c r="E21" s="62">
        <v>7.51</v>
      </c>
      <c r="F21" s="62">
        <v>5.0999999999999996</v>
      </c>
      <c r="G21" s="62">
        <v>0.15</v>
      </c>
      <c r="H21" s="695">
        <f t="shared" ref="H21:H29" si="1">PRODUCT(C21:G21)</f>
        <v>5.7451499999999989</v>
      </c>
    </row>
    <row r="22" spans="1:8" s="9" customFormat="1" ht="27" customHeight="1">
      <c r="A22" s="6"/>
      <c r="B22" s="859" t="s">
        <v>16</v>
      </c>
      <c r="C22" s="7">
        <v>1</v>
      </c>
      <c r="D22" s="7">
        <v>1</v>
      </c>
      <c r="E22" s="62">
        <v>4.13</v>
      </c>
      <c r="F22" s="62">
        <v>1.8</v>
      </c>
      <c r="G22" s="62">
        <v>0.15</v>
      </c>
      <c r="H22" s="695">
        <f t="shared" si="1"/>
        <v>1.1151</v>
      </c>
    </row>
    <row r="23" spans="1:8" s="9" customFormat="1" ht="27" customHeight="1">
      <c r="A23" s="6"/>
      <c r="B23" s="10" t="s">
        <v>17</v>
      </c>
      <c r="C23" s="6">
        <v>1</v>
      </c>
      <c r="D23" s="6">
        <v>1</v>
      </c>
      <c r="E23" s="62">
        <v>3.35</v>
      </c>
      <c r="F23" s="62">
        <v>1.8</v>
      </c>
      <c r="G23" s="62">
        <v>0.15</v>
      </c>
      <c r="H23" s="695">
        <f t="shared" si="1"/>
        <v>0.90449999999999997</v>
      </c>
    </row>
    <row r="24" spans="1:8" s="9" customFormat="1" ht="27" customHeight="1">
      <c r="A24" s="6"/>
      <c r="B24" s="10" t="s">
        <v>18</v>
      </c>
      <c r="C24" s="6">
        <v>1</v>
      </c>
      <c r="D24" s="6">
        <v>1</v>
      </c>
      <c r="E24" s="62">
        <v>2.4</v>
      </c>
      <c r="F24" s="62">
        <v>1.8</v>
      </c>
      <c r="G24" s="62">
        <v>0.15</v>
      </c>
      <c r="H24" s="695">
        <f>PRODUCT(C24:G24)</f>
        <v>0.64800000000000002</v>
      </c>
    </row>
    <row r="25" spans="1:8" ht="27" customHeight="1">
      <c r="A25" s="3"/>
      <c r="B25" s="5" t="s">
        <v>10</v>
      </c>
      <c r="C25" s="3">
        <v>1</v>
      </c>
      <c r="D25" s="3">
        <v>1</v>
      </c>
      <c r="E25" s="59">
        <v>30.45</v>
      </c>
      <c r="F25" s="59">
        <v>0.38</v>
      </c>
      <c r="G25" s="59">
        <v>0.15</v>
      </c>
      <c r="H25" s="695">
        <f t="shared" si="1"/>
        <v>1.7356499999999999</v>
      </c>
    </row>
    <row r="26" spans="1:8" ht="27" customHeight="1">
      <c r="A26" s="3"/>
      <c r="B26" s="5" t="s">
        <v>11</v>
      </c>
      <c r="C26" s="3">
        <v>1</v>
      </c>
      <c r="D26" s="3">
        <v>1</v>
      </c>
      <c r="E26" s="59">
        <v>7.6</v>
      </c>
      <c r="F26" s="59">
        <v>0.38</v>
      </c>
      <c r="G26" s="59">
        <v>0.15</v>
      </c>
      <c r="H26" s="695">
        <f t="shared" si="1"/>
        <v>0.43319999999999997</v>
      </c>
    </row>
    <row r="27" spans="1:8" ht="27" customHeight="1">
      <c r="A27" s="3"/>
      <c r="B27" s="5" t="s">
        <v>3473</v>
      </c>
      <c r="C27" s="3">
        <v>1</v>
      </c>
      <c r="D27" s="3">
        <v>3</v>
      </c>
      <c r="E27" s="59">
        <v>1.8</v>
      </c>
      <c r="F27" s="59">
        <v>0.38</v>
      </c>
      <c r="G27" s="59">
        <v>0.15</v>
      </c>
      <c r="H27" s="695">
        <f t="shared" si="1"/>
        <v>0.30780000000000002</v>
      </c>
    </row>
    <row r="28" spans="1:8" ht="27" customHeight="1">
      <c r="A28" s="3"/>
      <c r="B28" s="5" t="s">
        <v>3474</v>
      </c>
      <c r="C28" s="3">
        <v>1</v>
      </c>
      <c r="D28" s="3">
        <v>1</v>
      </c>
      <c r="E28" s="59">
        <v>6.46</v>
      </c>
      <c r="F28" s="59">
        <v>0.38</v>
      </c>
      <c r="G28" s="59">
        <v>0.15</v>
      </c>
      <c r="H28" s="695">
        <f t="shared" si="1"/>
        <v>0.36821999999999999</v>
      </c>
    </row>
    <row r="29" spans="1:8" s="9" customFormat="1" ht="27" customHeight="1">
      <c r="A29" s="6"/>
      <c r="B29" s="10" t="s">
        <v>19</v>
      </c>
      <c r="C29" s="6">
        <v>1</v>
      </c>
      <c r="D29" s="6">
        <v>1</v>
      </c>
      <c r="E29" s="62">
        <v>5.35</v>
      </c>
      <c r="F29" s="62">
        <v>1.2</v>
      </c>
      <c r="G29" s="62">
        <v>0.1</v>
      </c>
      <c r="H29" s="695">
        <f t="shared" si="1"/>
        <v>0.6419999999999999</v>
      </c>
    </row>
    <row r="30" spans="1:8" s="9" customFormat="1" ht="27" customHeight="1">
      <c r="A30" s="6"/>
      <c r="B30" s="10" t="s">
        <v>207</v>
      </c>
      <c r="C30" s="6"/>
      <c r="D30" s="6"/>
      <c r="E30" s="62"/>
      <c r="F30" s="62"/>
      <c r="G30" s="62"/>
      <c r="H30" s="695">
        <v>0.05</v>
      </c>
    </row>
    <row r="31" spans="1:8" ht="27" customHeight="1">
      <c r="A31" s="3"/>
      <c r="B31" s="5"/>
      <c r="C31" s="3"/>
      <c r="D31" s="3"/>
      <c r="E31" s="59"/>
      <c r="F31" s="59"/>
      <c r="G31" s="72" t="s">
        <v>14</v>
      </c>
      <c r="H31" s="694">
        <f>SUM(H21:H30)</f>
        <v>11.949619999999999</v>
      </c>
    </row>
    <row r="32" spans="1:8" s="9" customFormat="1" ht="91.5" customHeight="1">
      <c r="A32" s="6">
        <f>'Abstract A3'!A18</f>
        <v>13.1</v>
      </c>
      <c r="B32" s="993" t="s">
        <v>148</v>
      </c>
      <c r="C32" s="994"/>
      <c r="D32" s="994"/>
      <c r="E32" s="994"/>
      <c r="F32" s="62"/>
      <c r="G32" s="62"/>
      <c r="H32" s="819"/>
    </row>
    <row r="33" spans="1:8" s="9" customFormat="1" ht="27" customHeight="1">
      <c r="A33" s="6"/>
      <c r="B33" s="886" t="s">
        <v>15</v>
      </c>
      <c r="C33" s="7">
        <v>1</v>
      </c>
      <c r="D33" s="7">
        <v>1</v>
      </c>
      <c r="E33" s="62">
        <v>7.51</v>
      </c>
      <c r="F33" s="62">
        <v>5.0999999999999996</v>
      </c>
      <c r="G33" s="62">
        <v>0.35</v>
      </c>
      <c r="H33" s="819">
        <f>G33*F33*E33*D33*C33</f>
        <v>13.405349999999997</v>
      </c>
    </row>
    <row r="34" spans="1:8" ht="27" customHeight="1">
      <c r="A34" s="3"/>
      <c r="B34" s="886" t="s">
        <v>16</v>
      </c>
      <c r="C34" s="7">
        <v>1</v>
      </c>
      <c r="D34" s="7">
        <v>1</v>
      </c>
      <c r="E34" s="62">
        <v>4.13</v>
      </c>
      <c r="F34" s="62">
        <v>1.8</v>
      </c>
      <c r="G34" s="62">
        <v>0.35</v>
      </c>
      <c r="H34" s="819">
        <f t="shared" ref="H34:H37" si="2">G34*F34*E34*D34*C34</f>
        <v>2.6019000000000001</v>
      </c>
    </row>
    <row r="35" spans="1:8" ht="27" customHeight="1">
      <c r="A35" s="3"/>
      <c r="B35" s="10" t="s">
        <v>17</v>
      </c>
      <c r="C35" s="6">
        <v>1</v>
      </c>
      <c r="D35" s="6">
        <v>1</v>
      </c>
      <c r="E35" s="62">
        <v>3.35</v>
      </c>
      <c r="F35" s="62">
        <v>1.8</v>
      </c>
      <c r="G35" s="62">
        <v>0.35</v>
      </c>
      <c r="H35" s="819">
        <f t="shared" si="2"/>
        <v>2.1105</v>
      </c>
    </row>
    <row r="36" spans="1:8" s="9" customFormat="1" ht="27" customHeight="1">
      <c r="A36" s="6"/>
      <c r="B36" s="10" t="s">
        <v>18</v>
      </c>
      <c r="C36" s="6">
        <v>1</v>
      </c>
      <c r="D36" s="6">
        <v>1</v>
      </c>
      <c r="E36" s="62">
        <v>2.4</v>
      </c>
      <c r="F36" s="62">
        <v>1.8</v>
      </c>
      <c r="G36" s="62">
        <v>0.35</v>
      </c>
      <c r="H36" s="819">
        <f t="shared" si="2"/>
        <v>1.512</v>
      </c>
    </row>
    <row r="37" spans="1:8" s="9" customFormat="1" ht="27" customHeight="1">
      <c r="A37" s="6"/>
      <c r="B37" s="10" t="s">
        <v>19</v>
      </c>
      <c r="C37" s="6">
        <v>1</v>
      </c>
      <c r="D37" s="6">
        <v>1</v>
      </c>
      <c r="E37" s="62">
        <v>5.35</v>
      </c>
      <c r="F37" s="62">
        <v>1.2</v>
      </c>
      <c r="G37" s="62">
        <v>0.2</v>
      </c>
      <c r="H37" s="819">
        <f t="shared" si="2"/>
        <v>1.2839999999999998</v>
      </c>
    </row>
    <row r="38" spans="1:8" s="9" customFormat="1" ht="27" customHeight="1">
      <c r="A38" s="6"/>
      <c r="B38" s="10" t="s">
        <v>215</v>
      </c>
      <c r="C38" s="6"/>
      <c r="D38" s="6"/>
      <c r="E38" s="62"/>
      <c r="F38" s="62"/>
      <c r="G38" s="62"/>
      <c r="H38" s="819">
        <v>0.04</v>
      </c>
    </row>
    <row r="39" spans="1:8" s="9" customFormat="1" ht="27" customHeight="1">
      <c r="A39" s="6"/>
      <c r="B39" s="10"/>
      <c r="C39" s="6"/>
      <c r="D39" s="6"/>
      <c r="E39" s="62"/>
      <c r="F39" s="62"/>
      <c r="G39" s="61" t="s">
        <v>14</v>
      </c>
      <c r="H39" s="817">
        <f>SUM(H33:H38)</f>
        <v>20.953749999999992</v>
      </c>
    </row>
    <row r="40" spans="1:8" s="9" customFormat="1" ht="111" customHeight="1">
      <c r="A40" s="6">
        <f>'Abstract A3'!A8</f>
        <v>3.1</v>
      </c>
      <c r="B40" s="972" t="s">
        <v>165</v>
      </c>
      <c r="C40" s="972"/>
      <c r="D40" s="972"/>
      <c r="E40" s="972"/>
      <c r="F40" s="972"/>
      <c r="G40" s="4"/>
      <c r="H40" s="694"/>
    </row>
    <row r="41" spans="1:8" s="9" customFormat="1" ht="27" customHeight="1">
      <c r="A41" s="6"/>
      <c r="B41" s="887" t="s">
        <v>3477</v>
      </c>
      <c r="C41" s="4">
        <v>1</v>
      </c>
      <c r="D41" s="4">
        <v>2</v>
      </c>
      <c r="E41" s="59">
        <v>1.2</v>
      </c>
      <c r="F41" s="59">
        <v>1.2</v>
      </c>
      <c r="G41" s="59">
        <v>0.1</v>
      </c>
      <c r="H41" s="695">
        <f t="shared" ref="H41:H44" si="3">PRODUCT(C41:G41)</f>
        <v>0.28799999999999998</v>
      </c>
    </row>
    <row r="42" spans="1:8" s="9" customFormat="1" ht="27" customHeight="1">
      <c r="A42" s="6"/>
      <c r="B42" s="887" t="s">
        <v>3478</v>
      </c>
      <c r="C42" s="4">
        <v>1</v>
      </c>
      <c r="D42" s="4">
        <v>11</v>
      </c>
      <c r="E42" s="59">
        <v>1.4</v>
      </c>
      <c r="F42" s="59">
        <v>1.4</v>
      </c>
      <c r="G42" s="59">
        <v>0.1</v>
      </c>
      <c r="H42" s="695">
        <f t="shared" si="3"/>
        <v>2.1559999999999997</v>
      </c>
    </row>
    <row r="43" spans="1:8">
      <c r="A43" s="3"/>
      <c r="B43" s="5" t="s">
        <v>12</v>
      </c>
      <c r="C43" s="3">
        <v>1</v>
      </c>
      <c r="D43" s="3">
        <v>2</v>
      </c>
      <c r="E43" s="59">
        <v>1.31</v>
      </c>
      <c r="F43" s="59">
        <v>1.31</v>
      </c>
      <c r="G43" s="59">
        <v>0.1</v>
      </c>
      <c r="H43" s="695">
        <f t="shared" si="3"/>
        <v>0.34322000000000008</v>
      </c>
    </row>
    <row r="44" spans="1:8" ht="29.25" customHeight="1">
      <c r="A44" s="3"/>
      <c r="B44" s="5" t="s">
        <v>13</v>
      </c>
      <c r="C44" s="3">
        <v>1</v>
      </c>
      <c r="D44" s="3">
        <v>1</v>
      </c>
      <c r="E44" s="59">
        <v>3</v>
      </c>
      <c r="F44" s="59">
        <v>1.65</v>
      </c>
      <c r="G44" s="59">
        <v>0.1</v>
      </c>
      <c r="H44" s="695">
        <f t="shared" si="3"/>
        <v>0.49499999999999994</v>
      </c>
    </row>
    <row r="45" spans="1:8" s="9" customFormat="1" ht="27" customHeight="1">
      <c r="A45" s="6"/>
      <c r="B45" s="10" t="s">
        <v>207</v>
      </c>
      <c r="C45" s="6"/>
      <c r="D45" s="6"/>
      <c r="E45" s="62"/>
      <c r="F45" s="62"/>
      <c r="G45" s="62"/>
      <c r="H45" s="695">
        <v>0.02</v>
      </c>
    </row>
    <row r="46" spans="1:8" ht="29.25" customHeight="1">
      <c r="A46" s="3"/>
      <c r="B46" s="22"/>
      <c r="C46" s="6"/>
      <c r="D46" s="6"/>
      <c r="E46" s="62"/>
      <c r="F46" s="62"/>
      <c r="G46" s="72" t="s">
        <v>14</v>
      </c>
      <c r="H46" s="817">
        <f>SUM(H41:H45)</f>
        <v>3.3022199999999997</v>
      </c>
    </row>
    <row r="47" spans="1:8" ht="132.75" customHeight="1">
      <c r="A47" s="3">
        <f>'Abstract A3'!A91</f>
        <v>4.0999999999999996</v>
      </c>
      <c r="B47" s="974" t="s">
        <v>3370</v>
      </c>
      <c r="C47" s="974"/>
      <c r="D47" s="974"/>
      <c r="E47" s="974"/>
      <c r="F47" s="974"/>
      <c r="G47" s="72"/>
      <c r="H47" s="694"/>
    </row>
    <row r="48" spans="1:8" ht="27" customHeight="1">
      <c r="A48" s="3"/>
      <c r="B48" s="853" t="s">
        <v>226</v>
      </c>
      <c r="C48" s="854"/>
      <c r="D48" s="854"/>
      <c r="E48" s="674"/>
      <c r="F48" s="674"/>
      <c r="G48" s="72"/>
      <c r="H48" s="694"/>
    </row>
    <row r="49" spans="1:8" ht="27" customHeight="1">
      <c r="A49" s="3"/>
      <c r="B49" s="49" t="s">
        <v>208</v>
      </c>
      <c r="C49" s="47"/>
      <c r="D49" s="47"/>
      <c r="E49" s="48"/>
      <c r="F49" s="48"/>
      <c r="G49" s="48"/>
      <c r="H49" s="833"/>
    </row>
    <row r="50" spans="1:8" ht="27" customHeight="1">
      <c r="A50" s="3"/>
      <c r="B50" s="46" t="s">
        <v>3479</v>
      </c>
      <c r="C50" s="47">
        <v>1</v>
      </c>
      <c r="D50" s="47">
        <v>2</v>
      </c>
      <c r="E50" s="48">
        <v>1</v>
      </c>
      <c r="F50" s="48">
        <v>1</v>
      </c>
      <c r="G50" s="48">
        <v>0.25</v>
      </c>
      <c r="H50" s="833">
        <f>G50*F50*E50*D50*C50</f>
        <v>0.5</v>
      </c>
    </row>
    <row r="51" spans="1:8" ht="27" customHeight="1">
      <c r="A51" s="3"/>
      <c r="B51" s="46" t="s">
        <v>3480</v>
      </c>
      <c r="C51" s="47">
        <v>1</v>
      </c>
      <c r="D51" s="47">
        <v>11</v>
      </c>
      <c r="E51" s="48">
        <v>1.2</v>
      </c>
      <c r="F51" s="48">
        <v>1.2</v>
      </c>
      <c r="G51" s="48">
        <v>0.35</v>
      </c>
      <c r="H51" s="833">
        <f t="shared" ref="H51" si="4">G51*F51*E51*D51*C51</f>
        <v>5.5440000000000005</v>
      </c>
    </row>
    <row r="52" spans="1:8" s="15" customFormat="1" ht="42.75" customHeight="1">
      <c r="A52" s="14"/>
      <c r="B52" s="49" t="s">
        <v>3481</v>
      </c>
      <c r="C52" s="50"/>
      <c r="D52" s="50"/>
      <c r="E52" s="50"/>
      <c r="F52" s="50"/>
      <c r="G52" s="48"/>
      <c r="H52" s="833"/>
    </row>
    <row r="53" spans="1:8" s="18" customFormat="1" ht="27" customHeight="1">
      <c r="A53" s="16"/>
      <c r="B53" s="46" t="s">
        <v>3482</v>
      </c>
      <c r="C53" s="50">
        <v>1</v>
      </c>
      <c r="D53" s="47">
        <f>D50</f>
        <v>2</v>
      </c>
      <c r="E53" s="50">
        <v>0.23</v>
      </c>
      <c r="F53" s="48">
        <v>0.23</v>
      </c>
      <c r="G53" s="48">
        <v>1.05</v>
      </c>
      <c r="H53" s="833">
        <f>G53*F53*E53*D53*C53</f>
        <v>0.11109000000000001</v>
      </c>
    </row>
    <row r="54" spans="1:8" ht="27" customHeight="1">
      <c r="A54" s="3"/>
      <c r="B54" s="46" t="s">
        <v>3483</v>
      </c>
      <c r="C54" s="50">
        <v>1</v>
      </c>
      <c r="D54" s="47">
        <f>D51</f>
        <v>11</v>
      </c>
      <c r="E54" s="48">
        <v>0.3</v>
      </c>
      <c r="F54" s="48">
        <v>0.3</v>
      </c>
      <c r="G54" s="48">
        <v>0.88</v>
      </c>
      <c r="H54" s="833">
        <f t="shared" ref="H54" si="5">G54*F54*E54*D54*C54</f>
        <v>0.87120000000000009</v>
      </c>
    </row>
    <row r="55" spans="1:8" s="15" customFormat="1" ht="27" customHeight="1">
      <c r="A55" s="14"/>
      <c r="B55" s="49" t="s">
        <v>211</v>
      </c>
      <c r="C55" s="50"/>
      <c r="D55" s="50"/>
      <c r="E55" s="50"/>
      <c r="F55" s="50"/>
      <c r="G55" s="48"/>
      <c r="H55" s="833"/>
    </row>
    <row r="56" spans="1:8" ht="27" customHeight="1">
      <c r="A56" s="3"/>
      <c r="B56" s="46" t="str">
        <f>B53</f>
        <v>For C1F2 Column</v>
      </c>
      <c r="C56" s="50">
        <v>1</v>
      </c>
      <c r="D56" s="47">
        <f>D53</f>
        <v>2</v>
      </c>
      <c r="E56" s="50">
        <v>0.23</v>
      </c>
      <c r="F56" s="48">
        <v>0.23</v>
      </c>
      <c r="G56" s="48">
        <v>0.48</v>
      </c>
      <c r="H56" s="833">
        <f>G56*F56*E56*D56*C56</f>
        <v>5.0784000000000003E-2</v>
      </c>
    </row>
    <row r="57" spans="1:8" ht="27" customHeight="1">
      <c r="A57" s="3"/>
      <c r="B57" s="46" t="str">
        <f>B54</f>
        <v>For C2F2 Column</v>
      </c>
      <c r="C57" s="50">
        <v>1</v>
      </c>
      <c r="D57" s="47">
        <f>D54</f>
        <v>11</v>
      </c>
      <c r="E57" s="48">
        <f>E54</f>
        <v>0.3</v>
      </c>
      <c r="F57" s="48">
        <f>F54</f>
        <v>0.3</v>
      </c>
      <c r="G57" s="48">
        <v>0.41</v>
      </c>
      <c r="H57" s="833">
        <f t="shared" ref="H57" si="6">G57*F57*E57*D57*C57</f>
        <v>0.40589999999999993</v>
      </c>
    </row>
    <row r="58" spans="1:8" ht="27" customHeight="1">
      <c r="A58" s="3"/>
      <c r="B58" s="49" t="s">
        <v>212</v>
      </c>
      <c r="C58" s="50"/>
      <c r="D58" s="50"/>
      <c r="E58" s="50"/>
      <c r="F58" s="50"/>
      <c r="G58" s="48"/>
      <c r="H58" s="833"/>
    </row>
    <row r="59" spans="1:8" ht="27" customHeight="1">
      <c r="A59" s="3"/>
      <c r="B59" s="49" t="s">
        <v>3488</v>
      </c>
      <c r="C59" s="50"/>
      <c r="D59" s="50"/>
      <c r="E59" s="50"/>
      <c r="F59" s="48"/>
      <c r="G59" s="48"/>
      <c r="H59" s="833"/>
    </row>
    <row r="60" spans="1:8" ht="27" customHeight="1">
      <c r="A60" s="3"/>
      <c r="B60" s="46" t="s">
        <v>3484</v>
      </c>
      <c r="C60" s="50">
        <v>1</v>
      </c>
      <c r="D60" s="50">
        <v>2</v>
      </c>
      <c r="E60" s="48">
        <v>1.8</v>
      </c>
      <c r="F60" s="48">
        <v>0.23</v>
      </c>
      <c r="G60" s="48">
        <v>0.23</v>
      </c>
      <c r="H60" s="833">
        <f>G60*F60*E60*D60*C60</f>
        <v>0.19044000000000003</v>
      </c>
    </row>
    <row r="61" spans="1:8" ht="27" customHeight="1">
      <c r="A61" s="3"/>
      <c r="B61" s="46" t="s">
        <v>3485</v>
      </c>
      <c r="C61" s="50">
        <v>1</v>
      </c>
      <c r="D61" s="50">
        <v>2</v>
      </c>
      <c r="E61" s="48">
        <v>7.51</v>
      </c>
      <c r="F61" s="48">
        <v>0.23</v>
      </c>
      <c r="G61" s="48">
        <v>0.38</v>
      </c>
      <c r="H61" s="833">
        <f t="shared" ref="H61:H63" si="7">G61*F61*E61*D61*C61</f>
        <v>1.312748</v>
      </c>
    </row>
    <row r="62" spans="1:8" ht="27" customHeight="1">
      <c r="A62" s="3"/>
      <c r="B62" s="46" t="s">
        <v>3486</v>
      </c>
      <c r="C62" s="50">
        <v>1</v>
      </c>
      <c r="D62" s="50">
        <v>2</v>
      </c>
      <c r="E62" s="48">
        <v>1.8</v>
      </c>
      <c r="F62" s="48">
        <v>0.23</v>
      </c>
      <c r="G62" s="48">
        <v>0.23</v>
      </c>
      <c r="H62" s="833">
        <f t="shared" si="7"/>
        <v>0.19044000000000003</v>
      </c>
    </row>
    <row r="63" spans="1:8" ht="27" customHeight="1">
      <c r="A63" s="3"/>
      <c r="B63" s="46" t="s">
        <v>3487</v>
      </c>
      <c r="C63" s="50">
        <v>1</v>
      </c>
      <c r="D63" s="50">
        <v>3</v>
      </c>
      <c r="E63" s="48">
        <v>1.8</v>
      </c>
      <c r="F63" s="48">
        <v>0.23</v>
      </c>
      <c r="G63" s="48">
        <v>0.23</v>
      </c>
      <c r="H63" s="833">
        <f t="shared" si="7"/>
        <v>0.28566000000000003</v>
      </c>
    </row>
    <row r="64" spans="1:8" ht="27" customHeight="1">
      <c r="A64" s="3"/>
      <c r="B64" s="49" t="s">
        <v>3489</v>
      </c>
      <c r="C64" s="50"/>
      <c r="D64" s="50"/>
      <c r="E64" s="48"/>
      <c r="F64" s="48"/>
      <c r="G64" s="48"/>
      <c r="H64" s="833"/>
    </row>
    <row r="65" spans="1:8" ht="27" customHeight="1">
      <c r="A65" s="3"/>
      <c r="B65" s="46" t="s">
        <v>3484</v>
      </c>
      <c r="C65" s="50">
        <v>1</v>
      </c>
      <c r="D65" s="50">
        <v>1</v>
      </c>
      <c r="E65" s="48">
        <v>2.86</v>
      </c>
      <c r="F65" s="48">
        <v>0.23</v>
      </c>
      <c r="G65" s="48">
        <v>0.23</v>
      </c>
      <c r="H65" s="833">
        <f>G65*F65*E65*D65*C65</f>
        <v>0.15129400000000001</v>
      </c>
    </row>
    <row r="66" spans="1:8" ht="27" customHeight="1">
      <c r="A66" s="3"/>
      <c r="B66" s="46" t="s">
        <v>213</v>
      </c>
      <c r="C66" s="50">
        <v>1</v>
      </c>
      <c r="D66" s="50">
        <v>1</v>
      </c>
      <c r="E66" s="48">
        <v>5.56</v>
      </c>
      <c r="F66" s="48">
        <v>0.23</v>
      </c>
      <c r="G66" s="48">
        <v>0.38</v>
      </c>
      <c r="H66" s="833">
        <f>G66*F66*E66*D66*C66</f>
        <v>0.48594399999999999</v>
      </c>
    </row>
    <row r="67" spans="1:8" ht="27" customHeight="1">
      <c r="A67" s="3"/>
      <c r="B67" s="46" t="s">
        <v>214</v>
      </c>
      <c r="C67" s="50">
        <v>1</v>
      </c>
      <c r="D67" s="50">
        <v>2</v>
      </c>
      <c r="E67" s="48">
        <v>8.06</v>
      </c>
      <c r="F67" s="48">
        <v>0.23</v>
      </c>
      <c r="G67" s="48">
        <v>0.38</v>
      </c>
      <c r="H67" s="833">
        <f>G67*F67*E67*D67*C67</f>
        <v>1.4088880000000001</v>
      </c>
    </row>
    <row r="68" spans="1:8" s="696" customFormat="1" ht="27" customHeight="1">
      <c r="A68" s="64"/>
      <c r="B68" s="926" t="s">
        <v>215</v>
      </c>
      <c r="C68" s="927"/>
      <c r="D68" s="927"/>
      <c r="E68" s="834"/>
      <c r="F68" s="834"/>
      <c r="G68" s="941"/>
      <c r="H68" s="834">
        <v>0.04</v>
      </c>
    </row>
    <row r="69" spans="1:8" s="942" customFormat="1" ht="27" customHeight="1">
      <c r="A69" s="821"/>
      <c r="B69" s="926"/>
      <c r="C69" s="927"/>
      <c r="D69" s="927"/>
      <c r="E69" s="834"/>
      <c r="F69" s="834"/>
      <c r="G69" s="941"/>
      <c r="H69" s="835">
        <f>SUM(H50:H68)</f>
        <v>11.548387999999999</v>
      </c>
    </row>
    <row r="70" spans="1:8" ht="27" customHeight="1">
      <c r="A70" s="3"/>
      <c r="B70" s="60" t="s">
        <v>3373</v>
      </c>
      <c r="C70" s="3"/>
      <c r="D70" s="3"/>
      <c r="E70" s="59"/>
      <c r="F70" s="59"/>
      <c r="G70" s="72"/>
      <c r="H70" s="694"/>
    </row>
    <row r="71" spans="1:8" ht="27" customHeight="1">
      <c r="A71" s="3"/>
      <c r="B71" s="49" t="s">
        <v>227</v>
      </c>
      <c r="C71" s="50"/>
      <c r="D71" s="50"/>
      <c r="E71" s="50"/>
      <c r="F71" s="48"/>
      <c r="G71" s="48"/>
      <c r="H71" s="833"/>
    </row>
    <row r="72" spans="1:8" ht="27" customHeight="1">
      <c r="A72" s="3"/>
      <c r="B72" s="46" t="s">
        <v>228</v>
      </c>
      <c r="C72" s="50">
        <v>1</v>
      </c>
      <c r="D72" s="50">
        <v>4</v>
      </c>
      <c r="E72" s="48">
        <v>1.66</v>
      </c>
      <c r="F72" s="50">
        <v>0.23</v>
      </c>
      <c r="G72" s="48">
        <v>0.05</v>
      </c>
      <c r="H72" s="833">
        <f>G72*F72*E72*D72*C72</f>
        <v>7.6360000000000011E-2</v>
      </c>
    </row>
    <row r="73" spans="1:8" ht="27" customHeight="1">
      <c r="A73" s="3"/>
      <c r="B73" s="46" t="s">
        <v>229</v>
      </c>
      <c r="C73" s="50">
        <v>1</v>
      </c>
      <c r="D73" s="50">
        <v>2</v>
      </c>
      <c r="E73" s="48">
        <v>1.51</v>
      </c>
      <c r="F73" s="50">
        <v>0.23</v>
      </c>
      <c r="G73" s="48">
        <v>0.05</v>
      </c>
      <c r="H73" s="833">
        <f>G73*F73*E73*D73*C73</f>
        <v>3.4730000000000004E-2</v>
      </c>
    </row>
    <row r="74" spans="1:8" ht="27" customHeight="1">
      <c r="A74" s="3"/>
      <c r="B74" s="13" t="s">
        <v>230</v>
      </c>
      <c r="C74" s="3"/>
      <c r="D74" s="3"/>
      <c r="E74" s="59"/>
      <c r="F74" s="59"/>
      <c r="G74" s="59"/>
      <c r="H74" s="695"/>
    </row>
    <row r="75" spans="1:8" ht="27" customHeight="1">
      <c r="A75" s="3"/>
      <c r="B75" s="8" t="s">
        <v>3490</v>
      </c>
      <c r="C75" s="6">
        <v>1</v>
      </c>
      <c r="D75" s="6">
        <v>1</v>
      </c>
      <c r="E75" s="62">
        <v>41.18</v>
      </c>
      <c r="F75" s="62">
        <v>0.23</v>
      </c>
      <c r="G75" s="62">
        <v>0.15</v>
      </c>
      <c r="H75" s="695">
        <f>G75*F75*E75*D75*C75</f>
        <v>1.4207100000000001</v>
      </c>
    </row>
    <row r="76" spans="1:8" ht="44.25" customHeight="1">
      <c r="A76" s="3"/>
      <c r="B76" s="920" t="s">
        <v>3491</v>
      </c>
      <c r="C76" s="6">
        <v>1</v>
      </c>
      <c r="D76" s="6">
        <v>1</v>
      </c>
      <c r="E76" s="62">
        <v>9.32</v>
      </c>
      <c r="F76" s="62">
        <v>0.23</v>
      </c>
      <c r="G76" s="62">
        <v>0.23</v>
      </c>
      <c r="H76" s="695">
        <f t="shared" ref="H76:H80" si="8">G76*F76*E76*D76*C76</f>
        <v>0.49302800000000002</v>
      </c>
    </row>
    <row r="77" spans="1:8" ht="27" customHeight="1">
      <c r="A77" s="3"/>
      <c r="B77" s="8" t="s">
        <v>3492</v>
      </c>
      <c r="C77" s="6">
        <v>1</v>
      </c>
      <c r="D77" s="6">
        <v>2</v>
      </c>
      <c r="E77" s="62">
        <v>1.2</v>
      </c>
      <c r="F77" s="62">
        <v>0.23</v>
      </c>
      <c r="G77" s="62">
        <v>0.15</v>
      </c>
      <c r="H77" s="695">
        <f t="shared" si="8"/>
        <v>8.2799999999999999E-2</v>
      </c>
    </row>
    <row r="78" spans="1:8" ht="27" customHeight="1">
      <c r="A78" s="3"/>
      <c r="B78" s="8" t="s">
        <v>3493</v>
      </c>
      <c r="C78" s="6">
        <v>1</v>
      </c>
      <c r="D78" s="6">
        <v>2</v>
      </c>
      <c r="E78" s="62">
        <v>1.21</v>
      </c>
      <c r="F78" s="62">
        <v>0.23</v>
      </c>
      <c r="G78" s="62">
        <v>0.1</v>
      </c>
      <c r="H78" s="695">
        <f t="shared" si="8"/>
        <v>5.5660000000000008E-2</v>
      </c>
    </row>
    <row r="79" spans="1:8" ht="27" customHeight="1">
      <c r="A79" s="3"/>
      <c r="B79" s="5" t="s">
        <v>231</v>
      </c>
      <c r="C79" s="3">
        <v>1</v>
      </c>
      <c r="D79" s="3">
        <v>4</v>
      </c>
      <c r="E79" s="59">
        <v>1.66</v>
      </c>
      <c r="F79" s="59">
        <v>0.6</v>
      </c>
      <c r="G79" s="679">
        <f>(0.075+0.05)/2</f>
        <v>6.25E-2</v>
      </c>
      <c r="H79" s="695">
        <f t="shared" si="8"/>
        <v>0.24899999999999997</v>
      </c>
    </row>
    <row r="80" spans="1:8" ht="27" customHeight="1">
      <c r="A80" s="3"/>
      <c r="B80" s="5" t="s">
        <v>232</v>
      </c>
      <c r="C80" s="3">
        <v>1</v>
      </c>
      <c r="D80" s="3">
        <v>2</v>
      </c>
      <c r="E80" s="59">
        <v>1.51</v>
      </c>
      <c r="F80" s="59">
        <v>0.6</v>
      </c>
      <c r="G80" s="679">
        <f>(0.075+0.05)/2</f>
        <v>6.25E-2</v>
      </c>
      <c r="H80" s="695">
        <f t="shared" si="8"/>
        <v>0.11324999999999999</v>
      </c>
    </row>
    <row r="81" spans="1:8" ht="27" customHeight="1">
      <c r="A81" s="3"/>
      <c r="B81" s="12" t="s">
        <v>48</v>
      </c>
      <c r="C81" s="6"/>
      <c r="D81" s="6"/>
      <c r="E81" s="62"/>
      <c r="F81" s="62"/>
      <c r="G81" s="678"/>
      <c r="H81" s="819"/>
    </row>
    <row r="82" spans="1:8" ht="27" customHeight="1">
      <c r="A82" s="3"/>
      <c r="B82" s="8" t="s">
        <v>3494</v>
      </c>
      <c r="C82" s="6">
        <v>1</v>
      </c>
      <c r="D82" s="6">
        <v>1</v>
      </c>
      <c r="E82" s="62">
        <v>5.56</v>
      </c>
      <c r="F82" s="62">
        <v>0.23</v>
      </c>
      <c r="G82" s="62">
        <v>0.24</v>
      </c>
      <c r="H82" s="695">
        <f>G82*F82*E82*D82*C82</f>
        <v>0.30691199999999996</v>
      </c>
    </row>
    <row r="83" spans="1:8" ht="27" customHeight="1">
      <c r="A83" s="3"/>
      <c r="B83" s="12" t="s">
        <v>49</v>
      </c>
      <c r="C83" s="6"/>
      <c r="D83" s="6"/>
      <c r="E83" s="62"/>
      <c r="F83" s="62"/>
      <c r="G83" s="62"/>
      <c r="H83" s="819"/>
    </row>
    <row r="84" spans="1:8" ht="27" customHeight="1">
      <c r="A84" s="3"/>
      <c r="B84" s="46" t="s">
        <v>233</v>
      </c>
      <c r="C84" s="50">
        <v>1</v>
      </c>
      <c r="D84" s="50">
        <v>1</v>
      </c>
      <c r="E84" s="51">
        <v>2.86</v>
      </c>
      <c r="F84" s="48">
        <v>2.0299999999999998</v>
      </c>
      <c r="G84" s="48">
        <v>0.12</v>
      </c>
      <c r="H84" s="833">
        <f t="shared" ref="H84:H87" si="9">PRODUCT(C84:G84)</f>
        <v>0.69669599999999998</v>
      </c>
    </row>
    <row r="85" spans="1:8" ht="27" customHeight="1">
      <c r="A85" s="3"/>
      <c r="B85" s="46" t="s">
        <v>234</v>
      </c>
      <c r="C85" s="50">
        <v>1</v>
      </c>
      <c r="D85" s="50">
        <v>1</v>
      </c>
      <c r="E85" s="51">
        <v>2.86</v>
      </c>
      <c r="F85" s="48">
        <v>0.9</v>
      </c>
      <c r="G85" s="48">
        <v>0.12</v>
      </c>
      <c r="H85" s="833">
        <f t="shared" si="9"/>
        <v>0.30887999999999999</v>
      </c>
    </row>
    <row r="86" spans="1:8" ht="27" customHeight="1">
      <c r="A86" s="3"/>
      <c r="B86" s="46" t="s">
        <v>70</v>
      </c>
      <c r="C86" s="50">
        <v>1</v>
      </c>
      <c r="D86" s="50">
        <v>1</v>
      </c>
      <c r="E86" s="51">
        <v>7.74</v>
      </c>
      <c r="F86" s="48">
        <v>5.56</v>
      </c>
      <c r="G86" s="48">
        <v>0.14000000000000001</v>
      </c>
      <c r="H86" s="833">
        <f t="shared" si="9"/>
        <v>6.0248160000000004</v>
      </c>
    </row>
    <row r="87" spans="1:8" ht="27" customHeight="1">
      <c r="A87" s="3"/>
      <c r="B87" s="46" t="s">
        <v>3495</v>
      </c>
      <c r="C87" s="50">
        <v>1</v>
      </c>
      <c r="D87" s="50">
        <v>1</v>
      </c>
      <c r="E87" s="51">
        <v>8.9499999999999993</v>
      </c>
      <c r="F87" s="50">
        <v>2.2599999999999998</v>
      </c>
      <c r="G87" s="48">
        <v>0.12</v>
      </c>
      <c r="H87" s="833">
        <f t="shared" si="9"/>
        <v>2.4272399999999994</v>
      </c>
    </row>
    <row r="88" spans="1:8" s="9" customFormat="1" ht="27" customHeight="1">
      <c r="A88" s="6"/>
      <c r="B88" s="46" t="s">
        <v>215</v>
      </c>
      <c r="C88" s="50"/>
      <c r="D88" s="50"/>
      <c r="E88" s="51"/>
      <c r="F88" s="50"/>
      <c r="G88" s="48"/>
      <c r="H88" s="833">
        <v>0.01</v>
      </c>
    </row>
    <row r="89" spans="1:8" s="9" customFormat="1" ht="27" customHeight="1">
      <c r="A89" s="6"/>
      <c r="B89" s="859"/>
      <c r="C89" s="6"/>
      <c r="D89" s="6"/>
      <c r="E89" s="62"/>
      <c r="F89" s="62"/>
      <c r="G89" s="61" t="s">
        <v>14</v>
      </c>
      <c r="H89" s="817">
        <f>SUM(H72:H88)</f>
        <v>12.300082</v>
      </c>
    </row>
    <row r="90" spans="1:8" ht="88.5" customHeight="1">
      <c r="A90" s="3">
        <f>'Abstract A3'!A9</f>
        <v>6.2</v>
      </c>
      <c r="B90" s="974" t="s">
        <v>219</v>
      </c>
      <c r="C90" s="974"/>
      <c r="D90" s="974"/>
      <c r="E90" s="974"/>
      <c r="F90" s="974"/>
      <c r="G90" s="59"/>
      <c r="H90" s="695"/>
    </row>
    <row r="91" spans="1:8" ht="27" customHeight="1">
      <c r="A91" s="3"/>
      <c r="B91" s="49" t="s">
        <v>220</v>
      </c>
      <c r="C91" s="50"/>
      <c r="D91" s="50"/>
      <c r="E91" s="50"/>
      <c r="F91" s="50"/>
      <c r="G91" s="48"/>
      <c r="H91" s="833"/>
    </row>
    <row r="92" spans="1:8" s="696" customFormat="1" ht="27" customHeight="1">
      <c r="A92" s="64"/>
      <c r="B92" s="922" t="s">
        <v>3488</v>
      </c>
      <c r="C92" s="841"/>
      <c r="D92" s="841"/>
      <c r="E92" s="841"/>
      <c r="F92" s="833"/>
      <c r="G92" s="833"/>
      <c r="H92" s="833"/>
    </row>
    <row r="93" spans="1:8" s="696" customFormat="1" ht="27" customHeight="1">
      <c r="A93" s="64"/>
      <c r="B93" s="923" t="s">
        <v>3484</v>
      </c>
      <c r="C93" s="841">
        <v>1</v>
      </c>
      <c r="D93" s="841">
        <v>2</v>
      </c>
      <c r="E93" s="833">
        <v>1.8</v>
      </c>
      <c r="F93" s="833">
        <v>0.23</v>
      </c>
      <c r="G93" s="924">
        <v>0.48</v>
      </c>
      <c r="H93" s="833">
        <f>G93*F93*E93*D93*C93</f>
        <v>0.39744000000000002</v>
      </c>
    </row>
    <row r="94" spans="1:8" s="696" customFormat="1" ht="27" customHeight="1">
      <c r="A94" s="64"/>
      <c r="B94" s="923" t="s">
        <v>3485</v>
      </c>
      <c r="C94" s="841">
        <v>1</v>
      </c>
      <c r="D94" s="841">
        <v>2</v>
      </c>
      <c r="E94" s="833">
        <v>7.51</v>
      </c>
      <c r="F94" s="833">
        <v>0.23</v>
      </c>
      <c r="G94" s="924">
        <v>0.48</v>
      </c>
      <c r="H94" s="833">
        <f t="shared" ref="H94:H96" si="10">G94*F94*E94*D94*C94</f>
        <v>1.6582079999999999</v>
      </c>
    </row>
    <row r="95" spans="1:8" s="696" customFormat="1" ht="27" customHeight="1">
      <c r="A95" s="64"/>
      <c r="B95" s="923" t="s">
        <v>3486</v>
      </c>
      <c r="C95" s="841">
        <v>1</v>
      </c>
      <c r="D95" s="841">
        <v>2</v>
      </c>
      <c r="E95" s="833">
        <v>1.8</v>
      </c>
      <c r="F95" s="833">
        <v>0.23</v>
      </c>
      <c r="G95" s="924">
        <f>G93</f>
        <v>0.48</v>
      </c>
      <c r="H95" s="833">
        <f t="shared" si="10"/>
        <v>0.39744000000000002</v>
      </c>
    </row>
    <row r="96" spans="1:8" s="696" customFormat="1" ht="27" customHeight="1">
      <c r="A96" s="64"/>
      <c r="B96" s="923" t="s">
        <v>3487</v>
      </c>
      <c r="C96" s="841">
        <v>1</v>
      </c>
      <c r="D96" s="841">
        <v>3</v>
      </c>
      <c r="E96" s="833">
        <v>1.8</v>
      </c>
      <c r="F96" s="833">
        <v>0.23</v>
      </c>
      <c r="G96" s="924">
        <f>G95</f>
        <v>0.48</v>
      </c>
      <c r="H96" s="833">
        <f t="shared" si="10"/>
        <v>0.59616000000000002</v>
      </c>
    </row>
    <row r="97" spans="1:8" s="696" customFormat="1" ht="27" customHeight="1">
      <c r="A97" s="64"/>
      <c r="B97" s="922" t="s">
        <v>3489</v>
      </c>
      <c r="C97" s="841"/>
      <c r="D97" s="841"/>
      <c r="E97" s="833"/>
      <c r="F97" s="833"/>
      <c r="G97" s="924"/>
      <c r="H97" s="833"/>
    </row>
    <row r="98" spans="1:8" s="696" customFormat="1" ht="27" customHeight="1">
      <c r="A98" s="64"/>
      <c r="B98" s="923" t="s">
        <v>3484</v>
      </c>
      <c r="C98" s="841">
        <v>1</v>
      </c>
      <c r="D98" s="841">
        <v>1</v>
      </c>
      <c r="E98" s="833">
        <v>2.86</v>
      </c>
      <c r="F98" s="833">
        <v>0.23</v>
      </c>
      <c r="G98" s="924">
        <f>G96</f>
        <v>0.48</v>
      </c>
      <c r="H98" s="833">
        <f>G98*F98*E98*D98*C98</f>
        <v>0.31574399999999997</v>
      </c>
    </row>
    <row r="99" spans="1:8" s="696" customFormat="1" ht="27" customHeight="1">
      <c r="A99" s="64"/>
      <c r="B99" s="923" t="s">
        <v>213</v>
      </c>
      <c r="C99" s="841">
        <v>1</v>
      </c>
      <c r="D99" s="841">
        <v>1</v>
      </c>
      <c r="E99" s="833">
        <v>5.56</v>
      </c>
      <c r="F99" s="833">
        <v>0.23</v>
      </c>
      <c r="G99" s="924">
        <f>G94</f>
        <v>0.48</v>
      </c>
      <c r="H99" s="833">
        <f>G99*F99*E99*D99*C99</f>
        <v>0.61382399999999993</v>
      </c>
    </row>
    <row r="100" spans="1:8" s="696" customFormat="1" ht="27" customHeight="1">
      <c r="A100" s="64"/>
      <c r="B100" s="923" t="s">
        <v>214</v>
      </c>
      <c r="C100" s="841">
        <v>1</v>
      </c>
      <c r="D100" s="841">
        <v>2</v>
      </c>
      <c r="E100" s="833">
        <v>8.06</v>
      </c>
      <c r="F100" s="833">
        <v>0.23</v>
      </c>
      <c r="G100" s="924">
        <f>G99</f>
        <v>0.48</v>
      </c>
      <c r="H100" s="833">
        <f>G100*F100*E100*D100*C100</f>
        <v>1.7796480000000001</v>
      </c>
    </row>
    <row r="101" spans="1:8" s="9" customFormat="1" ht="27" customHeight="1">
      <c r="A101" s="6"/>
      <c r="B101" s="46" t="s">
        <v>221</v>
      </c>
      <c r="C101" s="50"/>
      <c r="D101" s="50"/>
      <c r="E101" s="50"/>
      <c r="F101" s="50"/>
      <c r="G101" s="48"/>
      <c r="H101" s="833"/>
    </row>
    <row r="102" spans="1:8" s="9" customFormat="1" ht="27" customHeight="1">
      <c r="A102" s="6"/>
      <c r="B102" s="56" t="s">
        <v>222</v>
      </c>
      <c r="C102" s="3">
        <v>1</v>
      </c>
      <c r="D102" s="3">
        <v>1</v>
      </c>
      <c r="E102" s="59">
        <v>2.5</v>
      </c>
      <c r="F102" s="59">
        <v>0.9</v>
      </c>
      <c r="G102" s="59">
        <v>0.3</v>
      </c>
      <c r="H102" s="833">
        <f t="shared" ref="H102:H107" si="11">PRODUCT(C102:G102)</f>
        <v>0.67499999999999993</v>
      </c>
    </row>
    <row r="103" spans="1:8" ht="27" customHeight="1">
      <c r="A103" s="3"/>
      <c r="B103" s="56" t="s">
        <v>223</v>
      </c>
      <c r="C103" s="3">
        <v>1</v>
      </c>
      <c r="D103" s="3">
        <v>1</v>
      </c>
      <c r="E103" s="59">
        <v>2.5</v>
      </c>
      <c r="F103" s="59">
        <v>0.6</v>
      </c>
      <c r="G103" s="59">
        <v>0.15</v>
      </c>
      <c r="H103" s="833">
        <f t="shared" si="11"/>
        <v>0.22499999999999998</v>
      </c>
    </row>
    <row r="104" spans="1:8" s="9" customFormat="1" ht="27" customHeight="1">
      <c r="A104" s="6"/>
      <c r="B104" s="56" t="s">
        <v>224</v>
      </c>
      <c r="C104" s="3">
        <v>1</v>
      </c>
      <c r="D104" s="3">
        <v>1</v>
      </c>
      <c r="E104" s="59">
        <v>2.5</v>
      </c>
      <c r="F104" s="59">
        <v>0.3</v>
      </c>
      <c r="G104" s="59">
        <v>0.15</v>
      </c>
      <c r="H104" s="833">
        <f t="shared" si="11"/>
        <v>0.11249999999999999</v>
      </c>
    </row>
    <row r="105" spans="1:8" s="9" customFormat="1" ht="27" customHeight="1">
      <c r="A105" s="6"/>
      <c r="B105" s="56" t="s">
        <v>225</v>
      </c>
      <c r="C105" s="57">
        <v>1</v>
      </c>
      <c r="D105" s="57">
        <v>2</v>
      </c>
      <c r="E105" s="58">
        <v>3.32</v>
      </c>
      <c r="F105" s="58">
        <v>0.23</v>
      </c>
      <c r="G105" s="58">
        <v>1.2</v>
      </c>
      <c r="H105" s="833">
        <f t="shared" si="11"/>
        <v>1.8326399999999998</v>
      </c>
    </row>
    <row r="106" spans="1:8" s="9" customFormat="1" ht="27" customHeight="1">
      <c r="A106" s="6"/>
      <c r="B106" s="56" t="s">
        <v>3496</v>
      </c>
      <c r="C106" s="57">
        <v>-1</v>
      </c>
      <c r="D106" s="57">
        <v>2</v>
      </c>
      <c r="E106" s="58">
        <v>0.23</v>
      </c>
      <c r="F106" s="58">
        <v>0.23</v>
      </c>
      <c r="G106" s="58">
        <v>1.27</v>
      </c>
      <c r="H106" s="833">
        <f t="shared" si="11"/>
        <v>-0.13436600000000001</v>
      </c>
    </row>
    <row r="107" spans="1:8" s="9" customFormat="1" ht="27" customHeight="1">
      <c r="A107" s="6"/>
      <c r="B107" s="56" t="s">
        <v>3497</v>
      </c>
      <c r="C107" s="57">
        <v>-1</v>
      </c>
      <c r="D107" s="57">
        <v>11</v>
      </c>
      <c r="E107" s="58">
        <v>0.3</v>
      </c>
      <c r="F107" s="58">
        <v>0.3</v>
      </c>
      <c r="G107" s="58">
        <v>1.2</v>
      </c>
      <c r="H107" s="833">
        <f t="shared" si="11"/>
        <v>-1.1879999999999997</v>
      </c>
    </row>
    <row r="108" spans="1:8" s="9" customFormat="1" ht="27" customHeight="1">
      <c r="A108" s="6"/>
      <c r="B108" s="52" t="s">
        <v>215</v>
      </c>
      <c r="C108" s="53"/>
      <c r="D108" s="53"/>
      <c r="E108" s="54"/>
      <c r="F108" s="54"/>
      <c r="G108" s="55"/>
      <c r="H108" s="834">
        <v>0.02</v>
      </c>
    </row>
    <row r="109" spans="1:8" s="9" customFormat="1" ht="27" customHeight="1">
      <c r="A109" s="6"/>
      <c r="B109" s="52"/>
      <c r="C109" s="53"/>
      <c r="D109" s="53"/>
      <c r="E109" s="54"/>
      <c r="F109" s="54"/>
      <c r="G109" s="55"/>
      <c r="H109" s="835">
        <f>SUM(H93:H108)</f>
        <v>7.3012379999999988</v>
      </c>
    </row>
    <row r="110" spans="1:8" s="9" customFormat="1" ht="126" customHeight="1">
      <c r="A110" s="6">
        <f>'Abstract A3'!A10</f>
        <v>9.1999999999999993</v>
      </c>
      <c r="B110" s="971" t="s">
        <v>236</v>
      </c>
      <c r="C110" s="972"/>
      <c r="D110" s="972"/>
      <c r="E110" s="972"/>
      <c r="F110" s="972"/>
      <c r="G110" s="678"/>
      <c r="H110" s="819"/>
    </row>
    <row r="111" spans="1:8" s="9" customFormat="1" ht="27" customHeight="1">
      <c r="A111" s="6"/>
      <c r="B111" s="846" t="s">
        <v>51</v>
      </c>
      <c r="C111" s="3">
        <v>1</v>
      </c>
      <c r="D111" s="3">
        <v>1</v>
      </c>
      <c r="E111" s="59">
        <v>35.200000000000003</v>
      </c>
      <c r="F111" s="59">
        <v>0.23</v>
      </c>
      <c r="G111" s="59">
        <v>3.16</v>
      </c>
      <c r="H111" s="819">
        <f>G111*F111*E111*D111*C111</f>
        <v>25.583360000000006</v>
      </c>
    </row>
    <row r="112" spans="1:8" s="9" customFormat="1" ht="27" customHeight="1">
      <c r="A112" s="6"/>
      <c r="B112" s="846" t="s">
        <v>52</v>
      </c>
      <c r="C112" s="4">
        <v>-1</v>
      </c>
      <c r="D112" s="4">
        <v>1</v>
      </c>
      <c r="E112" s="59">
        <v>1.5</v>
      </c>
      <c r="F112" s="59">
        <v>0.23</v>
      </c>
      <c r="G112" s="59">
        <v>2.1</v>
      </c>
      <c r="H112" s="819">
        <f t="shared" ref="H112:H119" si="12">G112*F112*E112*D112*C112</f>
        <v>-0.72450000000000003</v>
      </c>
    </row>
    <row r="113" spans="1:8" s="9" customFormat="1" ht="27" customHeight="1">
      <c r="A113" s="6"/>
      <c r="B113" s="5" t="s">
        <v>53</v>
      </c>
      <c r="C113" s="3">
        <v>-1</v>
      </c>
      <c r="D113" s="3">
        <v>4</v>
      </c>
      <c r="E113" s="59">
        <v>1.2</v>
      </c>
      <c r="F113" s="59">
        <v>0.23</v>
      </c>
      <c r="G113" s="59">
        <v>1.35</v>
      </c>
      <c r="H113" s="819">
        <f t="shared" si="12"/>
        <v>-1.4904000000000002</v>
      </c>
    </row>
    <row r="114" spans="1:8" s="9" customFormat="1" ht="27" customHeight="1">
      <c r="A114" s="6"/>
      <c r="B114" s="5" t="s">
        <v>54</v>
      </c>
      <c r="C114" s="3">
        <v>-1</v>
      </c>
      <c r="D114" s="3">
        <v>2</v>
      </c>
      <c r="E114" s="59">
        <v>1.05</v>
      </c>
      <c r="F114" s="59">
        <v>0.23</v>
      </c>
      <c r="G114" s="59">
        <v>1.35</v>
      </c>
      <c r="H114" s="819">
        <f t="shared" si="12"/>
        <v>-0.65205000000000013</v>
      </c>
    </row>
    <row r="115" spans="1:8" s="9" customFormat="1" ht="27" customHeight="1">
      <c r="A115" s="6"/>
      <c r="B115" s="5" t="s">
        <v>55</v>
      </c>
      <c r="C115" s="3">
        <v>-1</v>
      </c>
      <c r="D115" s="3">
        <v>2</v>
      </c>
      <c r="E115" s="59">
        <v>0.9</v>
      </c>
      <c r="F115" s="59">
        <v>0.23</v>
      </c>
      <c r="G115" s="59">
        <v>0.75</v>
      </c>
      <c r="H115" s="819">
        <f t="shared" si="12"/>
        <v>-0.31050000000000005</v>
      </c>
    </row>
    <row r="116" spans="1:8" s="9" customFormat="1" ht="27" customHeight="1">
      <c r="A116" s="6"/>
      <c r="B116" s="5" t="s">
        <v>56</v>
      </c>
      <c r="C116" s="3">
        <v>-1</v>
      </c>
      <c r="D116" s="3">
        <v>2</v>
      </c>
      <c r="E116" s="59">
        <v>0.9</v>
      </c>
      <c r="F116" s="59">
        <v>0.23</v>
      </c>
      <c r="G116" s="59">
        <v>0.75</v>
      </c>
      <c r="H116" s="819">
        <f t="shared" si="12"/>
        <v>-0.31050000000000005</v>
      </c>
    </row>
    <row r="117" spans="1:8" s="9" customFormat="1" ht="27" customHeight="1">
      <c r="A117" s="6"/>
      <c r="B117" s="5" t="s">
        <v>57</v>
      </c>
      <c r="C117" s="3">
        <v>1</v>
      </c>
      <c r="D117" s="3">
        <v>1</v>
      </c>
      <c r="E117" s="59">
        <v>5.0999999999999996</v>
      </c>
      <c r="F117" s="59">
        <v>0.23</v>
      </c>
      <c r="G117" s="59">
        <v>2.9</v>
      </c>
      <c r="H117" s="819">
        <f t="shared" si="12"/>
        <v>3.4016999999999999</v>
      </c>
    </row>
    <row r="118" spans="1:8" s="9" customFormat="1" ht="27" customHeight="1">
      <c r="A118" s="6"/>
      <c r="B118" s="846" t="s">
        <v>58</v>
      </c>
      <c r="C118" s="4">
        <v>-1</v>
      </c>
      <c r="D118" s="4">
        <v>2</v>
      </c>
      <c r="E118" s="59">
        <v>0.9</v>
      </c>
      <c r="F118" s="59">
        <v>0.23</v>
      </c>
      <c r="G118" s="59">
        <v>2.1</v>
      </c>
      <c r="H118" s="819">
        <f t="shared" si="12"/>
        <v>-0.86940000000000006</v>
      </c>
    </row>
    <row r="119" spans="1:8" s="9" customFormat="1" ht="27" customHeight="1">
      <c r="A119" s="6"/>
      <c r="B119" s="916" t="s">
        <v>3499</v>
      </c>
      <c r="C119" s="4">
        <v>1</v>
      </c>
      <c r="D119" s="4">
        <v>14</v>
      </c>
      <c r="E119" s="59">
        <v>0.23</v>
      </c>
      <c r="F119" s="59">
        <v>0.23</v>
      </c>
      <c r="G119" s="59">
        <v>0.45</v>
      </c>
      <c r="H119" s="819">
        <f t="shared" si="12"/>
        <v>0.33327000000000007</v>
      </c>
    </row>
    <row r="120" spans="1:8" s="9" customFormat="1" ht="27" customHeight="1">
      <c r="A120" s="6"/>
      <c r="B120" s="8"/>
      <c r="C120" s="6"/>
      <c r="D120" s="6"/>
      <c r="E120" s="62"/>
      <c r="F120" s="62"/>
      <c r="G120" s="678"/>
      <c r="H120" s="819">
        <v>0.04</v>
      </c>
    </row>
    <row r="121" spans="1:8" s="9" customFormat="1" ht="27" customHeight="1">
      <c r="A121" s="6"/>
      <c r="B121" s="859"/>
      <c r="C121" s="7"/>
      <c r="D121" s="7"/>
      <c r="E121" s="62"/>
      <c r="F121" s="62"/>
      <c r="G121" s="61" t="s">
        <v>14</v>
      </c>
      <c r="H121" s="817">
        <f>SUM(H111:H120)</f>
        <v>25.000980000000006</v>
      </c>
    </row>
    <row r="122" spans="1:8" ht="133.5" customHeight="1">
      <c r="A122" s="3"/>
      <c r="B122" s="971" t="s">
        <v>3374</v>
      </c>
      <c r="C122" s="972"/>
      <c r="D122" s="972"/>
      <c r="E122" s="972"/>
      <c r="F122" s="972"/>
      <c r="G122" s="59"/>
      <c r="H122" s="695"/>
    </row>
    <row r="123" spans="1:8" ht="27" customHeight="1">
      <c r="A123" s="3"/>
      <c r="B123" s="23" t="s">
        <v>62</v>
      </c>
      <c r="C123" s="3"/>
      <c r="D123" s="3"/>
      <c r="E123" s="59"/>
      <c r="F123" s="59"/>
      <c r="G123" s="72"/>
      <c r="H123" s="817"/>
    </row>
    <row r="124" spans="1:8" ht="27" customHeight="1">
      <c r="A124" s="3"/>
      <c r="B124" s="5" t="s">
        <v>59</v>
      </c>
      <c r="C124" s="3">
        <v>1</v>
      </c>
      <c r="D124" s="3">
        <v>1</v>
      </c>
      <c r="E124" s="59">
        <v>1.8</v>
      </c>
      <c r="F124" s="59"/>
      <c r="G124" s="59">
        <v>2.73</v>
      </c>
      <c r="H124" s="695">
        <f t="shared" ref="H124:H133" si="13">PRODUCT(C124:G124)</f>
        <v>4.9139999999999997</v>
      </c>
    </row>
    <row r="125" spans="1:8" ht="27" customHeight="1">
      <c r="A125" s="3"/>
      <c r="B125" s="5" t="s">
        <v>60</v>
      </c>
      <c r="C125" s="3">
        <v>1</v>
      </c>
      <c r="D125" s="3">
        <v>1</v>
      </c>
      <c r="E125" s="59">
        <v>1.8</v>
      </c>
      <c r="F125" s="59"/>
      <c r="G125" s="59">
        <f>G124</f>
        <v>2.73</v>
      </c>
      <c r="H125" s="695">
        <f t="shared" si="13"/>
        <v>4.9139999999999997</v>
      </c>
    </row>
    <row r="126" spans="1:8" ht="27" customHeight="1">
      <c r="A126" s="3"/>
      <c r="B126" s="5" t="s">
        <v>63</v>
      </c>
      <c r="C126" s="3">
        <v>1</v>
      </c>
      <c r="D126" s="3">
        <v>1</v>
      </c>
      <c r="E126" s="59">
        <v>0.6</v>
      </c>
      <c r="F126" s="59"/>
      <c r="G126" s="59">
        <v>1.2</v>
      </c>
      <c r="H126" s="695">
        <f t="shared" si="13"/>
        <v>0.72</v>
      </c>
    </row>
    <row r="127" spans="1:8" ht="27" customHeight="1">
      <c r="A127" s="3"/>
      <c r="B127" s="5" t="s">
        <v>64</v>
      </c>
      <c r="C127" s="3">
        <v>-1</v>
      </c>
      <c r="D127" s="3">
        <v>1</v>
      </c>
      <c r="E127" s="59">
        <v>0.75</v>
      </c>
      <c r="F127" s="59"/>
      <c r="G127" s="59">
        <v>2.1</v>
      </c>
      <c r="H127" s="695">
        <f t="shared" si="13"/>
        <v>-1.5750000000000002</v>
      </c>
    </row>
    <row r="128" spans="1:8" ht="27" customHeight="1">
      <c r="A128" s="3"/>
      <c r="B128" s="846" t="s">
        <v>61</v>
      </c>
      <c r="C128" s="4">
        <v>1</v>
      </c>
      <c r="D128" s="4">
        <v>1</v>
      </c>
      <c r="E128" s="59">
        <v>1.8</v>
      </c>
      <c r="F128" s="59"/>
      <c r="G128" s="59">
        <f>G125</f>
        <v>2.73</v>
      </c>
      <c r="H128" s="695">
        <f t="shared" si="13"/>
        <v>4.9139999999999997</v>
      </c>
    </row>
    <row r="129" spans="1:8" ht="27" customHeight="1">
      <c r="A129" s="3"/>
      <c r="B129" s="5" t="s">
        <v>64</v>
      </c>
      <c r="C129" s="3">
        <v>-1</v>
      </c>
      <c r="D129" s="3">
        <v>1</v>
      </c>
      <c r="E129" s="59">
        <v>0.75</v>
      </c>
      <c r="F129" s="59"/>
      <c r="G129" s="59">
        <v>2.1</v>
      </c>
      <c r="H129" s="695">
        <f t="shared" si="13"/>
        <v>-1.5750000000000002</v>
      </c>
    </row>
    <row r="130" spans="1:8" ht="27" customHeight="1">
      <c r="A130" s="3"/>
      <c r="B130" s="46" t="s">
        <v>240</v>
      </c>
      <c r="C130" s="50">
        <v>2</v>
      </c>
      <c r="D130" s="50">
        <v>9</v>
      </c>
      <c r="E130" s="48">
        <v>0.6</v>
      </c>
      <c r="F130" s="50"/>
      <c r="G130" s="48">
        <v>2.1</v>
      </c>
      <c r="H130" s="695">
        <f t="shared" si="13"/>
        <v>22.68</v>
      </c>
    </row>
    <row r="131" spans="1:8" ht="27" customHeight="1">
      <c r="A131" s="3"/>
      <c r="B131" s="5" t="s">
        <v>65</v>
      </c>
      <c r="C131" s="3">
        <v>1</v>
      </c>
      <c r="D131" s="3">
        <v>1</v>
      </c>
      <c r="E131" s="59">
        <v>35.200000000000003</v>
      </c>
      <c r="F131" s="59"/>
      <c r="G131" s="59">
        <v>0.45</v>
      </c>
      <c r="H131" s="695">
        <f t="shared" si="13"/>
        <v>15.840000000000002</v>
      </c>
    </row>
    <row r="132" spans="1:8" ht="27" customHeight="1">
      <c r="A132" s="3"/>
      <c r="B132" s="5" t="s">
        <v>66</v>
      </c>
      <c r="C132" s="3">
        <v>1</v>
      </c>
      <c r="D132" s="3">
        <v>1</v>
      </c>
      <c r="E132" s="59">
        <v>6.46</v>
      </c>
      <c r="F132" s="59"/>
      <c r="G132" s="59">
        <v>0.45</v>
      </c>
      <c r="H132" s="695">
        <f t="shared" si="13"/>
        <v>2.907</v>
      </c>
    </row>
    <row r="133" spans="1:8" ht="27" customHeight="1">
      <c r="A133" s="3"/>
      <c r="B133" s="5" t="s">
        <v>3500</v>
      </c>
      <c r="C133" s="3">
        <v>-1</v>
      </c>
      <c r="D133" s="3">
        <v>14</v>
      </c>
      <c r="E133" s="59">
        <v>0.23</v>
      </c>
      <c r="F133" s="59"/>
      <c r="G133" s="59">
        <v>0.45</v>
      </c>
      <c r="H133" s="695">
        <f t="shared" si="13"/>
        <v>-1.4490000000000001</v>
      </c>
    </row>
    <row r="134" spans="1:8" ht="27" customHeight="1">
      <c r="A134" s="3"/>
      <c r="B134" s="5" t="s">
        <v>239</v>
      </c>
      <c r="C134" s="3"/>
      <c r="D134" s="3"/>
      <c r="E134" s="59"/>
      <c r="F134" s="59"/>
      <c r="G134" s="59"/>
      <c r="H134" s="695">
        <v>0.01</v>
      </c>
    </row>
    <row r="135" spans="1:8" ht="27" customHeight="1">
      <c r="A135" s="3"/>
      <c r="B135" s="5"/>
      <c r="C135" s="3"/>
      <c r="D135" s="3"/>
      <c r="E135" s="59"/>
      <c r="F135" s="59"/>
      <c r="G135" s="72" t="s">
        <v>14</v>
      </c>
      <c r="H135" s="694">
        <f>SUM(H124:H134)</f>
        <v>52.300000000000004</v>
      </c>
    </row>
    <row r="136" spans="1:8" ht="110.25" customHeight="1">
      <c r="A136" s="64"/>
      <c r="B136" s="971" t="s">
        <v>3371</v>
      </c>
      <c r="C136" s="972"/>
      <c r="D136" s="972"/>
      <c r="E136" s="972"/>
      <c r="F136" s="972"/>
      <c r="G136" s="59"/>
      <c r="H136" s="695"/>
    </row>
    <row r="137" spans="1:8" ht="27" customHeight="1">
      <c r="A137" s="3"/>
      <c r="B137" s="23" t="s">
        <v>67</v>
      </c>
      <c r="C137" s="3"/>
      <c r="D137" s="3"/>
      <c r="E137" s="59"/>
      <c r="F137" s="59"/>
      <c r="G137" s="72"/>
      <c r="H137" s="817"/>
    </row>
    <row r="138" spans="1:8" ht="27" customHeight="1">
      <c r="A138" s="3"/>
      <c r="B138" s="5" t="s">
        <v>68</v>
      </c>
      <c r="C138" s="3">
        <v>11</v>
      </c>
      <c r="D138" s="3">
        <v>2</v>
      </c>
      <c r="E138" s="59">
        <v>0.6</v>
      </c>
      <c r="F138" s="59"/>
      <c r="G138" s="59">
        <v>2.1</v>
      </c>
      <c r="H138" s="695">
        <f>PRODUCT(C138:G138)</f>
        <v>27.72</v>
      </c>
    </row>
    <row r="139" spans="1:8" s="34" customFormat="1" ht="27" customHeight="1">
      <c r="A139" s="849"/>
      <c r="B139" s="2" t="s">
        <v>207</v>
      </c>
      <c r="C139" s="849"/>
      <c r="D139" s="849"/>
      <c r="E139" s="72"/>
      <c r="F139" s="72"/>
      <c r="G139" s="72"/>
      <c r="H139" s="695">
        <v>0.08</v>
      </c>
    </row>
    <row r="140" spans="1:8" ht="27" customHeight="1">
      <c r="A140" s="3"/>
      <c r="B140" s="5"/>
      <c r="C140" s="3"/>
      <c r="D140" s="3"/>
      <c r="E140" s="59"/>
      <c r="F140" s="59"/>
      <c r="G140" s="72" t="s">
        <v>14</v>
      </c>
      <c r="H140" s="694">
        <f>SUM(H138:H139)</f>
        <v>27.799999999999997</v>
      </c>
    </row>
    <row r="141" spans="1:8" ht="27" customHeight="1">
      <c r="A141" s="3"/>
      <c r="B141" s="5"/>
      <c r="C141" s="3"/>
      <c r="D141" s="3"/>
      <c r="E141" s="59"/>
      <c r="F141" s="59"/>
      <c r="G141" s="72"/>
      <c r="H141" s="694"/>
    </row>
    <row r="142" spans="1:8" ht="177.75" customHeight="1">
      <c r="A142" s="3"/>
      <c r="B142" s="971" t="s">
        <v>166</v>
      </c>
      <c r="C142" s="972"/>
      <c r="D142" s="972"/>
      <c r="E142" s="972"/>
      <c r="F142" s="972"/>
      <c r="G142" s="59"/>
      <c r="H142" s="695"/>
    </row>
    <row r="143" spans="1:8" ht="27" customHeight="1">
      <c r="A143" s="3"/>
      <c r="B143" s="852" t="s">
        <v>69</v>
      </c>
      <c r="C143" s="846"/>
      <c r="D143" s="846"/>
      <c r="E143" s="4"/>
      <c r="F143" s="4"/>
      <c r="G143" s="59"/>
      <c r="H143" s="695"/>
    </row>
    <row r="144" spans="1:8" ht="27" customHeight="1">
      <c r="A144" s="3"/>
      <c r="B144" s="5" t="s">
        <v>241</v>
      </c>
      <c r="C144" s="3">
        <v>1</v>
      </c>
      <c r="D144" s="3">
        <v>2</v>
      </c>
      <c r="E144" s="59">
        <v>0.85</v>
      </c>
      <c r="F144" s="59">
        <v>0.85</v>
      </c>
      <c r="G144" s="59"/>
      <c r="H144" s="695">
        <f>PRODUCT(C144:G144)</f>
        <v>1.4449999999999998</v>
      </c>
    </row>
    <row r="145" spans="1:8" ht="27" customHeight="1">
      <c r="A145" s="3"/>
      <c r="B145" s="5" t="s">
        <v>239</v>
      </c>
      <c r="C145" s="3"/>
      <c r="D145" s="3"/>
      <c r="E145" s="59"/>
      <c r="F145" s="59"/>
      <c r="G145" s="59"/>
      <c r="H145" s="695"/>
    </row>
    <row r="146" spans="1:8" ht="27" customHeight="1">
      <c r="A146" s="3"/>
      <c r="B146" s="2"/>
      <c r="C146" s="3"/>
      <c r="D146" s="3"/>
      <c r="E146" s="59"/>
      <c r="F146" s="59"/>
      <c r="G146" s="72" t="s">
        <v>14</v>
      </c>
      <c r="H146" s="694">
        <f>SUM(H143:H145)</f>
        <v>1.4449999999999998</v>
      </c>
    </row>
    <row r="147" spans="1:8" ht="121.5" customHeight="1">
      <c r="A147" s="3"/>
      <c r="B147" s="971" t="s">
        <v>167</v>
      </c>
      <c r="C147" s="972"/>
      <c r="D147" s="972"/>
      <c r="E147" s="972"/>
      <c r="F147" s="972"/>
      <c r="G147" s="59"/>
      <c r="H147" s="695"/>
    </row>
    <row r="148" spans="1:8" ht="27" customHeight="1">
      <c r="A148" s="3"/>
      <c r="B148" s="24" t="s">
        <v>67</v>
      </c>
      <c r="C148" s="846"/>
      <c r="D148" s="846"/>
      <c r="E148" s="4"/>
      <c r="F148" s="4"/>
      <c r="G148" s="59"/>
      <c r="H148" s="695"/>
    </row>
    <row r="149" spans="1:8" ht="27" customHeight="1">
      <c r="A149" s="3"/>
      <c r="B149" s="5" t="s">
        <v>70</v>
      </c>
      <c r="C149" s="3">
        <v>19</v>
      </c>
      <c r="D149" s="3">
        <v>5</v>
      </c>
      <c r="E149" s="59">
        <v>0.45</v>
      </c>
      <c r="F149" s="59"/>
      <c r="G149" s="59">
        <v>0.6</v>
      </c>
      <c r="H149" s="695">
        <f>PRODUCT(C149:G149)</f>
        <v>25.65</v>
      </c>
    </row>
    <row r="150" spans="1:8" ht="27" customHeight="1">
      <c r="A150" s="3"/>
      <c r="B150" s="2" t="s">
        <v>239</v>
      </c>
      <c r="C150" s="3"/>
      <c r="D150" s="3"/>
      <c r="E150" s="59"/>
      <c r="F150" s="59"/>
      <c r="G150" s="72"/>
      <c r="H150" s="695">
        <v>0.05</v>
      </c>
    </row>
    <row r="151" spans="1:8" ht="27" customHeight="1">
      <c r="A151" s="3"/>
      <c r="B151" s="65"/>
      <c r="C151" s="19"/>
      <c r="D151" s="19"/>
      <c r="E151" s="4"/>
      <c r="F151" s="4"/>
      <c r="G151" s="72" t="s">
        <v>14</v>
      </c>
      <c r="H151" s="694">
        <f>SUM(H148:H150)</f>
        <v>25.7</v>
      </c>
    </row>
    <row r="152" spans="1:8" ht="171" customHeight="1">
      <c r="A152" s="3"/>
      <c r="B152" s="972" t="s">
        <v>168</v>
      </c>
      <c r="C152" s="972"/>
      <c r="D152" s="972"/>
      <c r="E152" s="972"/>
      <c r="F152" s="972"/>
      <c r="G152" s="972"/>
      <c r="H152" s="817"/>
    </row>
    <row r="153" spans="1:8" s="696" customFormat="1" ht="49.5" customHeight="1">
      <c r="A153" s="64"/>
      <c r="B153" s="975" t="s">
        <v>71</v>
      </c>
      <c r="C153" s="975"/>
      <c r="D153" s="975"/>
      <c r="E153" s="695"/>
      <c r="F153" s="695"/>
      <c r="G153" s="695"/>
      <c r="H153" s="695"/>
    </row>
    <row r="154" spans="1:8" ht="27" customHeight="1">
      <c r="A154" s="3"/>
      <c r="B154" s="49" t="s">
        <v>242</v>
      </c>
      <c r="C154" s="50"/>
      <c r="D154" s="50"/>
      <c r="E154" s="50"/>
      <c r="F154" s="50"/>
      <c r="G154" s="48"/>
      <c r="H154" s="833"/>
    </row>
    <row r="155" spans="1:8" ht="27" customHeight="1">
      <c r="A155" s="3"/>
      <c r="B155" s="46" t="s">
        <v>209</v>
      </c>
      <c r="C155" s="47">
        <v>1</v>
      </c>
      <c r="D155" s="47">
        <v>2</v>
      </c>
      <c r="E155" s="48">
        <v>4</v>
      </c>
      <c r="F155" s="48"/>
      <c r="G155" s="48">
        <v>0.25</v>
      </c>
      <c r="H155" s="833">
        <f>G155*E155*D155*C155</f>
        <v>2</v>
      </c>
    </row>
    <row r="156" spans="1:8" ht="27" customHeight="1">
      <c r="A156" s="3"/>
      <c r="B156" s="46" t="s">
        <v>210</v>
      </c>
      <c r="C156" s="47">
        <v>1</v>
      </c>
      <c r="D156" s="47">
        <v>11</v>
      </c>
      <c r="E156" s="48">
        <v>4.8</v>
      </c>
      <c r="F156" s="48"/>
      <c r="G156" s="48">
        <v>0.35</v>
      </c>
      <c r="H156" s="833">
        <f t="shared" ref="H156" si="14">PRODUCT(C156:G156)</f>
        <v>18.479999999999997</v>
      </c>
    </row>
    <row r="157" spans="1:8" ht="27" customHeight="1">
      <c r="A157" s="3"/>
      <c r="B157" s="49" t="s">
        <v>212</v>
      </c>
      <c r="C157" s="50"/>
      <c r="D157" s="50"/>
      <c r="E157" s="50"/>
      <c r="F157" s="50"/>
      <c r="G157" s="48"/>
      <c r="H157" s="833"/>
    </row>
    <row r="158" spans="1:8" ht="27" customHeight="1">
      <c r="A158" s="3"/>
      <c r="B158" s="49" t="s">
        <v>3488</v>
      </c>
      <c r="C158" s="50"/>
      <c r="D158" s="50"/>
      <c r="E158" s="50"/>
      <c r="F158" s="48"/>
      <c r="G158" s="48"/>
      <c r="H158" s="833"/>
    </row>
    <row r="159" spans="1:8" ht="27" customHeight="1">
      <c r="A159" s="3"/>
      <c r="B159" s="46" t="s">
        <v>3484</v>
      </c>
      <c r="C159" s="50">
        <v>2</v>
      </c>
      <c r="D159" s="50">
        <v>2</v>
      </c>
      <c r="E159" s="48">
        <v>1.8</v>
      </c>
      <c r="F159" s="48"/>
      <c r="G159" s="48">
        <v>0.23</v>
      </c>
      <c r="H159" s="833">
        <f>G159*E159*D159*C159</f>
        <v>1.6560000000000001</v>
      </c>
    </row>
    <row r="160" spans="1:8" ht="27" customHeight="1">
      <c r="A160" s="3"/>
      <c r="B160" s="46" t="s">
        <v>3485</v>
      </c>
      <c r="C160" s="50">
        <v>2</v>
      </c>
      <c r="D160" s="50">
        <v>2</v>
      </c>
      <c r="E160" s="48">
        <v>7.51</v>
      </c>
      <c r="F160" s="48"/>
      <c r="G160" s="48">
        <v>0.38</v>
      </c>
      <c r="H160" s="833">
        <f t="shared" ref="H160:H166" si="15">G160*E160*D160*C160</f>
        <v>11.4152</v>
      </c>
    </row>
    <row r="161" spans="1:8" ht="27" customHeight="1">
      <c r="A161" s="3"/>
      <c r="B161" s="46" t="s">
        <v>3486</v>
      </c>
      <c r="C161" s="50">
        <v>2</v>
      </c>
      <c r="D161" s="50">
        <v>2</v>
      </c>
      <c r="E161" s="48">
        <v>1.8</v>
      </c>
      <c r="F161" s="48"/>
      <c r="G161" s="48">
        <v>0.23</v>
      </c>
      <c r="H161" s="833">
        <f t="shared" si="15"/>
        <v>1.6560000000000001</v>
      </c>
    </row>
    <row r="162" spans="1:8" ht="27" customHeight="1">
      <c r="A162" s="3"/>
      <c r="B162" s="46" t="s">
        <v>3487</v>
      </c>
      <c r="C162" s="50">
        <v>2</v>
      </c>
      <c r="D162" s="50">
        <v>3</v>
      </c>
      <c r="E162" s="48">
        <v>1.8</v>
      </c>
      <c r="F162" s="48"/>
      <c r="G162" s="48">
        <v>0.23</v>
      </c>
      <c r="H162" s="833">
        <f t="shared" si="15"/>
        <v>2.484</v>
      </c>
    </row>
    <row r="163" spans="1:8" ht="27" customHeight="1">
      <c r="A163" s="3"/>
      <c r="B163" s="49" t="s">
        <v>3489</v>
      </c>
      <c r="C163" s="50"/>
      <c r="D163" s="50"/>
      <c r="E163" s="48"/>
      <c r="F163" s="48"/>
      <c r="G163" s="48"/>
      <c r="H163" s="833"/>
    </row>
    <row r="164" spans="1:8" ht="27" customHeight="1">
      <c r="A164" s="3"/>
      <c r="B164" s="46" t="s">
        <v>3484</v>
      </c>
      <c r="C164" s="50">
        <v>2</v>
      </c>
      <c r="D164" s="50">
        <v>1</v>
      </c>
      <c r="E164" s="48">
        <v>2.86</v>
      </c>
      <c r="F164" s="48"/>
      <c r="G164" s="48">
        <v>0.23</v>
      </c>
      <c r="H164" s="833">
        <f t="shared" si="15"/>
        <v>1.3156000000000001</v>
      </c>
    </row>
    <row r="165" spans="1:8" ht="27" customHeight="1">
      <c r="A165" s="3"/>
      <c r="B165" s="46" t="s">
        <v>213</v>
      </c>
      <c r="C165" s="50">
        <v>2</v>
      </c>
      <c r="D165" s="50">
        <v>1</v>
      </c>
      <c r="E165" s="48">
        <v>5.56</v>
      </c>
      <c r="F165" s="48"/>
      <c r="G165" s="48">
        <v>0.38</v>
      </c>
      <c r="H165" s="833">
        <f t="shared" si="15"/>
        <v>4.2256</v>
      </c>
    </row>
    <row r="166" spans="1:8" ht="27" customHeight="1">
      <c r="A166" s="3"/>
      <c r="B166" s="46" t="s">
        <v>214</v>
      </c>
      <c r="C166" s="50">
        <v>2</v>
      </c>
      <c r="D166" s="50">
        <v>2</v>
      </c>
      <c r="E166" s="48">
        <v>8.06</v>
      </c>
      <c r="F166" s="48"/>
      <c r="G166" s="48">
        <v>0.38</v>
      </c>
      <c r="H166" s="833">
        <f t="shared" si="15"/>
        <v>12.251200000000001</v>
      </c>
    </row>
    <row r="167" spans="1:8" s="691" customFormat="1" ht="27" customHeight="1">
      <c r="A167" s="63"/>
      <c r="B167" s="911" t="s">
        <v>215</v>
      </c>
      <c r="C167" s="912"/>
      <c r="D167" s="912"/>
      <c r="E167" s="913"/>
      <c r="F167" s="913"/>
      <c r="G167" s="919"/>
      <c r="H167" s="913">
        <v>0.02</v>
      </c>
    </row>
    <row r="168" spans="1:8" s="918" customFormat="1" ht="27" customHeight="1">
      <c r="A168" s="917"/>
      <c r="B168" s="911"/>
      <c r="C168" s="912"/>
      <c r="D168" s="912"/>
      <c r="E168" s="913"/>
      <c r="F168" s="913"/>
      <c r="G168" s="680" t="s">
        <v>14</v>
      </c>
      <c r="H168" s="914">
        <f>SUM(H155:H167)</f>
        <v>55.503599999999999</v>
      </c>
    </row>
    <row r="169" spans="1:8" s="9" customFormat="1" ht="76.5" customHeight="1">
      <c r="A169" s="6"/>
      <c r="B169" s="971" t="s">
        <v>72</v>
      </c>
      <c r="C169" s="971"/>
      <c r="D169" s="971"/>
      <c r="E169" s="59"/>
      <c r="F169" s="59"/>
      <c r="G169" s="59"/>
      <c r="H169" s="694"/>
    </row>
    <row r="170" spans="1:8" ht="27" customHeight="1">
      <c r="A170" s="3"/>
      <c r="B170" s="49" t="s">
        <v>227</v>
      </c>
      <c r="C170" s="50"/>
      <c r="D170" s="50"/>
      <c r="E170" s="50"/>
      <c r="F170" s="48"/>
      <c r="G170" s="48"/>
      <c r="H170" s="833"/>
    </row>
    <row r="171" spans="1:8" ht="27" customHeight="1">
      <c r="A171" s="3"/>
      <c r="B171" s="46" t="s">
        <v>228</v>
      </c>
      <c r="C171" s="50">
        <v>2</v>
      </c>
      <c r="D171" s="50">
        <v>4</v>
      </c>
      <c r="E171" s="48">
        <v>1.66</v>
      </c>
      <c r="F171" s="50"/>
      <c r="G171" s="48">
        <v>0.05</v>
      </c>
      <c r="H171" s="833">
        <f t="shared" ref="H171:H179" si="16">G171*E171*D171*C171</f>
        <v>0.66400000000000003</v>
      </c>
    </row>
    <row r="172" spans="1:8" ht="27" customHeight="1">
      <c r="A172" s="3"/>
      <c r="B172" s="46" t="s">
        <v>229</v>
      </c>
      <c r="C172" s="50">
        <v>2</v>
      </c>
      <c r="D172" s="50">
        <v>2</v>
      </c>
      <c r="E172" s="48">
        <v>1.51</v>
      </c>
      <c r="F172" s="50"/>
      <c r="G172" s="48">
        <v>0.05</v>
      </c>
      <c r="H172" s="833">
        <f t="shared" si="16"/>
        <v>0.30200000000000005</v>
      </c>
    </row>
    <row r="173" spans="1:8" ht="27" customHeight="1">
      <c r="A173" s="3"/>
      <c r="B173" s="13" t="s">
        <v>230</v>
      </c>
      <c r="C173" s="3"/>
      <c r="D173" s="3"/>
      <c r="E173" s="59"/>
      <c r="F173" s="59"/>
      <c r="G173" s="59"/>
      <c r="H173" s="833"/>
    </row>
    <row r="174" spans="1:8" ht="27" customHeight="1">
      <c r="A174" s="3"/>
      <c r="B174" s="8" t="s">
        <v>3490</v>
      </c>
      <c r="C174" s="6">
        <v>2</v>
      </c>
      <c r="D174" s="6">
        <v>1</v>
      </c>
      <c r="E174" s="62">
        <v>41.18</v>
      </c>
      <c r="F174" s="62"/>
      <c r="G174" s="62">
        <v>0.15</v>
      </c>
      <c r="H174" s="833">
        <f t="shared" si="16"/>
        <v>12.353999999999999</v>
      </c>
    </row>
    <row r="175" spans="1:8" ht="44.25" customHeight="1">
      <c r="A175" s="3"/>
      <c r="B175" s="920" t="s">
        <v>3491</v>
      </c>
      <c r="C175" s="6">
        <v>2</v>
      </c>
      <c r="D175" s="6">
        <v>1</v>
      </c>
      <c r="E175" s="62">
        <v>9.32</v>
      </c>
      <c r="F175" s="62"/>
      <c r="G175" s="62">
        <v>0.23</v>
      </c>
      <c r="H175" s="833">
        <f t="shared" si="16"/>
        <v>4.2872000000000003</v>
      </c>
    </row>
    <row r="176" spans="1:8" ht="27" customHeight="1">
      <c r="A176" s="3"/>
      <c r="B176" s="8" t="s">
        <v>3492</v>
      </c>
      <c r="C176" s="6">
        <v>2</v>
      </c>
      <c r="D176" s="6">
        <v>2</v>
      </c>
      <c r="E176" s="62">
        <v>1.2</v>
      </c>
      <c r="F176" s="62"/>
      <c r="G176" s="62">
        <v>0.15</v>
      </c>
      <c r="H176" s="833">
        <f t="shared" si="16"/>
        <v>0.72</v>
      </c>
    </row>
    <row r="177" spans="1:8" ht="27" customHeight="1">
      <c r="A177" s="3"/>
      <c r="B177" s="8" t="s">
        <v>3493</v>
      </c>
      <c r="C177" s="6">
        <v>2</v>
      </c>
      <c r="D177" s="6">
        <v>2</v>
      </c>
      <c r="E177" s="62">
        <v>1.21</v>
      </c>
      <c r="F177" s="62"/>
      <c r="G177" s="62">
        <v>0.1</v>
      </c>
      <c r="H177" s="833">
        <f t="shared" si="16"/>
        <v>0.48399999999999999</v>
      </c>
    </row>
    <row r="178" spans="1:8" ht="27" customHeight="1">
      <c r="A178" s="3"/>
      <c r="B178" s="12" t="s">
        <v>48</v>
      </c>
      <c r="C178" s="6"/>
      <c r="D178" s="6"/>
      <c r="E178" s="62"/>
      <c r="F178" s="62"/>
      <c r="G178" s="678"/>
      <c r="H178" s="833"/>
    </row>
    <row r="179" spans="1:8" ht="27" customHeight="1">
      <c r="A179" s="3"/>
      <c r="B179" s="8" t="s">
        <v>3494</v>
      </c>
      <c r="C179" s="6">
        <v>1</v>
      </c>
      <c r="D179" s="6">
        <v>2</v>
      </c>
      <c r="E179" s="62">
        <v>5.56</v>
      </c>
      <c r="F179" s="62"/>
      <c r="G179" s="62">
        <v>0.24</v>
      </c>
      <c r="H179" s="833">
        <f t="shared" si="16"/>
        <v>2.6687999999999996</v>
      </c>
    </row>
    <row r="180" spans="1:8" ht="27" customHeight="1">
      <c r="A180" s="3"/>
      <c r="B180" s="12" t="s">
        <v>49</v>
      </c>
      <c r="C180" s="6"/>
      <c r="D180" s="6"/>
      <c r="E180" s="62"/>
      <c r="F180" s="62"/>
      <c r="G180" s="62"/>
      <c r="H180" s="833"/>
    </row>
    <row r="181" spans="1:8" ht="27" customHeight="1">
      <c r="A181" s="3"/>
      <c r="B181" s="46" t="s">
        <v>233</v>
      </c>
      <c r="C181" s="50">
        <v>1</v>
      </c>
      <c r="D181" s="50">
        <v>1</v>
      </c>
      <c r="E181" s="51">
        <v>2.86</v>
      </c>
      <c r="F181" s="48">
        <v>2.0299999999999998</v>
      </c>
      <c r="G181" s="48"/>
      <c r="H181" s="925">
        <f t="shared" ref="H181:H184" si="17">PRODUCT(C181:G181)</f>
        <v>5.8057999999999996</v>
      </c>
    </row>
    <row r="182" spans="1:8" ht="27" customHeight="1">
      <c r="A182" s="3"/>
      <c r="B182" s="46" t="s">
        <v>234</v>
      </c>
      <c r="C182" s="50">
        <v>1</v>
      </c>
      <c r="D182" s="50">
        <v>1</v>
      </c>
      <c r="E182" s="51">
        <v>2.86</v>
      </c>
      <c r="F182" s="48">
        <v>0.9</v>
      </c>
      <c r="G182" s="48"/>
      <c r="H182" s="925">
        <f t="shared" si="17"/>
        <v>2.5739999999999998</v>
      </c>
    </row>
    <row r="183" spans="1:8" ht="27" customHeight="1">
      <c r="A183" s="3"/>
      <c r="B183" s="46" t="s">
        <v>70</v>
      </c>
      <c r="C183" s="50">
        <v>1</v>
      </c>
      <c r="D183" s="50">
        <v>1</v>
      </c>
      <c r="E183" s="51">
        <v>7.74</v>
      </c>
      <c r="F183" s="48">
        <v>5.56</v>
      </c>
      <c r="G183" s="48"/>
      <c r="H183" s="925">
        <f t="shared" si="17"/>
        <v>43.034399999999998</v>
      </c>
    </row>
    <row r="184" spans="1:8" ht="27" customHeight="1">
      <c r="A184" s="3"/>
      <c r="B184" s="46" t="s">
        <v>3495</v>
      </c>
      <c r="C184" s="50">
        <v>1</v>
      </c>
      <c r="D184" s="50">
        <v>1</v>
      </c>
      <c r="E184" s="51">
        <v>8.9499999999999993</v>
      </c>
      <c r="F184" s="50">
        <v>2.2599999999999998</v>
      </c>
      <c r="G184" s="48"/>
      <c r="H184" s="925">
        <f t="shared" si="17"/>
        <v>20.226999999999997</v>
      </c>
    </row>
    <row r="185" spans="1:8" ht="27" customHeight="1">
      <c r="A185" s="3"/>
      <c r="B185" s="25"/>
      <c r="C185" s="26"/>
      <c r="D185" s="26"/>
      <c r="E185" s="26"/>
      <c r="F185" s="26"/>
      <c r="G185" s="72"/>
      <c r="H185" s="695">
        <v>0.03</v>
      </c>
    </row>
    <row r="186" spans="1:8" ht="27" customHeight="1">
      <c r="A186" s="3"/>
      <c r="B186" s="65"/>
      <c r="C186" s="65"/>
      <c r="D186" s="65"/>
      <c r="E186" s="847"/>
      <c r="F186" s="847"/>
      <c r="G186" s="72" t="s">
        <v>14</v>
      </c>
      <c r="H186" s="694">
        <f>SUM(H171:H185)</f>
        <v>93.151199999999989</v>
      </c>
    </row>
    <row r="187" spans="1:8" s="9" customFormat="1" ht="60" customHeight="1">
      <c r="A187" s="6"/>
      <c r="B187" s="971" t="s">
        <v>74</v>
      </c>
      <c r="C187" s="971"/>
      <c r="D187" s="971"/>
      <c r="E187" s="62"/>
      <c r="F187" s="6"/>
      <c r="G187" s="62"/>
      <c r="H187" s="817"/>
    </row>
    <row r="188" spans="1:8" s="15" customFormat="1" ht="42.75" customHeight="1">
      <c r="A188" s="14"/>
      <c r="B188" s="49" t="s">
        <v>3481</v>
      </c>
      <c r="C188" s="50"/>
      <c r="D188" s="50"/>
      <c r="E188" s="50"/>
      <c r="F188" s="50"/>
      <c r="G188" s="48"/>
      <c r="H188" s="833"/>
    </row>
    <row r="189" spans="1:8" s="18" customFormat="1" ht="27" customHeight="1">
      <c r="A189" s="16"/>
      <c r="B189" s="46" t="s">
        <v>3482</v>
      </c>
      <c r="C189" s="50">
        <v>1</v>
      </c>
      <c r="D189" s="47">
        <v>2</v>
      </c>
      <c r="E189" s="50">
        <v>0.92</v>
      </c>
      <c r="F189" s="48"/>
      <c r="G189" s="48">
        <v>1.05</v>
      </c>
      <c r="H189" s="833">
        <f t="shared" ref="H189:H190" si="18">G189*E189*D189*C189</f>
        <v>1.9320000000000002</v>
      </c>
    </row>
    <row r="190" spans="1:8" ht="27" customHeight="1">
      <c r="A190" s="3"/>
      <c r="B190" s="46" t="s">
        <v>3483</v>
      </c>
      <c r="C190" s="50">
        <v>1</v>
      </c>
      <c r="D190" s="47">
        <v>11</v>
      </c>
      <c r="E190" s="48">
        <v>1.2</v>
      </c>
      <c r="F190" s="48"/>
      <c r="G190" s="48">
        <v>0.88</v>
      </c>
      <c r="H190" s="833">
        <f t="shared" si="18"/>
        <v>11.616</v>
      </c>
    </row>
    <row r="191" spans="1:8" s="15" customFormat="1" ht="27" customHeight="1">
      <c r="A191" s="14"/>
      <c r="B191" s="49" t="s">
        <v>211</v>
      </c>
      <c r="C191" s="50"/>
      <c r="D191" s="50"/>
      <c r="E191" s="50"/>
      <c r="F191" s="50"/>
      <c r="G191" s="48"/>
      <c r="H191" s="833"/>
    </row>
    <row r="192" spans="1:8" ht="27" customHeight="1">
      <c r="A192" s="3"/>
      <c r="B192" s="46" t="str">
        <f>B189</f>
        <v>For C1F2 Column</v>
      </c>
      <c r="C192" s="50">
        <v>1</v>
      </c>
      <c r="D192" s="47">
        <f>D189</f>
        <v>2</v>
      </c>
      <c r="E192" s="50">
        <f>E189</f>
        <v>0.92</v>
      </c>
      <c r="F192" s="48"/>
      <c r="G192" s="48">
        <v>1.27</v>
      </c>
      <c r="H192" s="833">
        <f t="shared" ref="H192:H193" si="19">G192*E192*D192*C192</f>
        <v>2.3368000000000002</v>
      </c>
    </row>
    <row r="193" spans="1:8" ht="27" customHeight="1">
      <c r="A193" s="3"/>
      <c r="B193" s="46" t="str">
        <f>B190</f>
        <v>For C2F2 Column</v>
      </c>
      <c r="C193" s="50">
        <v>1</v>
      </c>
      <c r="D193" s="47">
        <f>D190</f>
        <v>11</v>
      </c>
      <c r="E193" s="48">
        <f>E190</f>
        <v>1.2</v>
      </c>
      <c r="F193" s="48"/>
      <c r="G193" s="48">
        <v>1.2</v>
      </c>
      <c r="H193" s="833">
        <f t="shared" si="19"/>
        <v>15.84</v>
      </c>
    </row>
    <row r="194" spans="1:8" ht="27" customHeight="1">
      <c r="A194" s="3"/>
      <c r="B194" s="5" t="s">
        <v>231</v>
      </c>
      <c r="C194" s="3">
        <v>1</v>
      </c>
      <c r="D194" s="3">
        <v>4</v>
      </c>
      <c r="E194" s="59">
        <v>1.66</v>
      </c>
      <c r="F194" s="59">
        <v>0.6</v>
      </c>
      <c r="G194" s="679"/>
      <c r="H194" s="695">
        <f>F194*E194*D194*C194</f>
        <v>3.9839999999999995</v>
      </c>
    </row>
    <row r="195" spans="1:8" ht="27" customHeight="1">
      <c r="A195" s="3"/>
      <c r="B195" s="5" t="s">
        <v>232</v>
      </c>
      <c r="C195" s="3">
        <v>1</v>
      </c>
      <c r="D195" s="3">
        <v>2</v>
      </c>
      <c r="E195" s="59">
        <v>1.51</v>
      </c>
      <c r="F195" s="59">
        <v>0.6</v>
      </c>
      <c r="G195" s="679"/>
      <c r="H195" s="695">
        <f>F195*E195*D195*C195</f>
        <v>1.8119999999999998</v>
      </c>
    </row>
    <row r="196" spans="1:8" ht="27" customHeight="1">
      <c r="A196" s="3"/>
      <c r="B196" s="846"/>
      <c r="C196" s="846"/>
      <c r="D196" s="846"/>
      <c r="E196" s="4"/>
      <c r="F196" s="4"/>
      <c r="G196" s="59"/>
      <c r="H196" s="695">
        <v>0.03</v>
      </c>
    </row>
    <row r="197" spans="1:8" ht="27" customHeight="1">
      <c r="A197" s="3"/>
      <c r="B197" s="846"/>
      <c r="C197" s="846"/>
      <c r="D197" s="846"/>
      <c r="E197" s="4"/>
      <c r="F197" s="4"/>
      <c r="G197" s="72" t="s">
        <v>14</v>
      </c>
      <c r="H197" s="694">
        <f>SUM(H189:H196)</f>
        <v>37.550800000000002</v>
      </c>
    </row>
    <row r="198" spans="1:8" s="696" customFormat="1" ht="231" customHeight="1">
      <c r="A198" s="64"/>
      <c r="B198" s="970" t="s">
        <v>203</v>
      </c>
      <c r="C198" s="970"/>
      <c r="D198" s="970"/>
      <c r="E198" s="970"/>
      <c r="F198" s="970"/>
      <c r="G198" s="970"/>
      <c r="H198" s="695"/>
    </row>
    <row r="199" spans="1:8" ht="45.75" customHeight="1">
      <c r="A199" s="3"/>
      <c r="B199" s="846" t="s">
        <v>243</v>
      </c>
      <c r="C199" s="846">
        <v>1</v>
      </c>
      <c r="D199" s="846">
        <v>2</v>
      </c>
      <c r="E199" s="4"/>
      <c r="F199" s="4"/>
      <c r="G199" s="59"/>
      <c r="H199" s="695">
        <f>D199*C199</f>
        <v>2</v>
      </c>
    </row>
    <row r="200" spans="1:8" ht="154.5" customHeight="1">
      <c r="A200" s="36"/>
      <c r="B200" s="964" t="s">
        <v>204</v>
      </c>
      <c r="C200" s="964"/>
      <c r="D200" s="964"/>
      <c r="E200" s="964"/>
      <c r="F200" s="40"/>
      <c r="G200" s="72"/>
      <c r="H200" s="694"/>
    </row>
    <row r="201" spans="1:8" ht="27" customHeight="1">
      <c r="A201" s="36"/>
      <c r="B201" s="856" t="s">
        <v>144</v>
      </c>
      <c r="C201" s="856"/>
      <c r="D201" s="856"/>
      <c r="E201" s="855"/>
      <c r="F201" s="40"/>
      <c r="G201" s="72"/>
      <c r="H201" s="694"/>
    </row>
    <row r="202" spans="1:8" ht="27" customHeight="1">
      <c r="A202" s="36"/>
      <c r="B202" s="861" t="s">
        <v>145</v>
      </c>
      <c r="C202" s="861">
        <v>1</v>
      </c>
      <c r="D202" s="861">
        <v>4</v>
      </c>
      <c r="E202" s="677">
        <v>0.9</v>
      </c>
      <c r="F202" s="677"/>
      <c r="G202" s="72">
        <v>0.75</v>
      </c>
      <c r="H202" s="695">
        <f>PRODUCT(C202:G202)</f>
        <v>2.7</v>
      </c>
    </row>
    <row r="203" spans="1:8" ht="27" customHeight="1">
      <c r="A203" s="36"/>
      <c r="B203" s="37"/>
      <c r="C203" s="30"/>
      <c r="D203" s="30"/>
      <c r="E203" s="38"/>
      <c r="F203" s="38"/>
      <c r="G203" s="72" t="s">
        <v>14</v>
      </c>
      <c r="H203" s="694">
        <f>SUM(H202:H202)</f>
        <v>2.7</v>
      </c>
    </row>
    <row r="204" spans="1:8" ht="111.75" customHeight="1">
      <c r="A204" s="3"/>
      <c r="B204" s="971" t="s">
        <v>149</v>
      </c>
      <c r="C204" s="971"/>
      <c r="D204" s="971"/>
      <c r="E204" s="971"/>
      <c r="F204" s="971"/>
      <c r="G204" s="59"/>
      <c r="H204" s="695"/>
    </row>
    <row r="205" spans="1:8" ht="27" customHeight="1">
      <c r="A205" s="3"/>
      <c r="B205" s="13" t="s">
        <v>20</v>
      </c>
      <c r="C205" s="3"/>
      <c r="D205" s="3"/>
      <c r="E205" s="59"/>
      <c r="F205" s="59"/>
      <c r="G205" s="59"/>
      <c r="H205" s="695"/>
    </row>
    <row r="206" spans="1:8" ht="27" customHeight="1">
      <c r="A206" s="3"/>
      <c r="B206" s="2" t="s">
        <v>21</v>
      </c>
      <c r="C206" s="3">
        <v>1</v>
      </c>
      <c r="D206" s="3">
        <v>2</v>
      </c>
      <c r="E206" s="59">
        <v>0.1</v>
      </c>
      <c r="F206" s="59">
        <v>0.08</v>
      </c>
      <c r="G206" s="59">
        <v>2.1</v>
      </c>
      <c r="H206" s="836">
        <f>PRODUCT(C206:G206)</f>
        <v>3.3600000000000005E-2</v>
      </c>
    </row>
    <row r="207" spans="1:8" ht="27" customHeight="1">
      <c r="A207" s="3"/>
      <c r="B207" s="2"/>
      <c r="C207" s="3"/>
      <c r="D207" s="3"/>
      <c r="E207" s="59" t="s">
        <v>22</v>
      </c>
      <c r="F207" s="59"/>
      <c r="G207" s="72" t="s">
        <v>14</v>
      </c>
      <c r="H207" s="837">
        <f>SUM(H206:H206)</f>
        <v>3.3600000000000005E-2</v>
      </c>
    </row>
    <row r="208" spans="1:8" ht="27" customHeight="1">
      <c r="A208" s="3"/>
      <c r="B208" s="13" t="s">
        <v>23</v>
      </c>
      <c r="C208" s="3"/>
      <c r="D208" s="3"/>
      <c r="E208" s="59"/>
      <c r="F208" s="59"/>
      <c r="G208" s="72"/>
      <c r="H208" s="694"/>
    </row>
    <row r="209" spans="1:8" ht="27" customHeight="1">
      <c r="A209" s="3"/>
      <c r="B209" s="5" t="s">
        <v>24</v>
      </c>
      <c r="C209" s="3">
        <v>1</v>
      </c>
      <c r="D209" s="3">
        <v>1</v>
      </c>
      <c r="E209" s="59">
        <v>0.1</v>
      </c>
      <c r="F209" s="59">
        <v>0.08</v>
      </c>
      <c r="G209" s="59">
        <v>1.5</v>
      </c>
      <c r="H209" s="836">
        <f>PRODUCT(C209:G209)</f>
        <v>1.2E-2</v>
      </c>
    </row>
    <row r="210" spans="1:8" ht="27" customHeight="1">
      <c r="A210" s="3"/>
      <c r="B210" s="5" t="s">
        <v>25</v>
      </c>
      <c r="C210" s="3">
        <v>1</v>
      </c>
      <c r="D210" s="3">
        <v>1</v>
      </c>
      <c r="E210" s="59">
        <v>0.1</v>
      </c>
      <c r="F210" s="59">
        <v>0.05</v>
      </c>
      <c r="G210" s="59">
        <v>1.5</v>
      </c>
      <c r="H210" s="836">
        <f>PRODUCT(C210:G210)</f>
        <v>7.5000000000000015E-3</v>
      </c>
    </row>
    <row r="211" spans="1:8" ht="27" customHeight="1">
      <c r="A211" s="3"/>
      <c r="B211" s="5"/>
      <c r="C211" s="3"/>
      <c r="D211" s="3"/>
      <c r="E211" s="59"/>
      <c r="F211" s="59"/>
      <c r="G211" s="72" t="s">
        <v>14</v>
      </c>
      <c r="H211" s="837">
        <f>SUM(H209:H210)</f>
        <v>1.9500000000000003E-2</v>
      </c>
    </row>
    <row r="212" spans="1:8" ht="109.5" customHeight="1">
      <c r="A212" s="3"/>
      <c r="B212" s="971" t="s">
        <v>150</v>
      </c>
      <c r="C212" s="971"/>
      <c r="D212" s="971"/>
      <c r="E212" s="971"/>
      <c r="F212" s="971"/>
      <c r="G212" s="59"/>
      <c r="H212" s="695"/>
    </row>
    <row r="213" spans="1:8" ht="27" customHeight="1">
      <c r="A213" s="3"/>
      <c r="B213" s="8" t="s">
        <v>26</v>
      </c>
      <c r="C213" s="6">
        <v>1</v>
      </c>
      <c r="D213" s="6">
        <v>2</v>
      </c>
      <c r="E213" s="62"/>
      <c r="F213" s="62"/>
      <c r="G213" s="62"/>
      <c r="H213" s="819">
        <f>PRODUCT(C213:G213)</f>
        <v>2</v>
      </c>
    </row>
    <row r="214" spans="1:8" ht="27" customHeight="1">
      <c r="A214" s="3"/>
      <c r="B214" s="12"/>
      <c r="C214" s="17"/>
      <c r="D214" s="17"/>
      <c r="E214" s="61" t="s">
        <v>22</v>
      </c>
      <c r="F214" s="61"/>
      <c r="G214" s="61" t="s">
        <v>14</v>
      </c>
      <c r="H214" s="817">
        <f>SUM(H213:H213)</f>
        <v>2</v>
      </c>
    </row>
    <row r="215" spans="1:8" ht="51" customHeight="1">
      <c r="A215" s="3"/>
      <c r="B215" s="971" t="s">
        <v>151</v>
      </c>
      <c r="C215" s="971"/>
      <c r="D215" s="971"/>
      <c r="E215" s="971"/>
      <c r="F215" s="971"/>
      <c r="G215" s="59"/>
      <c r="H215" s="695"/>
    </row>
    <row r="216" spans="1:8" ht="27" customHeight="1">
      <c r="A216" s="3"/>
      <c r="B216" s="8" t="s">
        <v>27</v>
      </c>
      <c r="C216" s="6">
        <v>1</v>
      </c>
      <c r="D216" s="6">
        <v>6</v>
      </c>
      <c r="E216" s="62"/>
      <c r="F216" s="62"/>
      <c r="G216" s="62"/>
      <c r="H216" s="819">
        <f>PRODUCT(C216:G216)</f>
        <v>6</v>
      </c>
    </row>
    <row r="217" spans="1:8" ht="27" customHeight="1">
      <c r="A217" s="3"/>
      <c r="B217" s="8" t="s">
        <v>28</v>
      </c>
      <c r="C217" s="6">
        <v>2</v>
      </c>
      <c r="D217" s="6">
        <v>6</v>
      </c>
      <c r="E217" s="62" t="s">
        <v>22</v>
      </c>
      <c r="F217" s="62"/>
      <c r="G217" s="61"/>
      <c r="H217" s="819">
        <f>PRODUCT(C217:G217)</f>
        <v>12</v>
      </c>
    </row>
    <row r="218" spans="1:8" ht="27" customHeight="1">
      <c r="A218" s="3"/>
      <c r="B218" s="8"/>
      <c r="C218" s="6"/>
      <c r="D218" s="6"/>
      <c r="E218" s="62"/>
      <c r="F218" s="62"/>
      <c r="G218" s="61" t="s">
        <v>14</v>
      </c>
      <c r="H218" s="817">
        <f>SUM(H216:H217)</f>
        <v>18</v>
      </c>
    </row>
    <row r="219" spans="1:8" ht="98.25" customHeight="1">
      <c r="A219" s="3"/>
      <c r="B219" s="971" t="s">
        <v>152</v>
      </c>
      <c r="C219" s="972"/>
      <c r="D219" s="972"/>
      <c r="E219" s="972"/>
      <c r="F219" s="972"/>
      <c r="G219" s="59"/>
      <c r="H219" s="695"/>
    </row>
    <row r="220" spans="1:8" ht="27" customHeight="1">
      <c r="A220" s="3"/>
      <c r="B220" s="5" t="s">
        <v>19</v>
      </c>
      <c r="C220" s="3">
        <v>1</v>
      </c>
      <c r="D220" s="3">
        <v>1</v>
      </c>
      <c r="E220" s="59">
        <v>5.35</v>
      </c>
      <c r="F220" s="59">
        <v>1.2</v>
      </c>
      <c r="G220" s="59"/>
      <c r="H220" s="695">
        <f>PRODUCT(C220:G220)</f>
        <v>6.419999999999999</v>
      </c>
    </row>
    <row r="221" spans="1:8" ht="27" customHeight="1">
      <c r="A221" s="3"/>
      <c r="B221" s="5"/>
      <c r="C221" s="3"/>
      <c r="D221" s="3"/>
      <c r="E221" s="59"/>
      <c r="F221" s="59"/>
      <c r="G221" s="72" t="s">
        <v>14</v>
      </c>
      <c r="H221" s="817">
        <f>SUM(H220:H220)</f>
        <v>6.419999999999999</v>
      </c>
    </row>
    <row r="222" spans="1:8" ht="90" customHeight="1">
      <c r="A222" s="3"/>
      <c r="B222" s="971" t="s">
        <v>177</v>
      </c>
      <c r="C222" s="972"/>
      <c r="D222" s="972"/>
      <c r="E222" s="972"/>
      <c r="F222" s="972"/>
      <c r="G222" s="59"/>
      <c r="H222" s="695"/>
    </row>
    <row r="223" spans="1:8" ht="27" customHeight="1">
      <c r="A223" s="3"/>
      <c r="B223" s="49" t="s">
        <v>244</v>
      </c>
      <c r="C223" s="50"/>
      <c r="D223" s="50"/>
      <c r="E223" s="48"/>
      <c r="F223" s="48"/>
      <c r="G223" s="48"/>
      <c r="H223" s="833"/>
    </row>
    <row r="224" spans="1:8" ht="27" customHeight="1">
      <c r="A224" s="3"/>
      <c r="B224" s="46" t="s">
        <v>216</v>
      </c>
      <c r="C224" s="50">
        <v>1</v>
      </c>
      <c r="D224" s="50">
        <v>1</v>
      </c>
      <c r="E224" s="48">
        <v>2.4</v>
      </c>
      <c r="F224" s="48">
        <v>1.8</v>
      </c>
      <c r="G224" s="48"/>
      <c r="H224" s="833">
        <f t="shared" ref="H224:H230" si="20">PRODUCT(C224:G224)</f>
        <v>4.32</v>
      </c>
    </row>
    <row r="225" spans="1:8" ht="27" customHeight="1">
      <c r="A225" s="3"/>
      <c r="B225" s="46" t="s">
        <v>248</v>
      </c>
      <c r="C225" s="50">
        <v>1</v>
      </c>
      <c r="D225" s="50">
        <v>1</v>
      </c>
      <c r="E225" s="48">
        <v>5.0999999999999996</v>
      </c>
      <c r="F225" s="48">
        <v>7.51</v>
      </c>
      <c r="G225" s="48"/>
      <c r="H225" s="833">
        <f t="shared" si="20"/>
        <v>38.300999999999995</v>
      </c>
    </row>
    <row r="226" spans="1:8" ht="27" customHeight="1">
      <c r="A226" s="3"/>
      <c r="B226" s="46" t="s">
        <v>217</v>
      </c>
      <c r="C226" s="50">
        <v>1</v>
      </c>
      <c r="D226" s="50">
        <v>1</v>
      </c>
      <c r="E226" s="48">
        <v>1.8</v>
      </c>
      <c r="F226" s="48">
        <v>1.89</v>
      </c>
      <c r="G226" s="48"/>
      <c r="H226" s="833">
        <f t="shared" si="20"/>
        <v>3.4019999999999997</v>
      </c>
    </row>
    <row r="227" spans="1:8" ht="27" customHeight="1">
      <c r="A227" s="3"/>
      <c r="B227" s="46" t="s">
        <v>235</v>
      </c>
      <c r="C227" s="50">
        <v>1</v>
      </c>
      <c r="D227" s="50">
        <v>1</v>
      </c>
      <c r="E227" s="48">
        <v>1.8</v>
      </c>
      <c r="F227" s="48">
        <v>1.35</v>
      </c>
      <c r="G227" s="48"/>
      <c r="H227" s="833">
        <f t="shared" si="20"/>
        <v>2.4300000000000002</v>
      </c>
    </row>
    <row r="228" spans="1:8" ht="27" customHeight="1">
      <c r="A228" s="3"/>
      <c r="B228" s="46" t="s">
        <v>218</v>
      </c>
      <c r="C228" s="50">
        <v>1</v>
      </c>
      <c r="D228" s="50">
        <v>1</v>
      </c>
      <c r="E228" s="48">
        <v>1.8</v>
      </c>
      <c r="F228" s="48">
        <v>2.67</v>
      </c>
      <c r="G228" s="48"/>
      <c r="H228" s="833">
        <f t="shared" si="20"/>
        <v>4.806</v>
      </c>
    </row>
    <row r="229" spans="1:8" ht="27" customHeight="1">
      <c r="A229" s="3"/>
      <c r="B229" s="46" t="s">
        <v>245</v>
      </c>
      <c r="C229" s="50">
        <v>1</v>
      </c>
      <c r="D229" s="50">
        <v>1</v>
      </c>
      <c r="E229" s="48">
        <v>1.8</v>
      </c>
      <c r="F229" s="48">
        <v>1.35</v>
      </c>
      <c r="G229" s="48"/>
      <c r="H229" s="833">
        <f t="shared" si="20"/>
        <v>2.4300000000000002</v>
      </c>
    </row>
    <row r="230" spans="1:8" ht="27" customHeight="1">
      <c r="A230" s="3"/>
      <c r="B230" s="46" t="s">
        <v>246</v>
      </c>
      <c r="C230" s="50">
        <v>1</v>
      </c>
      <c r="D230" s="50">
        <v>2</v>
      </c>
      <c r="E230" s="48">
        <v>2.86</v>
      </c>
      <c r="F230" s="48">
        <v>0.9</v>
      </c>
      <c r="G230" s="48"/>
      <c r="H230" s="833">
        <f t="shared" si="20"/>
        <v>5.1479999999999997</v>
      </c>
    </row>
    <row r="231" spans="1:8" ht="27" customHeight="1">
      <c r="A231" s="3"/>
      <c r="B231" s="49" t="s">
        <v>247</v>
      </c>
      <c r="C231" s="50"/>
      <c r="D231" s="50"/>
      <c r="E231" s="48"/>
      <c r="F231" s="50"/>
      <c r="G231" s="48"/>
      <c r="H231" s="834"/>
    </row>
    <row r="232" spans="1:8" ht="27" customHeight="1">
      <c r="A232" s="3"/>
      <c r="B232" s="46" t="s">
        <v>228</v>
      </c>
      <c r="C232" s="50">
        <v>1</v>
      </c>
      <c r="D232" s="50">
        <v>4</v>
      </c>
      <c r="E232" s="48">
        <v>1.66</v>
      </c>
      <c r="F232" s="48">
        <v>0.6</v>
      </c>
      <c r="G232" s="50"/>
      <c r="H232" s="834">
        <f>F232*E232*D232*C232</f>
        <v>3.9839999999999995</v>
      </c>
    </row>
    <row r="233" spans="1:8" ht="27" customHeight="1">
      <c r="A233" s="3"/>
      <c r="B233" s="46" t="s">
        <v>229</v>
      </c>
      <c r="C233" s="50">
        <v>1</v>
      </c>
      <c r="D233" s="50">
        <v>2</v>
      </c>
      <c r="E233" s="48">
        <v>1.51</v>
      </c>
      <c r="F233" s="48">
        <v>0.6</v>
      </c>
      <c r="G233" s="50"/>
      <c r="H233" s="834">
        <f>F233*E233*D233*C233</f>
        <v>1.8119999999999998</v>
      </c>
    </row>
    <row r="234" spans="1:8" ht="27" customHeight="1">
      <c r="A234" s="3"/>
      <c r="B234" s="29"/>
      <c r="C234" s="30"/>
      <c r="D234" s="31"/>
      <c r="E234" s="32"/>
      <c r="F234" s="32"/>
      <c r="G234" s="32"/>
      <c r="H234" s="838">
        <v>7.0000000000000007E-2</v>
      </c>
    </row>
    <row r="235" spans="1:8" ht="27" customHeight="1">
      <c r="A235" s="3"/>
      <c r="B235" s="29"/>
      <c r="C235" s="30"/>
      <c r="D235" s="31"/>
      <c r="E235" s="32"/>
      <c r="F235" s="32"/>
      <c r="G235" s="860" t="s">
        <v>14</v>
      </c>
      <c r="H235" s="839">
        <f>SUM(H224:H234)</f>
        <v>66.702999999999975</v>
      </c>
    </row>
    <row r="236" spans="1:8" ht="89.25" customHeight="1">
      <c r="A236" s="3"/>
      <c r="B236" s="978" t="s">
        <v>174</v>
      </c>
      <c r="C236" s="974"/>
      <c r="D236" s="974"/>
      <c r="E236" s="974"/>
      <c r="F236" s="974"/>
      <c r="G236" s="32"/>
      <c r="H236" s="838"/>
    </row>
    <row r="237" spans="1:8" ht="27" customHeight="1">
      <c r="A237" s="3"/>
      <c r="B237" s="49" t="s">
        <v>249</v>
      </c>
      <c r="C237" s="67"/>
      <c r="D237" s="67"/>
      <c r="E237" s="68"/>
      <c r="F237" s="68"/>
      <c r="G237" s="68"/>
      <c r="H237" s="833"/>
    </row>
    <row r="238" spans="1:8" ht="27" customHeight="1">
      <c r="A238" s="3"/>
      <c r="B238" s="29" t="s">
        <v>90</v>
      </c>
      <c r="C238" s="30">
        <v>1</v>
      </c>
      <c r="D238" s="31">
        <v>1</v>
      </c>
      <c r="E238" s="32">
        <v>25.22</v>
      </c>
      <c r="F238" s="32"/>
      <c r="G238" s="32">
        <v>3.18</v>
      </c>
      <c r="H238" s="838">
        <f t="shared" ref="H238:H266" si="21">PRODUCT(C238:G238)</f>
        <v>80.199600000000004</v>
      </c>
    </row>
    <row r="239" spans="1:8" ht="27" customHeight="1">
      <c r="A239" s="3"/>
      <c r="B239" s="29" t="s">
        <v>86</v>
      </c>
      <c r="C239" s="30">
        <v>-1</v>
      </c>
      <c r="D239" s="31">
        <v>1</v>
      </c>
      <c r="E239" s="32">
        <v>1.5</v>
      </c>
      <c r="F239" s="32"/>
      <c r="G239" s="32">
        <v>2.1</v>
      </c>
      <c r="H239" s="838">
        <f t="shared" si="21"/>
        <v>-3.1500000000000004</v>
      </c>
    </row>
    <row r="240" spans="1:8" ht="27" customHeight="1">
      <c r="A240" s="3"/>
      <c r="B240" s="29" t="s">
        <v>91</v>
      </c>
      <c r="C240" s="30">
        <v>-2</v>
      </c>
      <c r="D240" s="31">
        <v>1</v>
      </c>
      <c r="E240" s="32">
        <v>0.9</v>
      </c>
      <c r="F240" s="32"/>
      <c r="G240" s="32">
        <v>2.1</v>
      </c>
      <c r="H240" s="838">
        <f t="shared" si="21"/>
        <v>-3.7800000000000002</v>
      </c>
    </row>
    <row r="241" spans="1:8" ht="27" customHeight="1">
      <c r="A241" s="3"/>
      <c r="B241" s="29" t="s">
        <v>92</v>
      </c>
      <c r="C241" s="30">
        <v>1</v>
      </c>
      <c r="D241" s="31">
        <v>1</v>
      </c>
      <c r="E241" s="32">
        <v>5.7</v>
      </c>
      <c r="F241" s="32">
        <v>0.23</v>
      </c>
      <c r="G241" s="32"/>
      <c r="H241" s="838">
        <f t="shared" si="21"/>
        <v>1.3110000000000002</v>
      </c>
    </row>
    <row r="242" spans="1:8" ht="27" customHeight="1">
      <c r="A242" s="3"/>
      <c r="B242" s="29" t="s">
        <v>87</v>
      </c>
      <c r="C242" s="30">
        <v>-1</v>
      </c>
      <c r="D242" s="31">
        <v>4</v>
      </c>
      <c r="E242" s="32">
        <v>1.2</v>
      </c>
      <c r="F242" s="32"/>
      <c r="G242" s="32">
        <v>1.35</v>
      </c>
      <c r="H242" s="838">
        <f t="shared" si="21"/>
        <v>-6.48</v>
      </c>
    </row>
    <row r="243" spans="1:8" ht="27" customHeight="1">
      <c r="A243" s="3"/>
      <c r="B243" s="29" t="s">
        <v>92</v>
      </c>
      <c r="C243" s="30">
        <v>1</v>
      </c>
      <c r="D243" s="31">
        <v>4</v>
      </c>
      <c r="E243" s="32">
        <v>5.0999999999999996</v>
      </c>
      <c r="F243" s="32">
        <v>0.23</v>
      </c>
      <c r="G243" s="32"/>
      <c r="H243" s="838">
        <f t="shared" si="21"/>
        <v>4.6920000000000002</v>
      </c>
    </row>
    <row r="244" spans="1:8" ht="27" customHeight="1">
      <c r="A244" s="3"/>
      <c r="B244" s="29" t="s">
        <v>88</v>
      </c>
      <c r="C244" s="30">
        <v>-1</v>
      </c>
      <c r="D244" s="31">
        <v>2</v>
      </c>
      <c r="E244" s="32">
        <v>1.05</v>
      </c>
      <c r="F244" s="32"/>
      <c r="G244" s="32">
        <v>1.35</v>
      </c>
      <c r="H244" s="838">
        <f t="shared" si="21"/>
        <v>-2.8350000000000004</v>
      </c>
    </row>
    <row r="245" spans="1:8" ht="27" customHeight="1">
      <c r="A245" s="3"/>
      <c r="B245" s="29" t="s">
        <v>92</v>
      </c>
      <c r="C245" s="30">
        <v>1</v>
      </c>
      <c r="D245" s="31">
        <v>2</v>
      </c>
      <c r="E245" s="32">
        <v>4.8</v>
      </c>
      <c r="F245" s="32">
        <v>0.23</v>
      </c>
      <c r="G245" s="32"/>
      <c r="H245" s="838">
        <f t="shared" si="21"/>
        <v>2.2080000000000002</v>
      </c>
    </row>
    <row r="246" spans="1:8" s="9" customFormat="1" ht="27" customHeight="1">
      <c r="A246" s="6"/>
      <c r="B246" s="29" t="s">
        <v>93</v>
      </c>
      <c r="C246" s="30">
        <v>2</v>
      </c>
      <c r="D246" s="31">
        <v>22</v>
      </c>
      <c r="E246" s="32">
        <v>0.6</v>
      </c>
      <c r="F246" s="32"/>
      <c r="G246" s="32">
        <v>2.1</v>
      </c>
      <c r="H246" s="838">
        <f t="shared" si="21"/>
        <v>55.44</v>
      </c>
    </row>
    <row r="247" spans="1:8" s="9" customFormat="1" ht="27" customHeight="1">
      <c r="A247" s="6"/>
      <c r="B247" s="29" t="s">
        <v>94</v>
      </c>
      <c r="C247" s="30">
        <v>1</v>
      </c>
      <c r="D247" s="31">
        <v>1</v>
      </c>
      <c r="E247" s="32">
        <v>7.31</v>
      </c>
      <c r="F247" s="32"/>
      <c r="G247" s="32">
        <v>3.18</v>
      </c>
      <c r="H247" s="838">
        <f t="shared" si="21"/>
        <v>23.245799999999999</v>
      </c>
    </row>
    <row r="248" spans="1:8" s="9" customFormat="1" ht="27" customHeight="1">
      <c r="A248" s="6"/>
      <c r="B248" s="29" t="s">
        <v>95</v>
      </c>
      <c r="C248" s="30">
        <v>-1</v>
      </c>
      <c r="D248" s="31">
        <v>1</v>
      </c>
      <c r="E248" s="32">
        <v>0.9</v>
      </c>
      <c r="F248" s="32"/>
      <c r="G248" s="32">
        <v>2.1</v>
      </c>
      <c r="H248" s="838">
        <f t="shared" si="21"/>
        <v>-1.8900000000000001</v>
      </c>
    </row>
    <row r="249" spans="1:8" ht="27" customHeight="1">
      <c r="A249" s="3"/>
      <c r="B249" s="29" t="s">
        <v>92</v>
      </c>
      <c r="C249" s="30">
        <v>1</v>
      </c>
      <c r="D249" s="31">
        <v>1</v>
      </c>
      <c r="E249" s="32">
        <v>5.0999999999999996</v>
      </c>
      <c r="F249" s="32">
        <v>0.23</v>
      </c>
      <c r="G249" s="32"/>
      <c r="H249" s="838">
        <f t="shared" si="21"/>
        <v>1.173</v>
      </c>
    </row>
    <row r="250" spans="1:8" ht="27" customHeight="1">
      <c r="A250" s="3"/>
      <c r="B250" s="29" t="s">
        <v>89</v>
      </c>
      <c r="C250" s="30">
        <v>-1</v>
      </c>
      <c r="D250" s="31">
        <v>1</v>
      </c>
      <c r="E250" s="32">
        <v>0.9</v>
      </c>
      <c r="F250" s="32"/>
      <c r="G250" s="32">
        <v>0.75</v>
      </c>
      <c r="H250" s="838">
        <f t="shared" si="21"/>
        <v>-0.67500000000000004</v>
      </c>
    </row>
    <row r="251" spans="1:8" ht="27" customHeight="1">
      <c r="A251" s="3"/>
      <c r="B251" s="29" t="s">
        <v>92</v>
      </c>
      <c r="C251" s="30">
        <v>1</v>
      </c>
      <c r="D251" s="31">
        <v>1</v>
      </c>
      <c r="E251" s="32">
        <v>3.3</v>
      </c>
      <c r="F251" s="32">
        <v>0.23</v>
      </c>
      <c r="G251" s="32"/>
      <c r="H251" s="838">
        <f t="shared" si="21"/>
        <v>0.75900000000000001</v>
      </c>
    </row>
    <row r="252" spans="1:8" ht="27" customHeight="1">
      <c r="A252" s="3"/>
      <c r="B252" s="29" t="s">
        <v>96</v>
      </c>
      <c r="C252" s="30">
        <v>1</v>
      </c>
      <c r="D252" s="31">
        <v>1</v>
      </c>
      <c r="E252" s="32">
        <v>6.3</v>
      </c>
      <c r="F252" s="32"/>
      <c r="G252" s="32">
        <v>3.18</v>
      </c>
      <c r="H252" s="838">
        <f t="shared" si="21"/>
        <v>20.033999999999999</v>
      </c>
    </row>
    <row r="253" spans="1:8" ht="27" customHeight="1">
      <c r="A253" s="3"/>
      <c r="B253" s="29" t="s">
        <v>89</v>
      </c>
      <c r="C253" s="30">
        <v>-1</v>
      </c>
      <c r="D253" s="31">
        <v>1</v>
      </c>
      <c r="E253" s="32">
        <v>0.9</v>
      </c>
      <c r="F253" s="32"/>
      <c r="G253" s="32">
        <v>0.75</v>
      </c>
      <c r="H253" s="838">
        <f t="shared" si="21"/>
        <v>-0.67500000000000004</v>
      </c>
    </row>
    <row r="254" spans="1:8" ht="27" customHeight="1">
      <c r="A254" s="3"/>
      <c r="B254" s="29" t="s">
        <v>92</v>
      </c>
      <c r="C254" s="30">
        <v>1</v>
      </c>
      <c r="D254" s="31">
        <v>1</v>
      </c>
      <c r="E254" s="32">
        <v>3.3</v>
      </c>
      <c r="F254" s="32">
        <v>0.23</v>
      </c>
      <c r="G254" s="32"/>
      <c r="H254" s="838">
        <f t="shared" si="21"/>
        <v>0.75900000000000001</v>
      </c>
    </row>
    <row r="255" spans="1:8" ht="27" customHeight="1">
      <c r="A255" s="3"/>
      <c r="B255" s="29" t="s">
        <v>97</v>
      </c>
      <c r="C255" s="30">
        <v>1</v>
      </c>
      <c r="D255" s="31">
        <v>1</v>
      </c>
      <c r="E255" s="32">
        <v>6.3</v>
      </c>
      <c r="F255" s="32"/>
      <c r="G255" s="32">
        <v>3.18</v>
      </c>
      <c r="H255" s="838">
        <f t="shared" si="21"/>
        <v>20.033999999999999</v>
      </c>
    </row>
    <row r="256" spans="1:8" ht="27" customHeight="1">
      <c r="A256" s="3"/>
      <c r="B256" s="29" t="s">
        <v>98</v>
      </c>
      <c r="C256" s="30">
        <v>-1</v>
      </c>
      <c r="D256" s="31">
        <v>1</v>
      </c>
      <c r="E256" s="32">
        <v>0.75</v>
      </c>
      <c r="F256" s="32"/>
      <c r="G256" s="32">
        <v>2.1</v>
      </c>
      <c r="H256" s="838">
        <f t="shared" si="21"/>
        <v>-1.5750000000000002</v>
      </c>
    </row>
    <row r="257" spans="1:8" ht="27" customHeight="1">
      <c r="A257" s="3"/>
      <c r="B257" s="29" t="s">
        <v>89</v>
      </c>
      <c r="C257" s="30">
        <v>-1</v>
      </c>
      <c r="D257" s="31">
        <v>1</v>
      </c>
      <c r="E257" s="32">
        <v>0.9</v>
      </c>
      <c r="F257" s="32"/>
      <c r="G257" s="32">
        <v>0.75</v>
      </c>
      <c r="H257" s="838">
        <f t="shared" si="21"/>
        <v>-0.67500000000000004</v>
      </c>
    </row>
    <row r="258" spans="1:8" ht="27" customHeight="1">
      <c r="A258" s="3"/>
      <c r="B258" s="29" t="s">
        <v>92</v>
      </c>
      <c r="C258" s="30">
        <v>1</v>
      </c>
      <c r="D258" s="31">
        <v>1</v>
      </c>
      <c r="E258" s="32">
        <v>3.3</v>
      </c>
      <c r="F258" s="32">
        <v>0.23</v>
      </c>
      <c r="G258" s="32"/>
      <c r="H258" s="838">
        <f t="shared" si="21"/>
        <v>0.75900000000000001</v>
      </c>
    </row>
    <row r="259" spans="1:8" s="34" customFormat="1" ht="27" customHeight="1">
      <c r="A259" s="849"/>
      <c r="B259" s="29" t="s">
        <v>99</v>
      </c>
      <c r="C259" s="30">
        <v>1</v>
      </c>
      <c r="D259" s="31">
        <v>1</v>
      </c>
      <c r="E259" s="32">
        <v>8.93</v>
      </c>
      <c r="F259" s="32"/>
      <c r="G259" s="32">
        <v>3.18</v>
      </c>
      <c r="H259" s="838">
        <f t="shared" si="21"/>
        <v>28.397400000000001</v>
      </c>
    </row>
    <row r="260" spans="1:8" ht="27" customHeight="1">
      <c r="A260" s="3"/>
      <c r="B260" s="29" t="s">
        <v>100</v>
      </c>
      <c r="C260" s="30">
        <v>-1</v>
      </c>
      <c r="D260" s="31">
        <v>1</v>
      </c>
      <c r="E260" s="32">
        <v>0.9</v>
      </c>
      <c r="F260" s="32"/>
      <c r="G260" s="32">
        <v>1.2</v>
      </c>
      <c r="H260" s="838">
        <f t="shared" si="21"/>
        <v>-1.08</v>
      </c>
    </row>
    <row r="261" spans="1:8" s="9" customFormat="1" ht="27" customHeight="1">
      <c r="A261" s="6"/>
      <c r="B261" s="29" t="s">
        <v>95</v>
      </c>
      <c r="C261" s="30">
        <v>-1</v>
      </c>
      <c r="D261" s="31">
        <v>1</v>
      </c>
      <c r="E261" s="32">
        <v>0.9</v>
      </c>
      <c r="F261" s="32"/>
      <c r="G261" s="32">
        <v>2.1</v>
      </c>
      <c r="H261" s="838">
        <f t="shared" si="21"/>
        <v>-1.8900000000000001</v>
      </c>
    </row>
    <row r="262" spans="1:8" s="9" customFormat="1" ht="27" customHeight="1">
      <c r="A262" s="6"/>
      <c r="B262" s="29" t="s">
        <v>101</v>
      </c>
      <c r="C262" s="30">
        <v>1</v>
      </c>
      <c r="D262" s="31">
        <v>1</v>
      </c>
      <c r="E262" s="32">
        <v>5.0999999999999996</v>
      </c>
      <c r="F262" s="32">
        <v>0.23</v>
      </c>
      <c r="G262" s="32"/>
      <c r="H262" s="838">
        <f t="shared" si="21"/>
        <v>1.173</v>
      </c>
    </row>
    <row r="263" spans="1:8" s="9" customFormat="1" ht="27" customHeight="1">
      <c r="A263" s="6"/>
      <c r="B263" s="29" t="s">
        <v>89</v>
      </c>
      <c r="C263" s="30">
        <v>-1</v>
      </c>
      <c r="D263" s="31">
        <v>1</v>
      </c>
      <c r="E263" s="32">
        <v>0.9</v>
      </c>
      <c r="F263" s="32"/>
      <c r="G263" s="32">
        <v>0.75</v>
      </c>
      <c r="H263" s="838">
        <f t="shared" si="21"/>
        <v>-0.67500000000000004</v>
      </c>
    </row>
    <row r="264" spans="1:8" s="9" customFormat="1" ht="27" customHeight="1">
      <c r="A264" s="6"/>
      <c r="B264" s="29" t="s">
        <v>92</v>
      </c>
      <c r="C264" s="30">
        <v>1</v>
      </c>
      <c r="D264" s="31">
        <v>1</v>
      </c>
      <c r="E264" s="32">
        <v>3.3</v>
      </c>
      <c r="F264" s="32">
        <v>0.23</v>
      </c>
      <c r="G264" s="32"/>
      <c r="H264" s="838">
        <f t="shared" si="21"/>
        <v>0.75900000000000001</v>
      </c>
    </row>
    <row r="265" spans="1:8" ht="27" customHeight="1">
      <c r="A265" s="3"/>
      <c r="B265" s="29" t="s">
        <v>102</v>
      </c>
      <c r="C265" s="30">
        <v>22</v>
      </c>
      <c r="D265" s="31">
        <v>2</v>
      </c>
      <c r="E265" s="32">
        <v>0.6</v>
      </c>
      <c r="F265" s="32"/>
      <c r="G265" s="32">
        <v>2.1</v>
      </c>
      <c r="H265" s="838">
        <f t="shared" si="21"/>
        <v>55.44</v>
      </c>
    </row>
    <row r="266" spans="1:8" ht="27" customHeight="1">
      <c r="A266" s="3"/>
      <c r="B266" s="29" t="s">
        <v>103</v>
      </c>
      <c r="C266" s="30">
        <v>2</v>
      </c>
      <c r="D266" s="31">
        <v>2</v>
      </c>
      <c r="E266" s="32">
        <v>1.6</v>
      </c>
      <c r="F266" s="32"/>
      <c r="G266" s="32">
        <v>1.2</v>
      </c>
      <c r="H266" s="838">
        <f t="shared" si="21"/>
        <v>7.68</v>
      </c>
    </row>
    <row r="267" spans="1:8" ht="27" customHeight="1">
      <c r="A267" s="3"/>
      <c r="B267" s="49"/>
      <c r="C267" s="50"/>
      <c r="D267" s="50"/>
      <c r="E267" s="50"/>
      <c r="F267" s="69"/>
      <c r="G267" s="68"/>
      <c r="H267" s="840">
        <f>SUM(H238:H266)</f>
        <v>278.68379999999991</v>
      </c>
    </row>
    <row r="268" spans="1:8" ht="27" customHeight="1">
      <c r="A268" s="3"/>
      <c r="B268" s="70" t="s">
        <v>251</v>
      </c>
      <c r="C268" s="30"/>
      <c r="D268" s="31"/>
      <c r="E268" s="32"/>
      <c r="F268" s="32"/>
      <c r="G268" s="32"/>
      <c r="H268" s="838"/>
    </row>
    <row r="269" spans="1:8" ht="27" customHeight="1">
      <c r="A269" s="3"/>
      <c r="B269" s="29" t="s">
        <v>83</v>
      </c>
      <c r="C269" s="30">
        <v>1</v>
      </c>
      <c r="D269" s="31">
        <v>1</v>
      </c>
      <c r="E269" s="32">
        <v>40.18</v>
      </c>
      <c r="F269" s="32"/>
      <c r="G269" s="32">
        <v>3.9</v>
      </c>
      <c r="H269" s="838">
        <f t="shared" ref="H269:H274" si="22">PRODUCT(C269:G269)</f>
        <v>156.702</v>
      </c>
    </row>
    <row r="270" spans="1:8" ht="27" customHeight="1">
      <c r="A270" s="3"/>
      <c r="B270" s="29" t="s">
        <v>84</v>
      </c>
      <c r="C270" s="30">
        <v>1</v>
      </c>
      <c r="D270" s="31">
        <v>1</v>
      </c>
      <c r="E270" s="32">
        <v>38.08</v>
      </c>
      <c r="F270" s="32"/>
      <c r="G270" s="32">
        <v>0.45</v>
      </c>
      <c r="H270" s="838">
        <f t="shared" si="22"/>
        <v>17.135999999999999</v>
      </c>
    </row>
    <row r="271" spans="1:8" ht="27" customHeight="1">
      <c r="A271" s="3"/>
      <c r="B271" s="29" t="s">
        <v>3498</v>
      </c>
      <c r="C271" s="30">
        <v>1</v>
      </c>
      <c r="D271" s="31">
        <v>1</v>
      </c>
      <c r="E271" s="32">
        <v>40.18</v>
      </c>
      <c r="F271" s="32">
        <v>0.12</v>
      </c>
      <c r="G271" s="32"/>
      <c r="H271" s="838">
        <f t="shared" si="22"/>
        <v>4.8216000000000001</v>
      </c>
    </row>
    <row r="272" spans="1:8" ht="27" customHeight="1">
      <c r="A272" s="3"/>
      <c r="B272" s="29" t="s">
        <v>252</v>
      </c>
      <c r="C272" s="30">
        <v>-1</v>
      </c>
      <c r="D272" s="31">
        <v>4</v>
      </c>
      <c r="E272" s="32">
        <v>1.2</v>
      </c>
      <c r="F272" s="32"/>
      <c r="G272" s="32">
        <v>1.2</v>
      </c>
      <c r="H272" s="838">
        <f t="shared" si="22"/>
        <v>-5.76</v>
      </c>
    </row>
    <row r="273" spans="1:9" ht="27" customHeight="1">
      <c r="A273" s="3"/>
      <c r="B273" s="29" t="s">
        <v>253</v>
      </c>
      <c r="C273" s="30">
        <v>-1</v>
      </c>
      <c r="D273" s="31">
        <v>2</v>
      </c>
      <c r="E273" s="32">
        <v>1.05</v>
      </c>
      <c r="F273" s="32"/>
      <c r="G273" s="32">
        <v>1.2</v>
      </c>
      <c r="H273" s="838">
        <f t="shared" si="22"/>
        <v>-2.52</v>
      </c>
    </row>
    <row r="274" spans="1:9" ht="27" customHeight="1">
      <c r="A274" s="3"/>
      <c r="B274" s="29" t="s">
        <v>145</v>
      </c>
      <c r="C274" s="30">
        <v>-1</v>
      </c>
      <c r="D274" s="31">
        <v>2</v>
      </c>
      <c r="E274" s="32">
        <v>0.9</v>
      </c>
      <c r="F274" s="32"/>
      <c r="G274" s="32">
        <v>0.75</v>
      </c>
      <c r="H274" s="838">
        <f t="shared" si="22"/>
        <v>-1.35</v>
      </c>
    </row>
    <row r="275" spans="1:9" ht="27" customHeight="1">
      <c r="A275" s="3"/>
      <c r="B275" s="29"/>
      <c r="C275" s="30"/>
      <c r="D275" s="31"/>
      <c r="E275" s="32"/>
      <c r="F275" s="32"/>
      <c r="G275" s="32"/>
      <c r="H275" s="838">
        <v>0.04</v>
      </c>
    </row>
    <row r="276" spans="1:9" ht="27" customHeight="1">
      <c r="A276" s="3"/>
      <c r="B276" s="29"/>
      <c r="C276" s="30"/>
      <c r="D276" s="31"/>
      <c r="E276" s="32"/>
      <c r="F276" s="979" t="s">
        <v>14</v>
      </c>
      <c r="G276" s="979"/>
      <c r="H276" s="839">
        <f>SUM(H267:H275)</f>
        <v>447.75339999999994</v>
      </c>
      <c r="I276" s="930"/>
    </row>
    <row r="277" spans="1:9" s="696" customFormat="1" ht="84" customHeight="1">
      <c r="A277" s="64"/>
      <c r="B277" s="975" t="s">
        <v>176</v>
      </c>
      <c r="C277" s="980"/>
      <c r="D277" s="980"/>
      <c r="E277" s="980"/>
      <c r="F277" s="980"/>
      <c r="G277" s="716"/>
      <c r="H277" s="838"/>
    </row>
    <row r="278" spans="1:9" ht="27" customHeight="1">
      <c r="A278" s="3"/>
      <c r="B278" s="46" t="s">
        <v>225</v>
      </c>
      <c r="C278" s="50">
        <v>1</v>
      </c>
      <c r="D278" s="50">
        <v>2</v>
      </c>
      <c r="E278" s="48">
        <v>2.4</v>
      </c>
      <c r="F278" s="48"/>
      <c r="G278" s="48">
        <v>0.75</v>
      </c>
      <c r="H278" s="833">
        <f>PRODUCT(C278:G278)</f>
        <v>3.5999999999999996</v>
      </c>
    </row>
    <row r="279" spans="1:9" ht="27" customHeight="1">
      <c r="A279" s="3"/>
      <c r="B279" s="52" t="s">
        <v>215</v>
      </c>
      <c r="C279" s="53"/>
      <c r="D279" s="53"/>
      <c r="E279" s="54"/>
      <c r="F279" s="54"/>
      <c r="G279" s="55"/>
      <c r="H279" s="834">
        <v>0.3</v>
      </c>
    </row>
    <row r="280" spans="1:9" ht="27" customHeight="1">
      <c r="A280" s="3"/>
      <c r="B280" s="66"/>
      <c r="C280" s="53"/>
      <c r="D280" s="53"/>
      <c r="E280" s="54"/>
      <c r="F280" s="979" t="s">
        <v>14</v>
      </c>
      <c r="G280" s="979"/>
      <c r="H280" s="835">
        <f>SUM(H278:H279)</f>
        <v>3.8999999999999995</v>
      </c>
    </row>
    <row r="281" spans="1:9" ht="63" customHeight="1">
      <c r="A281" s="3"/>
      <c r="B281" s="971" t="s">
        <v>178</v>
      </c>
      <c r="C281" s="972"/>
      <c r="D281" s="972"/>
      <c r="E281" s="972"/>
      <c r="F281" s="972"/>
      <c r="G281" s="59"/>
      <c r="H281" s="695"/>
    </row>
    <row r="282" spans="1:9" ht="27" customHeight="1">
      <c r="A282" s="3"/>
      <c r="B282" s="858" t="s">
        <v>104</v>
      </c>
      <c r="C282" s="6">
        <v>1</v>
      </c>
      <c r="D282" s="6">
        <v>1</v>
      </c>
      <c r="E282" s="62">
        <v>40.18</v>
      </c>
      <c r="F282" s="62"/>
      <c r="G282" s="62"/>
      <c r="H282" s="819">
        <f>PRODUCT(C282:G282)</f>
        <v>40.18</v>
      </c>
    </row>
    <row r="283" spans="1:9" ht="27" customHeight="1">
      <c r="A283" s="3"/>
      <c r="B283" s="10"/>
      <c r="C283" s="6"/>
      <c r="D283" s="6"/>
      <c r="E283" s="62"/>
      <c r="F283" s="62"/>
      <c r="G283" s="61" t="s">
        <v>14</v>
      </c>
      <c r="H283" s="817">
        <f>SUM(H282:H282)</f>
        <v>40.18</v>
      </c>
    </row>
    <row r="284" spans="1:9" ht="27" customHeight="1">
      <c r="A284" s="3"/>
      <c r="B284" s="858" t="s">
        <v>105</v>
      </c>
      <c r="C284" s="6">
        <v>1</v>
      </c>
      <c r="D284" s="6">
        <v>1</v>
      </c>
      <c r="E284" s="62">
        <v>40.18</v>
      </c>
      <c r="F284" s="62"/>
      <c r="G284" s="62"/>
      <c r="H284" s="819">
        <f>PRODUCT(C284:G284)</f>
        <v>40.18</v>
      </c>
    </row>
    <row r="285" spans="1:9" ht="27" customHeight="1">
      <c r="A285" s="3"/>
      <c r="B285" s="10"/>
      <c r="C285" s="6"/>
      <c r="D285" s="6"/>
      <c r="E285" s="62"/>
      <c r="F285" s="62"/>
      <c r="G285" s="61" t="s">
        <v>14</v>
      </c>
      <c r="H285" s="817">
        <f>SUM(H284:H284)</f>
        <v>40.18</v>
      </c>
    </row>
    <row r="286" spans="1:9" ht="82.5" customHeight="1">
      <c r="A286" s="3"/>
      <c r="B286" s="971" t="s">
        <v>171</v>
      </c>
      <c r="C286" s="972"/>
      <c r="D286" s="972"/>
      <c r="E286" s="972"/>
      <c r="F286" s="972"/>
      <c r="G286" s="59"/>
      <c r="H286" s="695"/>
    </row>
    <row r="287" spans="1:9" ht="27" customHeight="1">
      <c r="A287" s="3"/>
      <c r="B287" s="846" t="s">
        <v>81</v>
      </c>
      <c r="C287" s="3">
        <v>1</v>
      </c>
      <c r="D287" s="3">
        <v>2</v>
      </c>
      <c r="E287" s="59">
        <v>0.6</v>
      </c>
      <c r="F287" s="59">
        <v>0.6</v>
      </c>
      <c r="G287" s="59"/>
      <c r="H287" s="695">
        <f>PRODUCT(C287:G287)</f>
        <v>0.72</v>
      </c>
    </row>
    <row r="288" spans="1:9" ht="27" customHeight="1">
      <c r="A288" s="3"/>
      <c r="B288" s="5"/>
      <c r="C288" s="3"/>
      <c r="D288" s="3"/>
      <c r="E288" s="59"/>
      <c r="F288" s="59"/>
      <c r="G288" s="72" t="s">
        <v>14</v>
      </c>
      <c r="H288" s="817">
        <f>SUM(H287:H287)</f>
        <v>0.72</v>
      </c>
    </row>
    <row r="289" spans="1:8" s="696" customFormat="1" ht="43.5" customHeight="1">
      <c r="A289" s="64"/>
      <c r="B289" s="976" t="s">
        <v>78</v>
      </c>
      <c r="C289" s="977"/>
      <c r="D289" s="977"/>
      <c r="E289" s="977"/>
      <c r="F289" s="977"/>
      <c r="G289" s="694"/>
      <c r="H289" s="817"/>
    </row>
    <row r="290" spans="1:8" s="696" customFormat="1" ht="27" customHeight="1">
      <c r="A290" s="64"/>
      <c r="B290" s="850" t="s">
        <v>79</v>
      </c>
      <c r="C290" s="851"/>
      <c r="D290" s="851"/>
      <c r="E290" s="818"/>
      <c r="F290" s="818"/>
      <c r="G290" s="819"/>
      <c r="H290" s="819"/>
    </row>
    <row r="291" spans="1:8" s="696" customFormat="1" ht="27" customHeight="1">
      <c r="A291" s="64"/>
      <c r="B291" s="820" t="s">
        <v>80</v>
      </c>
      <c r="C291" s="821">
        <v>1</v>
      </c>
      <c r="D291" s="821">
        <v>1</v>
      </c>
      <c r="E291" s="819"/>
      <c r="F291" s="819"/>
      <c r="G291" s="819"/>
      <c r="H291" s="817">
        <f>PRODUCT(C291:G291)</f>
        <v>1</v>
      </c>
    </row>
    <row r="292" spans="1:8" ht="101.25" customHeight="1">
      <c r="A292" s="3"/>
      <c r="B292" s="971" t="s">
        <v>170</v>
      </c>
      <c r="C292" s="972"/>
      <c r="D292" s="972"/>
      <c r="E292" s="972"/>
      <c r="F292" s="972"/>
      <c r="G292" s="59"/>
      <c r="H292" s="695"/>
    </row>
    <row r="293" spans="1:8" ht="27" customHeight="1">
      <c r="A293" s="3"/>
      <c r="B293" s="846" t="s">
        <v>15</v>
      </c>
      <c r="C293" s="4">
        <v>1</v>
      </c>
      <c r="D293" s="4">
        <v>1</v>
      </c>
      <c r="E293" s="59">
        <v>7.51</v>
      </c>
      <c r="F293" s="59">
        <v>5.0999999999999996</v>
      </c>
      <c r="G293" s="929">
        <v>7.4999999999999997E-2</v>
      </c>
      <c r="H293" s="695">
        <f>PRODUCT(C293:G293)</f>
        <v>2.8725749999999994</v>
      </c>
    </row>
    <row r="294" spans="1:8" ht="27" customHeight="1">
      <c r="A294" s="3"/>
      <c r="B294" s="846" t="s">
        <v>16</v>
      </c>
      <c r="C294" s="4">
        <v>1</v>
      </c>
      <c r="D294" s="4">
        <v>1</v>
      </c>
      <c r="E294" s="59">
        <v>4.13</v>
      </c>
      <c r="F294" s="59">
        <v>1.8</v>
      </c>
      <c r="G294" s="929">
        <v>7.4999999999999997E-2</v>
      </c>
      <c r="H294" s="695">
        <f>PRODUCT(C294:G294)</f>
        <v>0.55754999999999999</v>
      </c>
    </row>
    <row r="295" spans="1:8" ht="27" customHeight="1">
      <c r="A295" s="3"/>
      <c r="B295" s="5" t="s">
        <v>17</v>
      </c>
      <c r="C295" s="3">
        <v>1</v>
      </c>
      <c r="D295" s="3">
        <v>1</v>
      </c>
      <c r="E295" s="59">
        <v>3.35</v>
      </c>
      <c r="F295" s="59">
        <v>1.8</v>
      </c>
      <c r="G295" s="929">
        <v>7.4999999999999997E-2</v>
      </c>
      <c r="H295" s="695">
        <f>PRODUCT(C295:G295)</f>
        <v>0.45224999999999999</v>
      </c>
    </row>
    <row r="296" spans="1:8" ht="27" customHeight="1">
      <c r="A296" s="3"/>
      <c r="B296" s="5" t="s">
        <v>18</v>
      </c>
      <c r="C296" s="3">
        <v>1</v>
      </c>
      <c r="D296" s="3">
        <v>1</v>
      </c>
      <c r="E296" s="59">
        <v>2.4</v>
      </c>
      <c r="F296" s="59">
        <v>1.8</v>
      </c>
      <c r="G296" s="929">
        <v>7.4999999999999997E-2</v>
      </c>
      <c r="H296" s="695">
        <f>PRODUCT(C296:G296)</f>
        <v>0.32400000000000001</v>
      </c>
    </row>
    <row r="297" spans="1:8" ht="27" customHeight="1">
      <c r="A297" s="3"/>
      <c r="B297" s="5" t="s">
        <v>19</v>
      </c>
      <c r="C297" s="3">
        <v>1</v>
      </c>
      <c r="D297" s="3">
        <v>1</v>
      </c>
      <c r="E297" s="59">
        <v>5.35</v>
      </c>
      <c r="F297" s="59">
        <v>1.2</v>
      </c>
      <c r="G297" s="929">
        <v>7.4999999999999997E-2</v>
      </c>
      <c r="H297" s="695">
        <f>PRODUCT(C297:G297)</f>
        <v>0.48149999999999993</v>
      </c>
    </row>
    <row r="298" spans="1:8" ht="27" customHeight="1">
      <c r="A298" s="3"/>
      <c r="B298" s="5" t="s">
        <v>215</v>
      </c>
      <c r="C298" s="3"/>
      <c r="D298" s="3"/>
      <c r="E298" s="59"/>
      <c r="F298" s="59"/>
      <c r="G298" s="929"/>
      <c r="H298" s="695">
        <v>0.01</v>
      </c>
    </row>
    <row r="299" spans="1:8" ht="27" customHeight="1">
      <c r="A299" s="3"/>
      <c r="B299" s="5"/>
      <c r="C299" s="3"/>
      <c r="D299" s="3"/>
      <c r="E299" s="59"/>
      <c r="F299" s="59"/>
      <c r="G299" s="72" t="s">
        <v>14</v>
      </c>
      <c r="H299" s="817">
        <f>SUM(H293:H298)</f>
        <v>4.6978749999999989</v>
      </c>
    </row>
    <row r="300" spans="1:8" ht="123" customHeight="1">
      <c r="A300" s="3"/>
      <c r="B300" s="971" t="s">
        <v>172</v>
      </c>
      <c r="C300" s="972"/>
      <c r="D300" s="972"/>
      <c r="E300" s="972"/>
      <c r="F300" s="972"/>
      <c r="G300" s="59"/>
      <c r="H300" s="695"/>
    </row>
    <row r="301" spans="1:8" ht="27" customHeight="1">
      <c r="A301" s="3"/>
      <c r="B301" s="52" t="s">
        <v>254</v>
      </c>
      <c r="C301" s="53">
        <v>1</v>
      </c>
      <c r="D301" s="53">
        <v>2</v>
      </c>
      <c r="E301" s="71">
        <f>1.8+1.8+1.35+1.35</f>
        <v>6.3000000000000007</v>
      </c>
      <c r="F301" s="54"/>
      <c r="G301" s="55">
        <v>1.5</v>
      </c>
      <c r="H301" s="834">
        <f>PRODUCT(C301:G301)</f>
        <v>18.900000000000002</v>
      </c>
    </row>
    <row r="302" spans="1:8" ht="27" customHeight="1">
      <c r="A302" s="3"/>
      <c r="B302" s="46" t="s">
        <v>255</v>
      </c>
      <c r="C302" s="50">
        <v>-1</v>
      </c>
      <c r="D302" s="50">
        <v>2</v>
      </c>
      <c r="E302" s="73">
        <v>0.75</v>
      </c>
      <c r="F302" s="50"/>
      <c r="G302" s="55">
        <v>1.5</v>
      </c>
      <c r="H302" s="833">
        <f>PRODUCT(C302:G302)</f>
        <v>-2.25</v>
      </c>
    </row>
    <row r="303" spans="1:8" ht="27" customHeight="1">
      <c r="A303" s="3"/>
      <c r="B303" s="46" t="s">
        <v>256</v>
      </c>
      <c r="C303" s="50">
        <v>1</v>
      </c>
      <c r="D303" s="50">
        <v>2</v>
      </c>
      <c r="E303" s="74">
        <v>2.665</v>
      </c>
      <c r="F303" s="50"/>
      <c r="G303" s="55">
        <v>1.5</v>
      </c>
      <c r="H303" s="833">
        <f>PRODUCT(C303:G303)</f>
        <v>7.9950000000000001</v>
      </c>
    </row>
    <row r="304" spans="1:8" ht="27" customHeight="1">
      <c r="A304" s="3"/>
      <c r="B304" s="52" t="s">
        <v>215</v>
      </c>
      <c r="C304" s="53"/>
      <c r="D304" s="53"/>
      <c r="E304" s="54"/>
      <c r="F304" s="54"/>
      <c r="G304" s="55"/>
      <c r="H304" s="834">
        <v>0.05</v>
      </c>
    </row>
    <row r="305" spans="1:8" ht="27" customHeight="1">
      <c r="A305" s="3"/>
      <c r="B305" s="52"/>
      <c r="C305" s="53"/>
      <c r="D305" s="53"/>
      <c r="E305" s="54"/>
      <c r="F305" s="973" t="s">
        <v>257</v>
      </c>
      <c r="G305" s="973"/>
      <c r="H305" s="835">
        <f>SUM(H301:H304)</f>
        <v>24.695000000000004</v>
      </c>
    </row>
    <row r="306" spans="1:8" ht="154.5" customHeight="1">
      <c r="A306" s="3"/>
      <c r="B306" s="971" t="s">
        <v>173</v>
      </c>
      <c r="C306" s="972"/>
      <c r="D306" s="972"/>
      <c r="E306" s="972"/>
      <c r="F306" s="972"/>
      <c r="G306" s="59"/>
      <c r="H306" s="695"/>
    </row>
    <row r="307" spans="1:8" ht="27" customHeight="1">
      <c r="A307" s="3"/>
      <c r="B307" s="846" t="s">
        <v>16</v>
      </c>
      <c r="C307" s="846">
        <v>1</v>
      </c>
      <c r="D307" s="846">
        <v>1</v>
      </c>
      <c r="E307" s="675">
        <v>1.8</v>
      </c>
      <c r="F307" s="675">
        <v>2.665</v>
      </c>
      <c r="G307" s="59"/>
      <c r="H307" s="695">
        <f>PRODUCT(C307:G307)</f>
        <v>4.7970000000000006</v>
      </c>
    </row>
    <row r="308" spans="1:8" s="35" customFormat="1" ht="27" customHeight="1">
      <c r="A308" s="3"/>
      <c r="B308" s="846" t="s">
        <v>82</v>
      </c>
      <c r="C308" s="846">
        <v>1</v>
      </c>
      <c r="D308" s="846">
        <v>1</v>
      </c>
      <c r="E308" s="675">
        <v>1.8</v>
      </c>
      <c r="F308" s="675">
        <v>1.35</v>
      </c>
      <c r="G308" s="59"/>
      <c r="H308" s="695">
        <f>PRODUCT(C308:G308)</f>
        <v>2.4300000000000002</v>
      </c>
    </row>
    <row r="309" spans="1:8" s="35" customFormat="1" ht="27" customHeight="1">
      <c r="A309" s="36"/>
      <c r="B309" s="846" t="s">
        <v>73</v>
      </c>
      <c r="C309" s="846">
        <v>1</v>
      </c>
      <c r="D309" s="846">
        <v>1</v>
      </c>
      <c r="E309" s="675">
        <v>1.8</v>
      </c>
      <c r="F309" s="675">
        <v>1.85</v>
      </c>
      <c r="G309" s="59"/>
      <c r="H309" s="695">
        <f>PRODUCT(C309:G309)</f>
        <v>3.33</v>
      </c>
    </row>
    <row r="310" spans="1:8" s="35" customFormat="1" ht="27" customHeight="1">
      <c r="A310" s="36"/>
      <c r="B310" s="846" t="s">
        <v>82</v>
      </c>
      <c r="C310" s="846">
        <v>1</v>
      </c>
      <c r="D310" s="846">
        <v>1</v>
      </c>
      <c r="E310" s="675">
        <v>1.8</v>
      </c>
      <c r="F310" s="675">
        <v>1.35</v>
      </c>
      <c r="G310" s="59"/>
      <c r="H310" s="695">
        <f>PRODUCT(C310:G310)</f>
        <v>2.4300000000000002</v>
      </c>
    </row>
    <row r="311" spans="1:8" s="35" customFormat="1" ht="27" customHeight="1">
      <c r="A311" s="36"/>
      <c r="B311" s="846"/>
      <c r="C311" s="846"/>
      <c r="D311" s="846"/>
      <c r="E311" s="675"/>
      <c r="F311" s="675"/>
      <c r="G311" s="59"/>
      <c r="H311" s="695">
        <v>0.01</v>
      </c>
    </row>
    <row r="312" spans="1:8" s="35" customFormat="1" ht="27" customHeight="1">
      <c r="A312" s="36"/>
      <c r="B312" s="5"/>
      <c r="C312" s="3"/>
      <c r="D312" s="3"/>
      <c r="E312" s="59"/>
      <c r="F312" s="59"/>
      <c r="G312" s="72" t="s">
        <v>14</v>
      </c>
      <c r="H312" s="817">
        <f>SUM(H307:H311)</f>
        <v>12.997</v>
      </c>
    </row>
    <row r="313" spans="1:8" s="35" customFormat="1" ht="160.5" customHeight="1">
      <c r="A313" s="36"/>
      <c r="B313" s="964" t="s">
        <v>200</v>
      </c>
      <c r="C313" s="964"/>
      <c r="D313" s="964"/>
      <c r="E313" s="964"/>
      <c r="F313" s="855"/>
      <c r="G313" s="72"/>
      <c r="H313" s="694"/>
    </row>
    <row r="314" spans="1:8" s="35" customFormat="1" ht="27" customHeight="1">
      <c r="A314" s="36"/>
      <c r="B314" s="49" t="s">
        <v>244</v>
      </c>
      <c r="C314" s="50"/>
      <c r="D314" s="50"/>
      <c r="E314" s="50"/>
      <c r="F314" s="50"/>
      <c r="G314" s="48"/>
      <c r="H314" s="833"/>
    </row>
    <row r="315" spans="1:8" s="35" customFormat="1" ht="27" customHeight="1">
      <c r="A315" s="36"/>
      <c r="B315" s="46" t="s">
        <v>216</v>
      </c>
      <c r="C315" s="50">
        <v>1</v>
      </c>
      <c r="D315" s="50">
        <v>1</v>
      </c>
      <c r="E315" s="48">
        <v>2.4</v>
      </c>
      <c r="F315" s="48">
        <v>1.8</v>
      </c>
      <c r="G315" s="48"/>
      <c r="H315" s="833">
        <f>F315*E315*D315*C315</f>
        <v>4.32</v>
      </c>
    </row>
    <row r="316" spans="1:8" s="35" customFormat="1" ht="27" customHeight="1">
      <c r="A316" s="36"/>
      <c r="B316" s="46" t="s">
        <v>258</v>
      </c>
      <c r="C316" s="50">
        <v>1</v>
      </c>
      <c r="D316" s="50">
        <v>2</v>
      </c>
      <c r="E316" s="48">
        <v>5.0999999999999996</v>
      </c>
      <c r="F316" s="48">
        <v>7.51</v>
      </c>
      <c r="G316" s="48"/>
      <c r="H316" s="833">
        <f>PRODUCT(C316:G316)</f>
        <v>76.60199999999999</v>
      </c>
    </row>
    <row r="317" spans="1:8" s="35" customFormat="1" ht="27" customHeight="1">
      <c r="A317" s="36"/>
      <c r="B317" s="46"/>
      <c r="C317" s="50"/>
      <c r="D317" s="50"/>
      <c r="E317" s="48"/>
      <c r="F317" s="48"/>
      <c r="G317" s="48"/>
      <c r="H317" s="833"/>
    </row>
    <row r="318" spans="1:8" s="35" customFormat="1" ht="27" customHeight="1">
      <c r="A318" s="36"/>
      <c r="B318" s="49" t="s">
        <v>259</v>
      </c>
      <c r="C318" s="50"/>
      <c r="D318" s="50"/>
      <c r="E318" s="48"/>
      <c r="F318" s="48"/>
      <c r="G318" s="48"/>
      <c r="H318" s="833"/>
    </row>
    <row r="319" spans="1:8" s="35" customFormat="1" ht="27" customHeight="1">
      <c r="A319" s="36"/>
      <c r="B319" s="46" t="s">
        <v>216</v>
      </c>
      <c r="C319" s="50">
        <v>1</v>
      </c>
      <c r="D319" s="50">
        <v>1</v>
      </c>
      <c r="E319" s="48">
        <v>8.4</v>
      </c>
      <c r="F319" s="48"/>
      <c r="G319" s="48">
        <v>0.1</v>
      </c>
      <c r="H319" s="833">
        <f>PRODUCT(C319:G319)</f>
        <v>0.84000000000000008</v>
      </c>
    </row>
    <row r="320" spans="1:8" s="35" customFormat="1" ht="27" customHeight="1">
      <c r="A320" s="36"/>
      <c r="B320" s="46" t="str">
        <f>B316</f>
        <v>Dining</v>
      </c>
      <c r="C320" s="50">
        <f>C316</f>
        <v>1</v>
      </c>
      <c r="D320" s="50">
        <f>D316</f>
        <v>2</v>
      </c>
      <c r="E320" s="48">
        <f>(E316+F316)*2</f>
        <v>25.22</v>
      </c>
      <c r="F320" s="48"/>
      <c r="G320" s="48">
        <v>0.1</v>
      </c>
      <c r="H320" s="833">
        <f>PRODUCT(C320:G320)</f>
        <v>5.0440000000000005</v>
      </c>
    </row>
    <row r="321" spans="1:8" s="35" customFormat="1" ht="27" customHeight="1">
      <c r="A321" s="36"/>
      <c r="B321" s="46" t="s">
        <v>3394</v>
      </c>
      <c r="C321" s="50">
        <v>-1</v>
      </c>
      <c r="D321" s="50">
        <v>2</v>
      </c>
      <c r="E321" s="48">
        <v>1.8</v>
      </c>
      <c r="F321" s="48"/>
      <c r="G321" s="48">
        <v>0.1</v>
      </c>
      <c r="H321" s="833">
        <f t="shared" ref="H321:H322" si="23">PRODUCT(C321:G321)</f>
        <v>-0.36000000000000004</v>
      </c>
    </row>
    <row r="322" spans="1:8" s="35" customFormat="1" ht="27" customHeight="1">
      <c r="A322" s="36"/>
      <c r="B322" s="46" t="s">
        <v>3395</v>
      </c>
      <c r="C322" s="50">
        <v>-1</v>
      </c>
      <c r="D322" s="50">
        <v>2</v>
      </c>
      <c r="E322" s="48">
        <v>0.9</v>
      </c>
      <c r="F322" s="48"/>
      <c r="G322" s="48">
        <v>0.1</v>
      </c>
      <c r="H322" s="833">
        <f t="shared" si="23"/>
        <v>-0.18000000000000002</v>
      </c>
    </row>
    <row r="323" spans="1:8" s="35" customFormat="1" ht="27" customHeight="1">
      <c r="A323" s="36"/>
      <c r="B323" s="37" t="s">
        <v>207</v>
      </c>
      <c r="C323" s="30"/>
      <c r="D323" s="30"/>
      <c r="E323" s="38"/>
      <c r="F323" s="38"/>
      <c r="G323" s="72"/>
      <c r="H323" s="694">
        <v>0.03</v>
      </c>
    </row>
    <row r="324" spans="1:8" s="35" customFormat="1" ht="27" customHeight="1">
      <c r="A324" s="36"/>
      <c r="B324" s="36"/>
      <c r="C324" s="36"/>
      <c r="D324" s="36"/>
      <c r="E324" s="40"/>
      <c r="F324" s="982" t="s">
        <v>14</v>
      </c>
      <c r="G324" s="982"/>
      <c r="H324" s="694">
        <f>SUM(H315:H323)</f>
        <v>86.295999999999992</v>
      </c>
    </row>
    <row r="325" spans="1:8" s="714" customFormat="1" ht="125.25" customHeight="1">
      <c r="A325" s="712"/>
      <c r="B325" s="969" t="s">
        <v>201</v>
      </c>
      <c r="C325" s="969"/>
      <c r="D325" s="969"/>
      <c r="E325" s="969"/>
      <c r="F325" s="716"/>
      <c r="G325" s="694"/>
      <c r="H325" s="695"/>
    </row>
    <row r="326" spans="1:8" s="714" customFormat="1" ht="27" customHeight="1">
      <c r="A326" s="712"/>
      <c r="B326" s="923" t="s">
        <v>260</v>
      </c>
      <c r="C326" s="841">
        <v>1</v>
      </c>
      <c r="D326" s="841">
        <v>6</v>
      </c>
      <c r="E326" s="833">
        <v>1.5</v>
      </c>
      <c r="F326" s="833">
        <v>0.45</v>
      </c>
      <c r="G326" s="833"/>
      <c r="H326" s="833">
        <f>PRODUCT(C326:G326)</f>
        <v>4.05</v>
      </c>
    </row>
    <row r="327" spans="1:8" s="714" customFormat="1" ht="27" customHeight="1">
      <c r="A327" s="712"/>
      <c r="B327" s="926" t="s">
        <v>215</v>
      </c>
      <c r="C327" s="927"/>
      <c r="D327" s="927"/>
      <c r="E327" s="834"/>
      <c r="F327" s="834"/>
      <c r="G327" s="928"/>
      <c r="H327" s="834">
        <v>0.05</v>
      </c>
    </row>
    <row r="328" spans="1:8" s="714" customFormat="1" ht="27" customHeight="1">
      <c r="A328" s="712"/>
      <c r="B328" s="926"/>
      <c r="C328" s="927"/>
      <c r="D328" s="927"/>
      <c r="E328" s="834"/>
      <c r="F328" s="983" t="s">
        <v>14</v>
      </c>
      <c r="G328" s="983"/>
      <c r="H328" s="835">
        <f>SUM(H326:H327)</f>
        <v>4.0999999999999996</v>
      </c>
    </row>
    <row r="329" spans="1:8" s="35" customFormat="1" ht="84.75" customHeight="1">
      <c r="A329" s="36"/>
      <c r="B329" s="981" t="s">
        <v>199</v>
      </c>
      <c r="C329" s="981"/>
      <c r="D329" s="981"/>
      <c r="E329" s="981"/>
      <c r="F329" s="981"/>
      <c r="G329" s="72"/>
      <c r="H329" s="694"/>
    </row>
    <row r="330" spans="1:8" s="35" customFormat="1" ht="27" customHeight="1">
      <c r="A330" s="36"/>
      <c r="B330" s="37" t="s">
        <v>142</v>
      </c>
      <c r="C330" s="30">
        <v>1</v>
      </c>
      <c r="D330" s="30">
        <v>1</v>
      </c>
      <c r="E330" s="31">
        <v>1</v>
      </c>
      <c r="F330" s="32"/>
      <c r="G330" s="59"/>
      <c r="H330" s="695">
        <f>PRODUCT(C330:G330)</f>
        <v>1</v>
      </c>
    </row>
    <row r="331" spans="1:8" s="35" customFormat="1" ht="27" customHeight="1">
      <c r="A331" s="36"/>
      <c r="B331" s="37" t="s">
        <v>143</v>
      </c>
      <c r="C331" s="30">
        <v>1</v>
      </c>
      <c r="D331" s="30">
        <v>1</v>
      </c>
      <c r="E331" s="30">
        <v>1</v>
      </c>
      <c r="F331" s="30"/>
      <c r="G331" s="59"/>
      <c r="H331" s="695">
        <f>PRODUCT(C331:G331)</f>
        <v>1</v>
      </c>
    </row>
    <row r="332" spans="1:8" s="35" customFormat="1" ht="27" customHeight="1">
      <c r="A332" s="36"/>
      <c r="B332" s="36"/>
      <c r="C332" s="36"/>
      <c r="D332" s="36"/>
      <c r="E332" s="40"/>
      <c r="F332" s="982" t="s">
        <v>14</v>
      </c>
      <c r="G332" s="982"/>
      <c r="H332" s="835">
        <f>SUM(H330:H331)</f>
        <v>2</v>
      </c>
    </row>
    <row r="333" spans="1:8" s="35" customFormat="1" ht="341.25" customHeight="1">
      <c r="A333" s="36"/>
      <c r="B333" s="964" t="s">
        <v>198</v>
      </c>
      <c r="C333" s="964"/>
      <c r="D333" s="964"/>
      <c r="E333" s="964"/>
      <c r="F333" s="964"/>
      <c r="G333" s="72"/>
      <c r="H333" s="695"/>
    </row>
    <row r="334" spans="1:8" s="35" customFormat="1" ht="27" customHeight="1">
      <c r="A334" s="36"/>
      <c r="B334" s="37" t="s">
        <v>140</v>
      </c>
      <c r="C334" s="30">
        <v>1</v>
      </c>
      <c r="D334" s="30">
        <v>1</v>
      </c>
      <c r="E334" s="32">
        <v>1.5</v>
      </c>
      <c r="F334" s="32">
        <v>2.25</v>
      </c>
      <c r="G334" s="59">
        <v>2.1</v>
      </c>
      <c r="H334" s="695">
        <f>PRODUCT(C334:G334)</f>
        <v>7.0875000000000004</v>
      </c>
    </row>
    <row r="335" spans="1:8" s="35" customFormat="1" ht="27" customHeight="1">
      <c r="A335" s="36"/>
      <c r="B335" s="37" t="s">
        <v>207</v>
      </c>
      <c r="C335" s="30"/>
      <c r="D335" s="30"/>
      <c r="E335" s="32"/>
      <c r="F335" s="32"/>
      <c r="G335" s="59"/>
      <c r="H335" s="695">
        <v>0.01</v>
      </c>
    </row>
    <row r="336" spans="1:8" s="35" customFormat="1" ht="27" customHeight="1">
      <c r="A336" s="36"/>
      <c r="B336" s="36"/>
      <c r="C336" s="36"/>
      <c r="D336" s="36"/>
      <c r="E336" s="40"/>
      <c r="F336" s="40"/>
      <c r="G336" s="72" t="s">
        <v>14</v>
      </c>
      <c r="H336" s="694">
        <f>SUM(H334:H335)</f>
        <v>7.0975000000000001</v>
      </c>
    </row>
    <row r="337" spans="1:8" s="714" customFormat="1" ht="95.25" customHeight="1">
      <c r="A337" s="712"/>
      <c r="B337" s="969" t="s">
        <v>138</v>
      </c>
      <c r="C337" s="969"/>
      <c r="D337" s="969"/>
      <c r="E337" s="969"/>
      <c r="F337" s="713"/>
      <c r="G337" s="694"/>
      <c r="H337" s="694"/>
    </row>
    <row r="338" spans="1:8" s="714" customFormat="1" ht="27" customHeight="1">
      <c r="A338" s="712"/>
      <c r="B338" s="970" t="s">
        <v>3503</v>
      </c>
      <c r="C338" s="970"/>
      <c r="D338" s="970"/>
      <c r="E338" s="970"/>
      <c r="F338" s="970"/>
      <c r="G338" s="694"/>
      <c r="H338" s="694"/>
    </row>
    <row r="339" spans="1:8" s="714" customFormat="1" ht="27" customHeight="1">
      <c r="A339" s="712"/>
      <c r="B339" s="715" t="s">
        <v>139</v>
      </c>
      <c r="C339" s="698">
        <v>1</v>
      </c>
      <c r="D339" s="698">
        <v>1</v>
      </c>
      <c r="E339" s="716">
        <v>4</v>
      </c>
      <c r="F339" s="716"/>
      <c r="G339" s="694"/>
      <c r="H339" s="695">
        <f>PRODUCT(C339:G339)</f>
        <v>4</v>
      </c>
    </row>
    <row r="340" spans="1:8" s="718" customFormat="1" ht="27" customHeight="1">
      <c r="A340" s="717"/>
      <c r="B340" s="715"/>
      <c r="C340" s="698"/>
      <c r="D340" s="698"/>
      <c r="E340" s="713"/>
      <c r="F340" s="713"/>
      <c r="G340" s="694" t="s">
        <v>14</v>
      </c>
      <c r="H340" s="694">
        <f>SUM(H339:H339)</f>
        <v>4</v>
      </c>
    </row>
    <row r="341" spans="1:8" s="15" customFormat="1" ht="63.75" customHeight="1">
      <c r="A341" s="6"/>
      <c r="B341" s="964" t="s">
        <v>137</v>
      </c>
      <c r="C341" s="964"/>
      <c r="D341" s="964"/>
      <c r="E341" s="964"/>
      <c r="F341" s="964"/>
      <c r="G341" s="72"/>
      <c r="H341" s="694"/>
    </row>
    <row r="342" spans="1:8" s="15" customFormat="1" ht="27" customHeight="1">
      <c r="A342" s="6"/>
      <c r="B342" s="37" t="s">
        <v>16</v>
      </c>
      <c r="C342" s="30">
        <v>1</v>
      </c>
      <c r="D342" s="30">
        <v>1</v>
      </c>
      <c r="E342" s="32">
        <v>1</v>
      </c>
      <c r="F342" s="32"/>
      <c r="G342" s="72"/>
      <c r="H342" s="695">
        <f>PRODUCT(C342:G342)</f>
        <v>1</v>
      </c>
    </row>
    <row r="343" spans="1:8" s="15" customFormat="1" ht="27" customHeight="1">
      <c r="A343" s="6"/>
      <c r="B343" s="37"/>
      <c r="C343" s="30"/>
      <c r="D343" s="30"/>
      <c r="E343" s="38"/>
      <c r="F343" s="38"/>
      <c r="G343" s="72" t="s">
        <v>14</v>
      </c>
      <c r="H343" s="694">
        <f>SUM(H342:H342)</f>
        <v>1</v>
      </c>
    </row>
    <row r="344" spans="1:8" s="15" customFormat="1" ht="66.75" customHeight="1">
      <c r="A344" s="3"/>
      <c r="B344" s="971" t="s">
        <v>3393</v>
      </c>
      <c r="C344" s="972"/>
      <c r="D344" s="972"/>
      <c r="E344" s="972"/>
      <c r="F344" s="972"/>
      <c r="G344" s="59"/>
      <c r="H344" s="695"/>
    </row>
    <row r="345" spans="1:8" s="35" customFormat="1" ht="27" customHeight="1">
      <c r="A345" s="3"/>
      <c r="B345" s="852" t="s">
        <v>76</v>
      </c>
      <c r="C345" s="846"/>
      <c r="D345" s="846"/>
      <c r="E345" s="4"/>
      <c r="F345" s="4"/>
      <c r="G345" s="59"/>
      <c r="H345" s="695"/>
    </row>
    <row r="346" spans="1:8" s="35" customFormat="1" ht="27" customHeight="1">
      <c r="A346" s="6"/>
      <c r="B346" s="10" t="s">
        <v>77</v>
      </c>
      <c r="C346" s="6">
        <v>1</v>
      </c>
      <c r="D346" s="6">
        <v>2</v>
      </c>
      <c r="E346" s="62">
        <v>0.9</v>
      </c>
      <c r="F346" s="62"/>
      <c r="G346" s="62">
        <v>2.1</v>
      </c>
      <c r="H346" s="817">
        <f>PRODUCT(C346:G346)</f>
        <v>3.7800000000000002</v>
      </c>
    </row>
    <row r="347" spans="1:8" s="35" customFormat="1" ht="27" customHeight="1">
      <c r="A347" s="36"/>
      <c r="B347" s="37" t="s">
        <v>207</v>
      </c>
      <c r="C347" s="30"/>
      <c r="D347" s="30"/>
      <c r="E347" s="32"/>
      <c r="F347" s="32"/>
      <c r="G347" s="72"/>
      <c r="H347" s="695">
        <v>0.02</v>
      </c>
    </row>
    <row r="348" spans="1:8" s="35" customFormat="1" ht="27" customHeight="1">
      <c r="A348" s="36"/>
      <c r="B348" s="37"/>
      <c r="C348" s="30"/>
      <c r="D348" s="30"/>
      <c r="E348" s="32"/>
      <c r="F348" s="32"/>
      <c r="G348" s="72" t="s">
        <v>14</v>
      </c>
      <c r="H348" s="694">
        <f>SUM(H346:H347)</f>
        <v>3.8000000000000003</v>
      </c>
    </row>
    <row r="349" spans="1:8" s="35" customFormat="1" ht="120" customHeight="1">
      <c r="A349" s="36"/>
      <c r="B349" s="971" t="s">
        <v>169</v>
      </c>
      <c r="C349" s="971"/>
      <c r="D349" s="971"/>
      <c r="E349" s="971"/>
      <c r="F349" s="971"/>
      <c r="G349" s="59"/>
      <c r="H349" s="695"/>
    </row>
    <row r="350" spans="1:8" ht="27" customHeight="1">
      <c r="A350" s="3"/>
      <c r="B350" s="27" t="s">
        <v>75</v>
      </c>
      <c r="C350" s="6">
        <v>1</v>
      </c>
      <c r="D350" s="28">
        <v>2</v>
      </c>
      <c r="E350" s="62">
        <v>0.75</v>
      </c>
      <c r="F350" s="6"/>
      <c r="G350" s="62">
        <v>2.1</v>
      </c>
      <c r="H350" s="817">
        <f>PRODUCT(C350:G350)</f>
        <v>3.1500000000000004</v>
      </c>
    </row>
    <row r="351" spans="1:8" s="35" customFormat="1" ht="27" customHeight="1">
      <c r="A351" s="40"/>
      <c r="B351" s="36" t="s">
        <v>207</v>
      </c>
      <c r="C351" s="36"/>
      <c r="D351" s="36"/>
      <c r="E351" s="40"/>
      <c r="F351" s="40"/>
      <c r="G351" s="59"/>
      <c r="H351" s="695">
        <v>0.05</v>
      </c>
    </row>
    <row r="352" spans="1:8" s="35" customFormat="1" ht="27" customHeight="1">
      <c r="A352" s="36"/>
      <c r="B352" s="41"/>
      <c r="C352" s="30"/>
      <c r="D352" s="30"/>
      <c r="E352" s="32"/>
      <c r="F352" s="32"/>
      <c r="G352" s="72" t="s">
        <v>14</v>
      </c>
      <c r="H352" s="694">
        <f>SUM(H350:H351)</f>
        <v>3.2</v>
      </c>
    </row>
    <row r="353" spans="1:8" s="35" customFormat="1" ht="228.75" customHeight="1">
      <c r="A353" s="36"/>
      <c r="B353" s="978" t="s">
        <v>164</v>
      </c>
      <c r="C353" s="974"/>
      <c r="D353" s="974"/>
      <c r="E353" s="974"/>
      <c r="F353" s="974"/>
      <c r="G353" s="674"/>
      <c r="H353" s="694"/>
    </row>
    <row r="354" spans="1:8" s="35" customFormat="1" ht="27" customHeight="1">
      <c r="A354" s="36"/>
      <c r="B354" s="859" t="s">
        <v>45</v>
      </c>
      <c r="C354" s="7">
        <v>1</v>
      </c>
      <c r="D354" s="7">
        <v>1</v>
      </c>
      <c r="E354" s="62">
        <v>7.74</v>
      </c>
      <c r="F354" s="62">
        <v>5.56</v>
      </c>
      <c r="G354" s="62"/>
      <c r="H354" s="819">
        <f>PRODUCT(C354:G354)</f>
        <v>43.034399999999998</v>
      </c>
    </row>
    <row r="355" spans="1:8" s="35" customFormat="1" ht="27" customHeight="1">
      <c r="A355" s="36"/>
      <c r="B355" s="859" t="s">
        <v>46</v>
      </c>
      <c r="C355" s="7">
        <v>1</v>
      </c>
      <c r="D355" s="7">
        <v>1</v>
      </c>
      <c r="E355" s="62">
        <v>8.06</v>
      </c>
      <c r="F355" s="62">
        <v>2.2599999999999998</v>
      </c>
      <c r="G355" s="62"/>
      <c r="H355" s="819">
        <f>PRODUCT(C355:G355)</f>
        <v>18.215599999999998</v>
      </c>
    </row>
    <row r="356" spans="1:8" s="35" customFormat="1" ht="27" customHeight="1">
      <c r="A356" s="36"/>
      <c r="B356" s="10" t="s">
        <v>18</v>
      </c>
      <c r="C356" s="6">
        <v>1</v>
      </c>
      <c r="D356" s="6">
        <v>1</v>
      </c>
      <c r="E356" s="62">
        <v>2.4</v>
      </c>
      <c r="F356" s="62">
        <v>1.8</v>
      </c>
      <c r="G356" s="62"/>
      <c r="H356" s="819">
        <f>PRODUCT(C356:G356)</f>
        <v>4.32</v>
      </c>
    </row>
    <row r="357" spans="1:8" s="35" customFormat="1" ht="27" customHeight="1">
      <c r="A357" s="36"/>
      <c r="B357" s="22"/>
      <c r="C357" s="6"/>
      <c r="D357" s="6"/>
      <c r="E357" s="62"/>
      <c r="F357" s="62"/>
      <c r="G357" s="61" t="s">
        <v>14</v>
      </c>
      <c r="H357" s="817">
        <f>SUM(H354:H356)</f>
        <v>65.569999999999993</v>
      </c>
    </row>
    <row r="358" spans="1:8" s="35" customFormat="1" ht="82.5" customHeight="1">
      <c r="A358" s="36"/>
      <c r="B358" s="972" t="s">
        <v>153</v>
      </c>
      <c r="C358" s="972"/>
      <c r="D358" s="972"/>
      <c r="E358" s="32"/>
      <c r="F358" s="32"/>
      <c r="G358" s="59"/>
      <c r="H358" s="695"/>
    </row>
    <row r="359" spans="1:8" s="35" customFormat="1" ht="27" customHeight="1">
      <c r="A359" s="36"/>
      <c r="B359" s="46" t="s">
        <v>216</v>
      </c>
      <c r="C359" s="50">
        <v>1</v>
      </c>
      <c r="D359" s="50">
        <v>1</v>
      </c>
      <c r="E359" s="48">
        <v>2.4</v>
      </c>
      <c r="F359" s="48">
        <v>1.8</v>
      </c>
      <c r="G359" s="48"/>
      <c r="H359" s="833">
        <f t="shared" ref="H359:H365" si="24">PRODUCT(C359:G359)</f>
        <v>4.32</v>
      </c>
    </row>
    <row r="360" spans="1:8" s="35" customFormat="1" ht="27" customHeight="1">
      <c r="A360" s="36"/>
      <c r="B360" s="46" t="s">
        <v>248</v>
      </c>
      <c r="C360" s="50">
        <v>1</v>
      </c>
      <c r="D360" s="50">
        <v>1</v>
      </c>
      <c r="E360" s="48">
        <v>5.0999999999999996</v>
      </c>
      <c r="F360" s="48">
        <v>7.51</v>
      </c>
      <c r="G360" s="48"/>
      <c r="H360" s="833">
        <f t="shared" si="24"/>
        <v>38.300999999999995</v>
      </c>
    </row>
    <row r="361" spans="1:8" s="35" customFormat="1" ht="27" customHeight="1">
      <c r="A361" s="36"/>
      <c r="B361" s="46" t="s">
        <v>217</v>
      </c>
      <c r="C361" s="50">
        <v>1</v>
      </c>
      <c r="D361" s="50">
        <v>1</v>
      </c>
      <c r="E361" s="48">
        <v>1.8</v>
      </c>
      <c r="F361" s="48">
        <v>1.89</v>
      </c>
      <c r="G361" s="48"/>
      <c r="H361" s="833">
        <f t="shared" si="24"/>
        <v>3.4019999999999997</v>
      </c>
    </row>
    <row r="362" spans="1:8" s="35" customFormat="1" ht="27" customHeight="1">
      <c r="A362" s="36"/>
      <c r="B362" s="46" t="s">
        <v>235</v>
      </c>
      <c r="C362" s="50">
        <v>1</v>
      </c>
      <c r="D362" s="50">
        <v>1</v>
      </c>
      <c r="E362" s="48">
        <v>1.8</v>
      </c>
      <c r="F362" s="48">
        <v>1.35</v>
      </c>
      <c r="G362" s="48"/>
      <c r="H362" s="833">
        <f t="shared" si="24"/>
        <v>2.4300000000000002</v>
      </c>
    </row>
    <row r="363" spans="1:8" s="35" customFormat="1" ht="27" customHeight="1">
      <c r="A363" s="36"/>
      <c r="B363" s="46" t="s">
        <v>218</v>
      </c>
      <c r="C363" s="50">
        <v>1</v>
      </c>
      <c r="D363" s="50">
        <v>1</v>
      </c>
      <c r="E363" s="48">
        <v>1.8</v>
      </c>
      <c r="F363" s="48">
        <v>2.67</v>
      </c>
      <c r="G363" s="48"/>
      <c r="H363" s="833">
        <f t="shared" si="24"/>
        <v>4.806</v>
      </c>
    </row>
    <row r="364" spans="1:8" s="35" customFormat="1" ht="27" customHeight="1">
      <c r="A364" s="36"/>
      <c r="B364" s="46" t="s">
        <v>245</v>
      </c>
      <c r="C364" s="50">
        <v>1</v>
      </c>
      <c r="D364" s="50">
        <v>1</v>
      </c>
      <c r="E364" s="48">
        <v>1.8</v>
      </c>
      <c r="F364" s="48">
        <v>1.35</v>
      </c>
      <c r="G364" s="48"/>
      <c r="H364" s="833">
        <f t="shared" si="24"/>
        <v>2.4300000000000002</v>
      </c>
    </row>
    <row r="365" spans="1:8" s="35" customFormat="1" ht="27" customHeight="1">
      <c r="A365" s="36"/>
      <c r="B365" s="46" t="s">
        <v>246</v>
      </c>
      <c r="C365" s="50">
        <v>1</v>
      </c>
      <c r="D365" s="50">
        <v>2</v>
      </c>
      <c r="E365" s="48">
        <v>2.86</v>
      </c>
      <c r="F365" s="48">
        <v>0.9</v>
      </c>
      <c r="G365" s="48"/>
      <c r="H365" s="833">
        <f t="shared" si="24"/>
        <v>5.1479999999999997</v>
      </c>
    </row>
    <row r="366" spans="1:8" s="43" customFormat="1" ht="27" customHeight="1">
      <c r="A366" s="863"/>
      <c r="B366" s="862"/>
      <c r="C366" s="863"/>
      <c r="D366" s="863"/>
      <c r="E366" s="676"/>
      <c r="F366" s="676"/>
      <c r="G366" s="61"/>
      <c r="H366" s="819">
        <v>0.06</v>
      </c>
    </row>
    <row r="367" spans="1:8" s="35" customFormat="1" ht="27" customHeight="1">
      <c r="A367" s="36"/>
      <c r="B367" s="44"/>
      <c r="C367" s="30"/>
      <c r="D367" s="30"/>
      <c r="E367" s="32"/>
      <c r="F367" s="32"/>
      <c r="G367" s="72" t="s">
        <v>14</v>
      </c>
      <c r="H367" s="694">
        <f>SUM(H359:H366)</f>
        <v>60.896999999999991</v>
      </c>
    </row>
    <row r="368" spans="1:8" s="35" customFormat="1" ht="139.5" customHeight="1">
      <c r="A368" s="36"/>
      <c r="B368" s="978" t="s">
        <v>154</v>
      </c>
      <c r="C368" s="974"/>
      <c r="D368" s="974"/>
      <c r="E368" s="974"/>
      <c r="F368" s="974"/>
      <c r="G368" s="674"/>
      <c r="H368" s="694"/>
    </row>
    <row r="369" spans="1:8" s="35" customFormat="1" ht="27" customHeight="1">
      <c r="A369" s="36"/>
      <c r="B369" s="20" t="s">
        <v>29</v>
      </c>
      <c r="C369" s="3">
        <v>1</v>
      </c>
      <c r="D369" s="3">
        <v>4</v>
      </c>
      <c r="E369" s="59">
        <v>1.2</v>
      </c>
      <c r="F369" s="59"/>
      <c r="G369" s="59">
        <v>1.35</v>
      </c>
      <c r="H369" s="695">
        <f>PRODUCT(C369:G369)</f>
        <v>6.48</v>
      </c>
    </row>
    <row r="370" spans="1:8" s="35" customFormat="1" ht="27" customHeight="1">
      <c r="A370" s="36"/>
      <c r="B370" s="20" t="s">
        <v>30</v>
      </c>
      <c r="C370" s="3">
        <v>1</v>
      </c>
      <c r="D370" s="3">
        <v>2</v>
      </c>
      <c r="E370" s="59">
        <v>1.05</v>
      </c>
      <c r="F370" s="59"/>
      <c r="G370" s="59">
        <v>1.35</v>
      </c>
      <c r="H370" s="695">
        <f>PRODUCT(C370:G370)</f>
        <v>2.8350000000000004</v>
      </c>
    </row>
    <row r="371" spans="1:8" s="35" customFormat="1" ht="27" customHeight="1">
      <c r="A371" s="36"/>
      <c r="B371" s="20"/>
      <c r="C371" s="3"/>
      <c r="D371" s="3"/>
      <c r="E371" s="59"/>
      <c r="F371" s="59"/>
      <c r="G371" s="72"/>
      <c r="H371" s="694">
        <f>SUM(H369:H370)</f>
        <v>9.3150000000000013</v>
      </c>
    </row>
    <row r="372" spans="1:8" s="35" customFormat="1" ht="27" customHeight="1">
      <c r="A372" s="36"/>
      <c r="B372" s="20" t="s">
        <v>3398</v>
      </c>
      <c r="C372" s="3"/>
      <c r="D372" s="3"/>
      <c r="E372" s="59">
        <f>H371</f>
        <v>9.3150000000000013</v>
      </c>
      <c r="F372" s="59">
        <v>20</v>
      </c>
      <c r="G372" s="72"/>
      <c r="H372" s="695">
        <f>PRODUCT(C372:G372)</f>
        <v>186.3</v>
      </c>
    </row>
    <row r="373" spans="1:8" s="35" customFormat="1" ht="27" customHeight="1">
      <c r="A373" s="36"/>
      <c r="B373" s="20"/>
      <c r="C373" s="3"/>
      <c r="D373" s="3"/>
      <c r="E373" s="59"/>
      <c r="F373" s="59"/>
      <c r="G373" s="72" t="s">
        <v>14</v>
      </c>
      <c r="H373" s="694">
        <f>SUM(H372)</f>
        <v>186.3</v>
      </c>
    </row>
    <row r="374" spans="1:8" s="35" customFormat="1" ht="129.75" customHeight="1">
      <c r="A374" s="36"/>
      <c r="B374" s="974" t="s">
        <v>155</v>
      </c>
      <c r="C374" s="974"/>
      <c r="D374" s="974"/>
      <c r="E374" s="974"/>
      <c r="F374" s="974"/>
      <c r="G374" s="674"/>
      <c r="H374" s="694"/>
    </row>
    <row r="375" spans="1:8" s="35" customFormat="1" ht="27" customHeight="1">
      <c r="A375" s="36"/>
      <c r="B375" s="854"/>
      <c r="C375" s="854"/>
      <c r="D375" s="854"/>
      <c r="E375" s="674"/>
      <c r="F375" s="21" t="s">
        <v>32</v>
      </c>
      <c r="G375" s="674"/>
      <c r="H375" s="694"/>
    </row>
    <row r="376" spans="1:8" s="35" customFormat="1" ht="27" customHeight="1">
      <c r="A376" s="36"/>
      <c r="B376" s="22" t="s">
        <v>33</v>
      </c>
      <c r="C376" s="6">
        <v>1</v>
      </c>
      <c r="D376" s="6">
        <v>2</v>
      </c>
      <c r="E376" s="62">
        <v>0.9</v>
      </c>
      <c r="F376" s="62">
        <v>2.6</v>
      </c>
      <c r="G376" s="62">
        <v>2.1</v>
      </c>
      <c r="H376" s="819">
        <f>PRODUCT(C376:G376)</f>
        <v>9.8280000000000012</v>
      </c>
    </row>
    <row r="377" spans="1:8" s="35" customFormat="1" ht="27" customHeight="1">
      <c r="A377" s="36"/>
      <c r="B377" s="22" t="s">
        <v>207</v>
      </c>
      <c r="C377" s="6"/>
      <c r="D377" s="6"/>
      <c r="E377" s="62"/>
      <c r="F377" s="62"/>
      <c r="G377" s="62"/>
      <c r="H377" s="819">
        <v>7.0000000000000007E-2</v>
      </c>
    </row>
    <row r="378" spans="1:8" s="35" customFormat="1" ht="27" customHeight="1">
      <c r="A378" s="36"/>
      <c r="B378" s="22"/>
      <c r="C378" s="6"/>
      <c r="D378" s="6"/>
      <c r="E378" s="62"/>
      <c r="F378" s="62"/>
      <c r="G378" s="61" t="s">
        <v>14</v>
      </c>
      <c r="H378" s="817">
        <f>SUM(H376:H377)</f>
        <v>9.8980000000000015</v>
      </c>
    </row>
    <row r="379" spans="1:8" s="35" customFormat="1" ht="123" customHeight="1">
      <c r="A379" s="36"/>
      <c r="B379" s="978" t="s">
        <v>156</v>
      </c>
      <c r="C379" s="974"/>
      <c r="D379" s="974"/>
      <c r="E379" s="974"/>
      <c r="F379" s="974"/>
      <c r="G379" s="674"/>
      <c r="H379" s="694"/>
    </row>
    <row r="380" spans="1:8" s="35" customFormat="1" ht="27" customHeight="1">
      <c r="A380" s="36"/>
      <c r="B380" s="854"/>
      <c r="C380" s="854"/>
      <c r="D380" s="854"/>
      <c r="E380" s="674"/>
      <c r="F380" s="21" t="s">
        <v>34</v>
      </c>
      <c r="G380" s="674"/>
      <c r="H380" s="694"/>
    </row>
    <row r="381" spans="1:8" s="35" customFormat="1" ht="27" customHeight="1">
      <c r="A381" s="36"/>
      <c r="B381" s="22" t="s">
        <v>29</v>
      </c>
      <c r="C381" s="6">
        <v>1</v>
      </c>
      <c r="D381" s="6">
        <v>4</v>
      </c>
      <c r="E381" s="62">
        <v>1.2</v>
      </c>
      <c r="F381" s="62">
        <v>1</v>
      </c>
      <c r="G381" s="62">
        <v>1.35</v>
      </c>
      <c r="H381" s="819">
        <f>PRODUCT(C381:G381)</f>
        <v>6.48</v>
      </c>
    </row>
    <row r="382" spans="1:8" s="35" customFormat="1" ht="27" customHeight="1">
      <c r="A382" s="36"/>
      <c r="B382" s="22" t="s">
        <v>35</v>
      </c>
      <c r="C382" s="6">
        <v>1</v>
      </c>
      <c r="D382" s="6">
        <v>2</v>
      </c>
      <c r="E382" s="62">
        <v>1.05</v>
      </c>
      <c r="F382" s="62">
        <v>1</v>
      </c>
      <c r="G382" s="62">
        <v>1.35</v>
      </c>
      <c r="H382" s="819">
        <f>PRODUCT(C382:G382)</f>
        <v>2.8350000000000004</v>
      </c>
    </row>
    <row r="383" spans="1:8" s="35" customFormat="1" ht="27" customHeight="1">
      <c r="A383" s="36"/>
      <c r="B383" s="22"/>
      <c r="C383" s="6"/>
      <c r="D383" s="6"/>
      <c r="E383" s="62"/>
      <c r="F383" s="62"/>
      <c r="G383" s="61" t="s">
        <v>14</v>
      </c>
      <c r="H383" s="817">
        <f>SUM(H381:H382)</f>
        <v>9.3150000000000013</v>
      </c>
    </row>
    <row r="384" spans="1:8" s="35" customFormat="1" ht="119.25" customHeight="1">
      <c r="A384" s="36"/>
      <c r="B384" s="964" t="s">
        <v>202</v>
      </c>
      <c r="C384" s="964"/>
      <c r="D384" s="964"/>
      <c r="E384" s="964"/>
      <c r="F384" s="964"/>
      <c r="G384" s="72"/>
      <c r="H384" s="695"/>
    </row>
    <row r="385" spans="1:8" s="35" customFormat="1" ht="27" customHeight="1">
      <c r="A385" s="36"/>
      <c r="B385" s="29" t="s">
        <v>90</v>
      </c>
      <c r="C385" s="30">
        <v>1</v>
      </c>
      <c r="D385" s="31">
        <v>1</v>
      </c>
      <c r="E385" s="32">
        <v>25.22</v>
      </c>
      <c r="F385" s="32"/>
      <c r="G385" s="32">
        <v>3.18</v>
      </c>
      <c r="H385" s="838">
        <f t="shared" ref="H385:H413" si="25">PRODUCT(C385:G385)</f>
        <v>80.199600000000004</v>
      </c>
    </row>
    <row r="386" spans="1:8" s="35" customFormat="1" ht="27" customHeight="1">
      <c r="A386" s="36"/>
      <c r="B386" s="29" t="s">
        <v>86</v>
      </c>
      <c r="C386" s="30">
        <v>-1</v>
      </c>
      <c r="D386" s="31">
        <v>1</v>
      </c>
      <c r="E386" s="32">
        <v>1.5</v>
      </c>
      <c r="F386" s="32"/>
      <c r="G386" s="32">
        <v>2.1</v>
      </c>
      <c r="H386" s="838">
        <f t="shared" si="25"/>
        <v>-3.1500000000000004</v>
      </c>
    </row>
    <row r="387" spans="1:8" s="35" customFormat="1" ht="27" customHeight="1">
      <c r="A387" s="36"/>
      <c r="B387" s="29" t="s">
        <v>91</v>
      </c>
      <c r="C387" s="30">
        <v>-2</v>
      </c>
      <c r="D387" s="31">
        <v>1</v>
      </c>
      <c r="E387" s="32">
        <v>0.9</v>
      </c>
      <c r="F387" s="32"/>
      <c r="G387" s="32">
        <v>2.1</v>
      </c>
      <c r="H387" s="838">
        <f t="shared" si="25"/>
        <v>-3.7800000000000002</v>
      </c>
    </row>
    <row r="388" spans="1:8" s="35" customFormat="1" ht="27" customHeight="1">
      <c r="A388" s="36"/>
      <c r="B388" s="29" t="s">
        <v>92</v>
      </c>
      <c r="C388" s="30">
        <v>1</v>
      </c>
      <c r="D388" s="31">
        <v>1</v>
      </c>
      <c r="E388" s="32">
        <v>5.7</v>
      </c>
      <c r="F388" s="32">
        <v>0.23</v>
      </c>
      <c r="G388" s="32"/>
      <c r="H388" s="838">
        <f t="shared" si="25"/>
        <v>1.3110000000000002</v>
      </c>
    </row>
    <row r="389" spans="1:8" s="35" customFormat="1" ht="27" customHeight="1">
      <c r="A389" s="36"/>
      <c r="B389" s="29" t="s">
        <v>87</v>
      </c>
      <c r="C389" s="30">
        <v>-1</v>
      </c>
      <c r="D389" s="31">
        <v>4</v>
      </c>
      <c r="E389" s="32">
        <v>1.2</v>
      </c>
      <c r="F389" s="32"/>
      <c r="G389" s="32">
        <v>1.35</v>
      </c>
      <c r="H389" s="838">
        <f t="shared" si="25"/>
        <v>-6.48</v>
      </c>
    </row>
    <row r="390" spans="1:8" s="35" customFormat="1" ht="27" customHeight="1">
      <c r="A390" s="36"/>
      <c r="B390" s="29" t="s">
        <v>92</v>
      </c>
      <c r="C390" s="30">
        <v>1</v>
      </c>
      <c r="D390" s="31">
        <v>4</v>
      </c>
      <c r="E390" s="32">
        <v>5.0999999999999996</v>
      </c>
      <c r="F390" s="32">
        <v>0.23</v>
      </c>
      <c r="G390" s="32"/>
      <c r="H390" s="838">
        <f t="shared" si="25"/>
        <v>4.6920000000000002</v>
      </c>
    </row>
    <row r="391" spans="1:8" s="35" customFormat="1" ht="27" customHeight="1">
      <c r="A391" s="36"/>
      <c r="B391" s="29" t="s">
        <v>88</v>
      </c>
      <c r="C391" s="30">
        <v>-1</v>
      </c>
      <c r="D391" s="31">
        <v>2</v>
      </c>
      <c r="E391" s="32">
        <v>1.05</v>
      </c>
      <c r="F391" s="32"/>
      <c r="G391" s="32">
        <v>1.35</v>
      </c>
      <c r="H391" s="838">
        <f t="shared" si="25"/>
        <v>-2.8350000000000004</v>
      </c>
    </row>
    <row r="392" spans="1:8" s="35" customFormat="1" ht="27" customHeight="1">
      <c r="A392" s="36"/>
      <c r="B392" s="29" t="s">
        <v>92</v>
      </c>
      <c r="C392" s="30">
        <v>1</v>
      </c>
      <c r="D392" s="31">
        <v>2</v>
      </c>
      <c r="E392" s="32">
        <v>4.8</v>
      </c>
      <c r="F392" s="32">
        <v>0.23</v>
      </c>
      <c r="G392" s="32"/>
      <c r="H392" s="838">
        <f t="shared" si="25"/>
        <v>2.2080000000000002</v>
      </c>
    </row>
    <row r="393" spans="1:8" s="35" customFormat="1" ht="27" customHeight="1">
      <c r="A393" s="36"/>
      <c r="B393" s="29" t="s">
        <v>93</v>
      </c>
      <c r="C393" s="30">
        <v>2</v>
      </c>
      <c r="D393" s="31">
        <v>22</v>
      </c>
      <c r="E393" s="32">
        <v>0.6</v>
      </c>
      <c r="F393" s="32"/>
      <c r="G393" s="32">
        <v>2.1</v>
      </c>
      <c r="H393" s="838">
        <f t="shared" si="25"/>
        <v>55.44</v>
      </c>
    </row>
    <row r="394" spans="1:8" s="35" customFormat="1" ht="27" customHeight="1">
      <c r="A394" s="36"/>
      <c r="B394" s="29" t="s">
        <v>94</v>
      </c>
      <c r="C394" s="30">
        <v>1</v>
      </c>
      <c r="D394" s="31">
        <v>1</v>
      </c>
      <c r="E394" s="32">
        <v>7.31</v>
      </c>
      <c r="F394" s="32"/>
      <c r="G394" s="32">
        <v>3.18</v>
      </c>
      <c r="H394" s="838">
        <f t="shared" si="25"/>
        <v>23.245799999999999</v>
      </c>
    </row>
    <row r="395" spans="1:8" s="35" customFormat="1" ht="27" customHeight="1">
      <c r="A395" s="36"/>
      <c r="B395" s="29" t="s">
        <v>95</v>
      </c>
      <c r="C395" s="30">
        <v>-1</v>
      </c>
      <c r="D395" s="31">
        <v>1</v>
      </c>
      <c r="E395" s="32">
        <v>0.9</v>
      </c>
      <c r="F395" s="32"/>
      <c r="G395" s="32">
        <v>2.1</v>
      </c>
      <c r="H395" s="838">
        <f t="shared" si="25"/>
        <v>-1.8900000000000001</v>
      </c>
    </row>
    <row r="396" spans="1:8" s="35" customFormat="1" ht="27" customHeight="1">
      <c r="A396" s="36"/>
      <c r="B396" s="29" t="s">
        <v>92</v>
      </c>
      <c r="C396" s="30">
        <v>1</v>
      </c>
      <c r="D396" s="31">
        <v>1</v>
      </c>
      <c r="E396" s="32">
        <v>5.0999999999999996</v>
      </c>
      <c r="F396" s="32">
        <v>0.23</v>
      </c>
      <c r="G396" s="32"/>
      <c r="H396" s="838">
        <f t="shared" si="25"/>
        <v>1.173</v>
      </c>
    </row>
    <row r="397" spans="1:8" s="35" customFormat="1" ht="27" customHeight="1">
      <c r="A397" s="36"/>
      <c r="B397" s="29" t="s">
        <v>89</v>
      </c>
      <c r="C397" s="30">
        <v>-1</v>
      </c>
      <c r="D397" s="31">
        <v>1</v>
      </c>
      <c r="E397" s="32">
        <v>0.9</v>
      </c>
      <c r="F397" s="32"/>
      <c r="G397" s="32">
        <v>0.75</v>
      </c>
      <c r="H397" s="838">
        <f t="shared" si="25"/>
        <v>-0.67500000000000004</v>
      </c>
    </row>
    <row r="398" spans="1:8" s="35" customFormat="1" ht="27" customHeight="1">
      <c r="A398" s="36"/>
      <c r="B398" s="29" t="s">
        <v>92</v>
      </c>
      <c r="C398" s="30">
        <v>1</v>
      </c>
      <c r="D398" s="31">
        <v>1</v>
      </c>
      <c r="E398" s="32">
        <v>3.3</v>
      </c>
      <c r="F398" s="32">
        <v>0.23</v>
      </c>
      <c r="G398" s="32"/>
      <c r="H398" s="838">
        <f t="shared" si="25"/>
        <v>0.75900000000000001</v>
      </c>
    </row>
    <row r="399" spans="1:8" s="35" customFormat="1" ht="27" customHeight="1">
      <c r="A399" s="36"/>
      <c r="B399" s="29" t="s">
        <v>96</v>
      </c>
      <c r="C399" s="30">
        <v>1</v>
      </c>
      <c r="D399" s="31">
        <v>1</v>
      </c>
      <c r="E399" s="32">
        <v>6.3</v>
      </c>
      <c r="F399" s="32"/>
      <c r="G399" s="32">
        <v>3.18</v>
      </c>
      <c r="H399" s="838">
        <f t="shared" si="25"/>
        <v>20.033999999999999</v>
      </c>
    </row>
    <row r="400" spans="1:8" s="35" customFormat="1" ht="27" customHeight="1">
      <c r="A400" s="36"/>
      <c r="B400" s="29" t="s">
        <v>89</v>
      </c>
      <c r="C400" s="30">
        <v>-1</v>
      </c>
      <c r="D400" s="31">
        <v>1</v>
      </c>
      <c r="E400" s="32">
        <v>0.9</v>
      </c>
      <c r="F400" s="32"/>
      <c r="G400" s="32">
        <v>0.75</v>
      </c>
      <c r="H400" s="838">
        <f t="shared" si="25"/>
        <v>-0.67500000000000004</v>
      </c>
    </row>
    <row r="401" spans="1:8" s="35" customFormat="1" ht="27" customHeight="1">
      <c r="A401" s="36"/>
      <c r="B401" s="29" t="s">
        <v>92</v>
      </c>
      <c r="C401" s="30">
        <v>1</v>
      </c>
      <c r="D401" s="31">
        <v>1</v>
      </c>
      <c r="E401" s="32">
        <v>3.3</v>
      </c>
      <c r="F401" s="32">
        <v>0.23</v>
      </c>
      <c r="G401" s="32"/>
      <c r="H401" s="838">
        <f t="shared" si="25"/>
        <v>0.75900000000000001</v>
      </c>
    </row>
    <row r="402" spans="1:8" s="35" customFormat="1" ht="27" customHeight="1">
      <c r="A402" s="36"/>
      <c r="B402" s="29" t="s">
        <v>97</v>
      </c>
      <c r="C402" s="30">
        <v>1</v>
      </c>
      <c r="D402" s="31">
        <v>1</v>
      </c>
      <c r="E402" s="32">
        <v>6.3</v>
      </c>
      <c r="F402" s="32"/>
      <c r="G402" s="32">
        <v>3.18</v>
      </c>
      <c r="H402" s="838">
        <f t="shared" si="25"/>
        <v>20.033999999999999</v>
      </c>
    </row>
    <row r="403" spans="1:8" s="35" customFormat="1" ht="27" customHeight="1">
      <c r="A403" s="36"/>
      <c r="B403" s="29" t="s">
        <v>98</v>
      </c>
      <c r="C403" s="30">
        <v>-1</v>
      </c>
      <c r="D403" s="31">
        <v>1</v>
      </c>
      <c r="E403" s="32">
        <v>0.75</v>
      </c>
      <c r="F403" s="32"/>
      <c r="G403" s="32">
        <v>2.1</v>
      </c>
      <c r="H403" s="838">
        <f t="shared" si="25"/>
        <v>-1.5750000000000002</v>
      </c>
    </row>
    <row r="404" spans="1:8" s="35" customFormat="1" ht="27" customHeight="1">
      <c r="A404" s="36"/>
      <c r="B404" s="29" t="s">
        <v>89</v>
      </c>
      <c r="C404" s="30">
        <v>-1</v>
      </c>
      <c r="D404" s="31">
        <v>1</v>
      </c>
      <c r="E404" s="32">
        <v>0.9</v>
      </c>
      <c r="F404" s="32"/>
      <c r="G404" s="32">
        <v>0.75</v>
      </c>
      <c r="H404" s="838">
        <f t="shared" si="25"/>
        <v>-0.67500000000000004</v>
      </c>
    </row>
    <row r="405" spans="1:8" s="35" customFormat="1" ht="27" customHeight="1">
      <c r="A405" s="36"/>
      <c r="B405" s="29" t="s">
        <v>92</v>
      </c>
      <c r="C405" s="30">
        <v>1</v>
      </c>
      <c r="D405" s="31">
        <v>1</v>
      </c>
      <c r="E405" s="32">
        <v>3.3</v>
      </c>
      <c r="F405" s="32">
        <v>0.23</v>
      </c>
      <c r="G405" s="32"/>
      <c r="H405" s="838">
        <f t="shared" si="25"/>
        <v>0.75900000000000001</v>
      </c>
    </row>
    <row r="406" spans="1:8" s="35" customFormat="1" ht="27" customHeight="1">
      <c r="A406" s="36"/>
      <c r="B406" s="29" t="s">
        <v>99</v>
      </c>
      <c r="C406" s="30">
        <v>1</v>
      </c>
      <c r="D406" s="31">
        <v>1</v>
      </c>
      <c r="E406" s="32">
        <v>8.93</v>
      </c>
      <c r="F406" s="32"/>
      <c r="G406" s="32">
        <v>3.18</v>
      </c>
      <c r="H406" s="838">
        <f t="shared" si="25"/>
        <v>28.397400000000001</v>
      </c>
    </row>
    <row r="407" spans="1:8" s="35" customFormat="1" ht="27" customHeight="1">
      <c r="A407" s="36"/>
      <c r="B407" s="29" t="s">
        <v>100</v>
      </c>
      <c r="C407" s="30">
        <v>-1</v>
      </c>
      <c r="D407" s="31">
        <v>1</v>
      </c>
      <c r="E407" s="32">
        <v>0.9</v>
      </c>
      <c r="F407" s="32"/>
      <c r="G407" s="32">
        <v>1.2</v>
      </c>
      <c r="H407" s="838">
        <f t="shared" si="25"/>
        <v>-1.08</v>
      </c>
    </row>
    <row r="408" spans="1:8" s="35" customFormat="1" ht="27" customHeight="1">
      <c r="A408" s="36"/>
      <c r="B408" s="29" t="s">
        <v>95</v>
      </c>
      <c r="C408" s="30">
        <v>-1</v>
      </c>
      <c r="D408" s="31">
        <v>1</v>
      </c>
      <c r="E408" s="32">
        <v>0.9</v>
      </c>
      <c r="F408" s="32"/>
      <c r="G408" s="32">
        <v>2.1</v>
      </c>
      <c r="H408" s="838">
        <f t="shared" si="25"/>
        <v>-1.8900000000000001</v>
      </c>
    </row>
    <row r="409" spans="1:8" s="35" customFormat="1" ht="27" customHeight="1">
      <c r="A409" s="36"/>
      <c r="B409" s="29" t="s">
        <v>101</v>
      </c>
      <c r="C409" s="30">
        <v>1</v>
      </c>
      <c r="D409" s="31">
        <v>1</v>
      </c>
      <c r="E409" s="32">
        <v>5.0999999999999996</v>
      </c>
      <c r="F409" s="32">
        <v>0.23</v>
      </c>
      <c r="G409" s="32"/>
      <c r="H409" s="838">
        <f t="shared" si="25"/>
        <v>1.173</v>
      </c>
    </row>
    <row r="410" spans="1:8" s="35" customFormat="1" ht="27" customHeight="1">
      <c r="A410" s="36"/>
      <c r="B410" s="29" t="s">
        <v>89</v>
      </c>
      <c r="C410" s="30">
        <v>-1</v>
      </c>
      <c r="D410" s="31">
        <v>1</v>
      </c>
      <c r="E410" s="32">
        <v>0.9</v>
      </c>
      <c r="F410" s="32"/>
      <c r="G410" s="32">
        <v>0.75</v>
      </c>
      <c r="H410" s="838">
        <f t="shared" si="25"/>
        <v>-0.67500000000000004</v>
      </c>
    </row>
    <row r="411" spans="1:8" s="35" customFormat="1" ht="27" customHeight="1">
      <c r="A411" s="36"/>
      <c r="B411" s="29" t="s">
        <v>92</v>
      </c>
      <c r="C411" s="30">
        <v>1</v>
      </c>
      <c r="D411" s="31">
        <v>1</v>
      </c>
      <c r="E411" s="32">
        <v>3.3</v>
      </c>
      <c r="F411" s="32">
        <v>0.23</v>
      </c>
      <c r="G411" s="32"/>
      <c r="H411" s="838">
        <f t="shared" si="25"/>
        <v>0.75900000000000001</v>
      </c>
    </row>
    <row r="412" spans="1:8" s="35" customFormat="1" ht="27" customHeight="1">
      <c r="A412" s="36"/>
      <c r="B412" s="29" t="s">
        <v>102</v>
      </c>
      <c r="C412" s="30">
        <v>22</v>
      </c>
      <c r="D412" s="31">
        <v>2</v>
      </c>
      <c r="E412" s="32">
        <v>0.6</v>
      </c>
      <c r="F412" s="32"/>
      <c r="G412" s="32">
        <v>2.1</v>
      </c>
      <c r="H412" s="838">
        <f t="shared" si="25"/>
        <v>55.44</v>
      </c>
    </row>
    <row r="413" spans="1:8" s="35" customFormat="1" ht="27" customHeight="1">
      <c r="A413" s="36"/>
      <c r="B413" s="29" t="s">
        <v>103</v>
      </c>
      <c r="C413" s="30">
        <v>2</v>
      </c>
      <c r="D413" s="31">
        <v>2</v>
      </c>
      <c r="E413" s="32">
        <v>1.6</v>
      </c>
      <c r="F413" s="32"/>
      <c r="G413" s="32">
        <v>1.2</v>
      </c>
      <c r="H413" s="838">
        <f t="shared" si="25"/>
        <v>7.68</v>
      </c>
    </row>
    <row r="414" spans="1:8" s="35" customFormat="1" ht="27" customHeight="1">
      <c r="A414" s="36"/>
      <c r="B414" s="37" t="s">
        <v>207</v>
      </c>
      <c r="C414" s="30"/>
      <c r="D414" s="30"/>
      <c r="E414" s="32"/>
      <c r="F414" s="32"/>
      <c r="G414" s="72"/>
      <c r="H414" s="695">
        <v>0.02</v>
      </c>
    </row>
    <row r="415" spans="1:8" s="35" customFormat="1" ht="27" customHeight="1">
      <c r="A415" s="36"/>
      <c r="B415" s="37"/>
      <c r="C415" s="30"/>
      <c r="D415" s="30"/>
      <c r="E415" s="38"/>
      <c r="F415" s="38"/>
      <c r="G415" s="72" t="s">
        <v>14</v>
      </c>
      <c r="H415" s="694">
        <f>SUM(H385:H414)</f>
        <v>278.70379999999989</v>
      </c>
    </row>
    <row r="416" spans="1:8" s="35" customFormat="1" ht="122.25" customHeight="1">
      <c r="A416" s="36"/>
      <c r="B416" s="972" t="s">
        <v>180</v>
      </c>
      <c r="C416" s="972"/>
      <c r="D416" s="972"/>
      <c r="E416" s="972"/>
      <c r="F416" s="972"/>
      <c r="G416" s="972"/>
      <c r="H416" s="694"/>
    </row>
    <row r="417" spans="1:8" s="35" customFormat="1" ht="27" customHeight="1">
      <c r="A417" s="36"/>
      <c r="B417" s="29" t="s">
        <v>83</v>
      </c>
      <c r="C417" s="30">
        <v>1</v>
      </c>
      <c r="D417" s="31">
        <v>1</v>
      </c>
      <c r="E417" s="32">
        <v>40.18</v>
      </c>
      <c r="F417" s="32"/>
      <c r="G417" s="32">
        <v>4.05</v>
      </c>
      <c r="H417" s="838">
        <f t="shared" ref="H417:H421" si="26">PRODUCT(C417:G417)</f>
        <v>162.72899999999998</v>
      </c>
    </row>
    <row r="418" spans="1:8" s="35" customFormat="1" ht="27" customHeight="1">
      <c r="A418" s="36"/>
      <c r="B418" s="29" t="s">
        <v>84</v>
      </c>
      <c r="C418" s="30">
        <v>1</v>
      </c>
      <c r="D418" s="31">
        <v>1</v>
      </c>
      <c r="E418" s="32">
        <v>38.08</v>
      </c>
      <c r="F418" s="32"/>
      <c r="G418" s="32">
        <v>0.3</v>
      </c>
      <c r="H418" s="838">
        <f t="shared" si="26"/>
        <v>11.423999999999999</v>
      </c>
    </row>
    <row r="419" spans="1:8" s="35" customFormat="1" ht="27" customHeight="1">
      <c r="A419" s="36"/>
      <c r="B419" s="29" t="s">
        <v>85</v>
      </c>
      <c r="C419" s="30">
        <v>1</v>
      </c>
      <c r="D419" s="31">
        <v>1</v>
      </c>
      <c r="E419" s="32">
        <v>40.18</v>
      </c>
      <c r="F419" s="32">
        <v>0.12</v>
      </c>
      <c r="G419" s="32"/>
      <c r="H419" s="838">
        <f t="shared" si="26"/>
        <v>4.8216000000000001</v>
      </c>
    </row>
    <row r="420" spans="1:8" s="35" customFormat="1" ht="27" customHeight="1">
      <c r="A420" s="36"/>
      <c r="B420" s="29" t="s">
        <v>252</v>
      </c>
      <c r="C420" s="30">
        <v>-1</v>
      </c>
      <c r="D420" s="31">
        <v>4</v>
      </c>
      <c r="E420" s="32">
        <v>1.2</v>
      </c>
      <c r="F420" s="32"/>
      <c r="G420" s="32">
        <v>1.2</v>
      </c>
      <c r="H420" s="838">
        <f t="shared" si="26"/>
        <v>-5.76</v>
      </c>
    </row>
    <row r="421" spans="1:8" s="35" customFormat="1" ht="27" customHeight="1">
      <c r="A421" s="36"/>
      <c r="B421" s="29" t="s">
        <v>253</v>
      </c>
      <c r="C421" s="30">
        <v>-1</v>
      </c>
      <c r="D421" s="31">
        <v>2</v>
      </c>
      <c r="E421" s="32">
        <v>1.05</v>
      </c>
      <c r="F421" s="32"/>
      <c r="G421" s="32">
        <v>1.2</v>
      </c>
      <c r="H421" s="838">
        <f t="shared" si="26"/>
        <v>-2.52</v>
      </c>
    </row>
    <row r="422" spans="1:8" s="829" customFormat="1" ht="27" customHeight="1">
      <c r="A422" s="827"/>
      <c r="B422" s="824" t="s">
        <v>3501</v>
      </c>
      <c r="C422" s="825">
        <v>1</v>
      </c>
      <c r="D422" s="826">
        <v>1</v>
      </c>
      <c r="E422" s="822">
        <v>7.84</v>
      </c>
      <c r="F422" s="822"/>
      <c r="G422" s="822">
        <v>1</v>
      </c>
      <c r="H422" s="921"/>
    </row>
    <row r="423" spans="1:8" s="829" customFormat="1" ht="27" customHeight="1">
      <c r="A423" s="827"/>
      <c r="B423" s="824" t="s">
        <v>3502</v>
      </c>
      <c r="C423" s="825">
        <v>1</v>
      </c>
      <c r="D423" s="826">
        <v>2</v>
      </c>
      <c r="E423" s="822">
        <v>2.2599999999999998</v>
      </c>
      <c r="F423" s="822">
        <v>1.66</v>
      </c>
      <c r="G423" s="822"/>
      <c r="H423" s="921"/>
    </row>
    <row r="424" spans="1:8" s="35" customFormat="1" ht="27" customHeight="1">
      <c r="A424" s="36"/>
      <c r="B424" s="29" t="str">
        <f>B414</f>
        <v>Add Sundrise</v>
      </c>
      <c r="C424" s="30"/>
      <c r="D424" s="31"/>
      <c r="E424" s="32"/>
      <c r="F424" s="32"/>
      <c r="G424" s="32"/>
      <c r="H424" s="838">
        <v>0.01</v>
      </c>
    </row>
    <row r="425" spans="1:8" s="35" customFormat="1" ht="27" customHeight="1">
      <c r="A425" s="36"/>
      <c r="B425" s="29"/>
      <c r="C425" s="30"/>
      <c r="D425" s="31"/>
      <c r="E425" s="32"/>
      <c r="F425" s="32"/>
      <c r="G425" s="32"/>
      <c r="H425" s="839">
        <f>SUM(H417:H424)</f>
        <v>170.70459999999997</v>
      </c>
    </row>
    <row r="426" spans="1:8" s="35" customFormat="1" ht="112.5" customHeight="1">
      <c r="A426" s="36"/>
      <c r="B426" s="971" t="s">
        <v>179</v>
      </c>
      <c r="C426" s="972"/>
      <c r="D426" s="972"/>
      <c r="E426" s="972"/>
      <c r="F426" s="972"/>
      <c r="G426" s="72"/>
      <c r="H426" s="695"/>
    </row>
    <row r="427" spans="1:8" s="35" customFormat="1" ht="27" customHeight="1">
      <c r="A427" s="36"/>
      <c r="B427" s="29" t="s">
        <v>90</v>
      </c>
      <c r="C427" s="30">
        <v>1</v>
      </c>
      <c r="D427" s="31">
        <v>1</v>
      </c>
      <c r="E427" s="32">
        <v>25.22</v>
      </c>
      <c r="F427" s="32"/>
      <c r="G427" s="32">
        <v>3.18</v>
      </c>
      <c r="H427" s="838">
        <f t="shared" ref="H427:H455" si="27">PRODUCT(C427:G427)</f>
        <v>80.199600000000004</v>
      </c>
    </row>
    <row r="428" spans="1:8" s="35" customFormat="1" ht="27" customHeight="1">
      <c r="A428" s="36"/>
      <c r="B428" s="29" t="s">
        <v>86</v>
      </c>
      <c r="C428" s="30">
        <v>-1</v>
      </c>
      <c r="D428" s="31">
        <v>1</v>
      </c>
      <c r="E428" s="32">
        <v>1.5</v>
      </c>
      <c r="F428" s="32"/>
      <c r="G428" s="32">
        <v>2.1</v>
      </c>
      <c r="H428" s="838">
        <f t="shared" si="27"/>
        <v>-3.1500000000000004</v>
      </c>
    </row>
    <row r="429" spans="1:8" s="35" customFormat="1" ht="27" customHeight="1">
      <c r="A429" s="36"/>
      <c r="B429" s="29" t="s">
        <v>91</v>
      </c>
      <c r="C429" s="30">
        <v>-2</v>
      </c>
      <c r="D429" s="31">
        <v>1</v>
      </c>
      <c r="E429" s="32">
        <v>0.9</v>
      </c>
      <c r="F429" s="32"/>
      <c r="G429" s="32">
        <v>2.1</v>
      </c>
      <c r="H429" s="838">
        <f t="shared" si="27"/>
        <v>-3.7800000000000002</v>
      </c>
    </row>
    <row r="430" spans="1:8" s="35" customFormat="1" ht="27" customHeight="1">
      <c r="A430" s="36"/>
      <c r="B430" s="29" t="s">
        <v>92</v>
      </c>
      <c r="C430" s="30">
        <v>1</v>
      </c>
      <c r="D430" s="31">
        <v>1</v>
      </c>
      <c r="E430" s="32">
        <v>5.7</v>
      </c>
      <c r="F430" s="32">
        <v>0.23</v>
      </c>
      <c r="G430" s="32"/>
      <c r="H430" s="838">
        <f t="shared" si="27"/>
        <v>1.3110000000000002</v>
      </c>
    </row>
    <row r="431" spans="1:8" s="35" customFormat="1" ht="27" customHeight="1">
      <c r="A431" s="36"/>
      <c r="B431" s="29" t="s">
        <v>87</v>
      </c>
      <c r="C431" s="30">
        <v>-1</v>
      </c>
      <c r="D431" s="31">
        <v>4</v>
      </c>
      <c r="E431" s="32">
        <v>1.2</v>
      </c>
      <c r="F431" s="32"/>
      <c r="G431" s="32">
        <v>1.35</v>
      </c>
      <c r="H431" s="838">
        <f t="shared" si="27"/>
        <v>-6.48</v>
      </c>
    </row>
    <row r="432" spans="1:8" s="35" customFormat="1" ht="27" customHeight="1">
      <c r="A432" s="36"/>
      <c r="B432" s="29" t="s">
        <v>92</v>
      </c>
      <c r="C432" s="30">
        <v>1</v>
      </c>
      <c r="D432" s="31">
        <v>4</v>
      </c>
      <c r="E432" s="32">
        <v>5.0999999999999996</v>
      </c>
      <c r="F432" s="32">
        <v>0.23</v>
      </c>
      <c r="G432" s="32"/>
      <c r="H432" s="838">
        <f t="shared" si="27"/>
        <v>4.6920000000000002</v>
      </c>
    </row>
    <row r="433" spans="1:8" s="35" customFormat="1" ht="27" customHeight="1">
      <c r="A433" s="36"/>
      <c r="B433" s="29" t="s">
        <v>88</v>
      </c>
      <c r="C433" s="30">
        <v>-1</v>
      </c>
      <c r="D433" s="31">
        <v>2</v>
      </c>
      <c r="E433" s="32">
        <v>1.05</v>
      </c>
      <c r="F433" s="32"/>
      <c r="G433" s="32">
        <v>1.35</v>
      </c>
      <c r="H433" s="838">
        <f t="shared" si="27"/>
        <v>-2.8350000000000004</v>
      </c>
    </row>
    <row r="434" spans="1:8" s="35" customFormat="1" ht="27" customHeight="1">
      <c r="A434" s="36"/>
      <c r="B434" s="29" t="s">
        <v>92</v>
      </c>
      <c r="C434" s="30">
        <v>1</v>
      </c>
      <c r="D434" s="31">
        <v>2</v>
      </c>
      <c r="E434" s="32">
        <v>4.8</v>
      </c>
      <c r="F434" s="32">
        <v>0.23</v>
      </c>
      <c r="G434" s="32"/>
      <c r="H434" s="838">
        <f t="shared" si="27"/>
        <v>2.2080000000000002</v>
      </c>
    </row>
    <row r="435" spans="1:8" ht="27" customHeight="1">
      <c r="A435" s="3"/>
      <c r="B435" s="29" t="s">
        <v>93</v>
      </c>
      <c r="C435" s="30">
        <v>2</v>
      </c>
      <c r="D435" s="31">
        <v>22</v>
      </c>
      <c r="E435" s="32">
        <v>0.6</v>
      </c>
      <c r="F435" s="32"/>
      <c r="G435" s="32">
        <v>2.1</v>
      </c>
      <c r="H435" s="838">
        <f t="shared" si="27"/>
        <v>55.44</v>
      </c>
    </row>
    <row r="436" spans="1:8" ht="27" customHeight="1">
      <c r="A436" s="3"/>
      <c r="B436" s="29" t="s">
        <v>94</v>
      </c>
      <c r="C436" s="30">
        <v>1</v>
      </c>
      <c r="D436" s="31">
        <v>1</v>
      </c>
      <c r="E436" s="32">
        <v>7.31</v>
      </c>
      <c r="F436" s="32"/>
      <c r="G436" s="32">
        <v>3.18</v>
      </c>
      <c r="H436" s="838">
        <f t="shared" si="27"/>
        <v>23.245799999999999</v>
      </c>
    </row>
    <row r="437" spans="1:8" ht="27" customHeight="1">
      <c r="A437" s="3"/>
      <c r="B437" s="29" t="s">
        <v>95</v>
      </c>
      <c r="C437" s="30">
        <v>-1</v>
      </c>
      <c r="D437" s="31">
        <v>1</v>
      </c>
      <c r="E437" s="32">
        <v>0.9</v>
      </c>
      <c r="F437" s="32"/>
      <c r="G437" s="32">
        <v>2.1</v>
      </c>
      <c r="H437" s="838">
        <f t="shared" si="27"/>
        <v>-1.8900000000000001</v>
      </c>
    </row>
    <row r="438" spans="1:8" ht="27" customHeight="1">
      <c r="A438" s="3"/>
      <c r="B438" s="29" t="s">
        <v>92</v>
      </c>
      <c r="C438" s="30">
        <v>1</v>
      </c>
      <c r="D438" s="31">
        <v>1</v>
      </c>
      <c r="E438" s="32">
        <v>5.0999999999999996</v>
      </c>
      <c r="F438" s="32">
        <v>0.23</v>
      </c>
      <c r="G438" s="32"/>
      <c r="H438" s="838">
        <f t="shared" si="27"/>
        <v>1.173</v>
      </c>
    </row>
    <row r="439" spans="1:8" ht="27" customHeight="1">
      <c r="A439" s="3"/>
      <c r="B439" s="29" t="s">
        <v>89</v>
      </c>
      <c r="C439" s="30">
        <v>-1</v>
      </c>
      <c r="D439" s="31">
        <v>1</v>
      </c>
      <c r="E439" s="32">
        <v>0.9</v>
      </c>
      <c r="F439" s="32"/>
      <c r="G439" s="32">
        <v>0.75</v>
      </c>
      <c r="H439" s="838">
        <f t="shared" si="27"/>
        <v>-0.67500000000000004</v>
      </c>
    </row>
    <row r="440" spans="1:8" ht="27" customHeight="1">
      <c r="A440" s="3"/>
      <c r="B440" s="29" t="s">
        <v>92</v>
      </c>
      <c r="C440" s="30">
        <v>1</v>
      </c>
      <c r="D440" s="31">
        <v>1</v>
      </c>
      <c r="E440" s="32">
        <v>3.3</v>
      </c>
      <c r="F440" s="32">
        <v>0.23</v>
      </c>
      <c r="G440" s="32"/>
      <c r="H440" s="838">
        <f t="shared" si="27"/>
        <v>0.75900000000000001</v>
      </c>
    </row>
    <row r="441" spans="1:8" ht="27" customHeight="1">
      <c r="A441" s="3"/>
      <c r="B441" s="29" t="s">
        <v>96</v>
      </c>
      <c r="C441" s="30">
        <v>1</v>
      </c>
      <c r="D441" s="31">
        <v>1</v>
      </c>
      <c r="E441" s="32">
        <v>6.3</v>
      </c>
      <c r="F441" s="32"/>
      <c r="G441" s="32">
        <v>3.18</v>
      </c>
      <c r="H441" s="838">
        <f t="shared" si="27"/>
        <v>20.033999999999999</v>
      </c>
    </row>
    <row r="442" spans="1:8" ht="27" customHeight="1">
      <c r="A442" s="3"/>
      <c r="B442" s="29" t="s">
        <v>89</v>
      </c>
      <c r="C442" s="30">
        <v>-1</v>
      </c>
      <c r="D442" s="31">
        <v>1</v>
      </c>
      <c r="E442" s="32">
        <v>0.9</v>
      </c>
      <c r="F442" s="32"/>
      <c r="G442" s="32">
        <v>0.75</v>
      </c>
      <c r="H442" s="838">
        <f t="shared" si="27"/>
        <v>-0.67500000000000004</v>
      </c>
    </row>
    <row r="443" spans="1:8" ht="27" customHeight="1">
      <c r="A443" s="3"/>
      <c r="B443" s="29" t="s">
        <v>92</v>
      </c>
      <c r="C443" s="30">
        <v>1</v>
      </c>
      <c r="D443" s="31">
        <v>1</v>
      </c>
      <c r="E443" s="32">
        <v>3.3</v>
      </c>
      <c r="F443" s="32">
        <v>0.23</v>
      </c>
      <c r="G443" s="32"/>
      <c r="H443" s="838">
        <f t="shared" si="27"/>
        <v>0.75900000000000001</v>
      </c>
    </row>
    <row r="444" spans="1:8" ht="27" customHeight="1">
      <c r="A444" s="3"/>
      <c r="B444" s="29" t="s">
        <v>97</v>
      </c>
      <c r="C444" s="30">
        <v>1</v>
      </c>
      <c r="D444" s="31">
        <v>1</v>
      </c>
      <c r="E444" s="32">
        <v>6.3</v>
      </c>
      <c r="F444" s="32"/>
      <c r="G444" s="32">
        <v>3.18</v>
      </c>
      <c r="H444" s="838">
        <f t="shared" si="27"/>
        <v>20.033999999999999</v>
      </c>
    </row>
    <row r="445" spans="1:8" ht="27" customHeight="1">
      <c r="A445" s="3"/>
      <c r="B445" s="29" t="s">
        <v>98</v>
      </c>
      <c r="C445" s="30">
        <v>-1</v>
      </c>
      <c r="D445" s="31">
        <v>1</v>
      </c>
      <c r="E445" s="32">
        <v>0.75</v>
      </c>
      <c r="F445" s="32"/>
      <c r="G445" s="32">
        <v>2.1</v>
      </c>
      <c r="H445" s="838">
        <f t="shared" si="27"/>
        <v>-1.5750000000000002</v>
      </c>
    </row>
    <row r="446" spans="1:8" ht="27" customHeight="1">
      <c r="A446" s="3"/>
      <c r="B446" s="29" t="s">
        <v>89</v>
      </c>
      <c r="C446" s="30">
        <v>-1</v>
      </c>
      <c r="D446" s="31">
        <v>1</v>
      </c>
      <c r="E446" s="32">
        <v>0.9</v>
      </c>
      <c r="F446" s="32"/>
      <c r="G446" s="32">
        <v>0.75</v>
      </c>
      <c r="H446" s="838">
        <f t="shared" si="27"/>
        <v>-0.67500000000000004</v>
      </c>
    </row>
    <row r="447" spans="1:8" ht="27" customHeight="1">
      <c r="A447" s="3"/>
      <c r="B447" s="29" t="s">
        <v>92</v>
      </c>
      <c r="C447" s="30">
        <v>1</v>
      </c>
      <c r="D447" s="31">
        <v>1</v>
      </c>
      <c r="E447" s="32">
        <v>3.3</v>
      </c>
      <c r="F447" s="32">
        <v>0.23</v>
      </c>
      <c r="G447" s="32"/>
      <c r="H447" s="838">
        <f t="shared" si="27"/>
        <v>0.75900000000000001</v>
      </c>
    </row>
    <row r="448" spans="1:8" ht="27" customHeight="1">
      <c r="A448" s="3"/>
      <c r="B448" s="29" t="s">
        <v>99</v>
      </c>
      <c r="C448" s="30">
        <v>1</v>
      </c>
      <c r="D448" s="31">
        <v>1</v>
      </c>
      <c r="E448" s="32">
        <v>8.93</v>
      </c>
      <c r="F448" s="32"/>
      <c r="G448" s="32">
        <v>3.18</v>
      </c>
      <c r="H448" s="838">
        <f t="shared" si="27"/>
        <v>28.397400000000001</v>
      </c>
    </row>
    <row r="449" spans="1:11" ht="27" customHeight="1">
      <c r="A449" s="3"/>
      <c r="B449" s="29" t="s">
        <v>100</v>
      </c>
      <c r="C449" s="30">
        <v>-1</v>
      </c>
      <c r="D449" s="31">
        <v>1</v>
      </c>
      <c r="E449" s="32">
        <v>0.9</v>
      </c>
      <c r="F449" s="32"/>
      <c r="G449" s="32">
        <v>1.2</v>
      </c>
      <c r="H449" s="838">
        <f t="shared" si="27"/>
        <v>-1.08</v>
      </c>
    </row>
    <row r="450" spans="1:11" ht="27" customHeight="1">
      <c r="A450" s="3"/>
      <c r="B450" s="29" t="s">
        <v>95</v>
      </c>
      <c r="C450" s="30">
        <v>-1</v>
      </c>
      <c r="D450" s="31">
        <v>1</v>
      </c>
      <c r="E450" s="32">
        <v>0.9</v>
      </c>
      <c r="F450" s="32"/>
      <c r="G450" s="32">
        <v>2.1</v>
      </c>
      <c r="H450" s="838">
        <f t="shared" si="27"/>
        <v>-1.8900000000000001</v>
      </c>
    </row>
    <row r="451" spans="1:11" ht="27" customHeight="1">
      <c r="A451" s="3"/>
      <c r="B451" s="29" t="s">
        <v>101</v>
      </c>
      <c r="C451" s="30">
        <v>1</v>
      </c>
      <c r="D451" s="31">
        <v>1</v>
      </c>
      <c r="E451" s="32">
        <v>5.0999999999999996</v>
      </c>
      <c r="F451" s="32">
        <v>0.23</v>
      </c>
      <c r="G451" s="32"/>
      <c r="H451" s="838">
        <f t="shared" si="27"/>
        <v>1.173</v>
      </c>
    </row>
    <row r="452" spans="1:11" ht="27" customHeight="1">
      <c r="A452" s="3"/>
      <c r="B452" s="29" t="s">
        <v>89</v>
      </c>
      <c r="C452" s="30">
        <v>-1</v>
      </c>
      <c r="D452" s="31">
        <v>1</v>
      </c>
      <c r="E452" s="32">
        <v>0.9</v>
      </c>
      <c r="F452" s="32"/>
      <c r="G452" s="32">
        <v>0.75</v>
      </c>
      <c r="H452" s="838">
        <f t="shared" si="27"/>
        <v>-0.67500000000000004</v>
      </c>
    </row>
    <row r="453" spans="1:11" ht="27" customHeight="1">
      <c r="A453" s="3"/>
      <c r="B453" s="29" t="s">
        <v>92</v>
      </c>
      <c r="C453" s="30">
        <v>1</v>
      </c>
      <c r="D453" s="31">
        <v>1</v>
      </c>
      <c r="E453" s="32">
        <v>3.3</v>
      </c>
      <c r="F453" s="32">
        <v>0.23</v>
      </c>
      <c r="G453" s="32"/>
      <c r="H453" s="838">
        <f t="shared" si="27"/>
        <v>0.75900000000000001</v>
      </c>
    </row>
    <row r="454" spans="1:11" ht="27" customHeight="1">
      <c r="A454" s="3"/>
      <c r="B454" s="29" t="s">
        <v>102</v>
      </c>
      <c r="C454" s="30">
        <v>22</v>
      </c>
      <c r="D454" s="31">
        <v>2</v>
      </c>
      <c r="E454" s="32">
        <v>0.6</v>
      </c>
      <c r="F454" s="32"/>
      <c r="G454" s="32">
        <v>2.1</v>
      </c>
      <c r="H454" s="838">
        <f t="shared" si="27"/>
        <v>55.44</v>
      </c>
    </row>
    <row r="455" spans="1:11" ht="27" customHeight="1">
      <c r="A455" s="3"/>
      <c r="B455" s="29" t="s">
        <v>103</v>
      </c>
      <c r="C455" s="30">
        <v>2</v>
      </c>
      <c r="D455" s="31">
        <v>2</v>
      </c>
      <c r="E455" s="32">
        <v>1.6</v>
      </c>
      <c r="F455" s="32"/>
      <c r="G455" s="32">
        <v>1.2</v>
      </c>
      <c r="H455" s="838">
        <f t="shared" si="27"/>
        <v>7.68</v>
      </c>
    </row>
    <row r="456" spans="1:11" ht="27" customHeight="1">
      <c r="A456" s="3"/>
      <c r="B456" s="29" t="s">
        <v>207</v>
      </c>
      <c r="C456" s="30"/>
      <c r="D456" s="31"/>
      <c r="E456" s="32"/>
      <c r="F456" s="32"/>
      <c r="G456" s="32"/>
      <c r="H456" s="838">
        <v>0.02</v>
      </c>
    </row>
    <row r="457" spans="1:11" ht="27" customHeight="1">
      <c r="A457" s="3"/>
      <c r="B457" s="29"/>
      <c r="C457" s="30"/>
      <c r="D457" s="31"/>
      <c r="E457" s="32"/>
      <c r="F457" s="32"/>
      <c r="G457" s="860" t="s">
        <v>14</v>
      </c>
      <c r="H457" s="839">
        <f>SUM(H427:H456)</f>
        <v>278.70379999999989</v>
      </c>
    </row>
    <row r="458" spans="1:11" s="691" customFormat="1" ht="90" customHeight="1">
      <c r="A458" s="63"/>
      <c r="B458" s="986" t="s">
        <v>175</v>
      </c>
      <c r="C458" s="986"/>
      <c r="D458" s="986"/>
      <c r="E458" s="986"/>
      <c r="F458" s="822"/>
      <c r="G458" s="822"/>
      <c r="H458" s="838"/>
    </row>
    <row r="459" spans="1:11" s="691" customFormat="1" ht="27" customHeight="1">
      <c r="A459" s="63"/>
      <c r="B459" s="987" t="s">
        <v>262</v>
      </c>
      <c r="C459" s="987"/>
      <c r="D459" s="987"/>
      <c r="E459" s="987"/>
      <c r="F459" s="987"/>
      <c r="G459" s="987"/>
      <c r="H459" s="840"/>
    </row>
    <row r="460" spans="1:11" s="691" customFormat="1" ht="27" customHeight="1">
      <c r="A460" s="63"/>
      <c r="B460" s="808" t="s">
        <v>263</v>
      </c>
      <c r="C460" s="823">
        <f>H146</f>
        <v>1.4449999999999998</v>
      </c>
      <c r="D460" s="809" t="s">
        <v>261</v>
      </c>
      <c r="E460" s="809">
        <v>0.04</v>
      </c>
      <c r="F460" s="809" t="s">
        <v>261</v>
      </c>
      <c r="G460" s="810">
        <v>25</v>
      </c>
      <c r="H460" s="833">
        <f>PRODUCT(C460:G460)</f>
        <v>1.4449999999999998</v>
      </c>
      <c r="J460" s="810"/>
      <c r="K460" s="881"/>
    </row>
    <row r="461" spans="1:11" s="691" customFormat="1" ht="27" customHeight="1">
      <c r="A461" s="63"/>
      <c r="B461" s="824" t="s">
        <v>264</v>
      </c>
      <c r="C461" s="825"/>
      <c r="D461" s="826"/>
      <c r="E461" s="822">
        <f>H69</f>
        <v>11.548387999999999</v>
      </c>
      <c r="F461" s="822" t="s">
        <v>261</v>
      </c>
      <c r="G461" s="810">
        <v>100</v>
      </c>
      <c r="H461" s="838">
        <f>G461*E461</f>
        <v>1154.8388</v>
      </c>
      <c r="J461" s="810"/>
    </row>
    <row r="462" spans="1:11" s="691" customFormat="1" ht="27" customHeight="1">
      <c r="A462" s="63"/>
      <c r="B462" s="824" t="s">
        <v>265</v>
      </c>
      <c r="C462" s="825"/>
      <c r="D462" s="826"/>
      <c r="E462" s="822">
        <f>H89</f>
        <v>12.300082</v>
      </c>
      <c r="F462" s="822" t="s">
        <v>261</v>
      </c>
      <c r="G462" s="810">
        <v>100</v>
      </c>
      <c r="H462" s="838">
        <f t="shared" ref="H462" si="28">G462*E462</f>
        <v>1230.0082</v>
      </c>
      <c r="J462" s="810"/>
    </row>
    <row r="463" spans="1:11" s="691" customFormat="1" ht="27" customHeight="1">
      <c r="A463" s="63"/>
      <c r="B463" s="824" t="s">
        <v>3419</v>
      </c>
      <c r="C463" s="825"/>
      <c r="D463" s="826"/>
      <c r="E463" s="822"/>
      <c r="F463" s="822"/>
      <c r="G463" s="810"/>
      <c r="H463" s="838">
        <v>68</v>
      </c>
      <c r="J463" s="882"/>
    </row>
    <row r="464" spans="1:11" s="829" customFormat="1" ht="27" customHeight="1">
      <c r="A464" s="827"/>
      <c r="B464" s="988"/>
      <c r="C464" s="988"/>
      <c r="D464" s="988"/>
      <c r="E464" s="988"/>
      <c r="F464" s="828"/>
      <c r="G464" s="690"/>
      <c r="H464" s="694">
        <f>SUM(H460:H463)</f>
        <v>2454.2919999999999</v>
      </c>
    </row>
    <row r="465" spans="1:8" s="829" customFormat="1" ht="27" customHeight="1">
      <c r="A465" s="827"/>
      <c r="B465" s="830"/>
      <c r="C465" s="825"/>
      <c r="D465" s="825"/>
      <c r="E465" s="831"/>
      <c r="F465" s="831" t="s">
        <v>266</v>
      </c>
      <c r="G465" s="690"/>
      <c r="H465" s="837">
        <f>H464/1000</f>
        <v>2.4542919999999997</v>
      </c>
    </row>
    <row r="466" spans="1:8" s="35" customFormat="1" ht="92.25" customHeight="1">
      <c r="A466" s="36"/>
      <c r="B466" s="978" t="s">
        <v>157</v>
      </c>
      <c r="C466" s="974"/>
      <c r="D466" s="974"/>
      <c r="E466" s="974"/>
      <c r="F466" s="974"/>
      <c r="G466" s="674"/>
      <c r="H466" s="694"/>
    </row>
    <row r="467" spans="1:8" s="35" customFormat="1" ht="27" customHeight="1">
      <c r="A467" s="36"/>
      <c r="B467" s="22" t="s">
        <v>36</v>
      </c>
      <c r="C467" s="6">
        <v>1</v>
      </c>
      <c r="D467" s="6">
        <v>2</v>
      </c>
      <c r="E467" s="62"/>
      <c r="F467" s="62"/>
      <c r="G467" s="62"/>
      <c r="H467" s="819">
        <f>PRODUCT(C467:G467)</f>
        <v>2</v>
      </c>
    </row>
    <row r="468" spans="1:8" s="35" customFormat="1" ht="27" customHeight="1">
      <c r="A468" s="36"/>
      <c r="B468" s="22" t="s">
        <v>37</v>
      </c>
      <c r="C468" s="6">
        <v>1</v>
      </c>
      <c r="D468" s="6">
        <v>2</v>
      </c>
      <c r="E468" s="62"/>
      <c r="F468" s="62"/>
      <c r="G468" s="62"/>
      <c r="H468" s="819">
        <f>PRODUCT(C468:G468)</f>
        <v>2</v>
      </c>
    </row>
    <row r="469" spans="1:8" s="35" customFormat="1" ht="27" customHeight="1">
      <c r="A469" s="36"/>
      <c r="B469" s="22"/>
      <c r="C469" s="6"/>
      <c r="D469" s="6"/>
      <c r="E469" s="62"/>
      <c r="F469" s="62"/>
      <c r="G469" s="61" t="s">
        <v>14</v>
      </c>
      <c r="H469" s="817">
        <f>SUM(H467:H468)</f>
        <v>4</v>
      </c>
    </row>
    <row r="470" spans="1:8" s="35" customFormat="1" ht="82.5" customHeight="1">
      <c r="A470" s="36"/>
      <c r="B470" s="978" t="s">
        <v>158</v>
      </c>
      <c r="C470" s="974"/>
      <c r="D470" s="974"/>
      <c r="E470" s="974"/>
      <c r="F470" s="974"/>
      <c r="G470" s="674"/>
      <c r="H470" s="694"/>
    </row>
    <row r="471" spans="1:8" s="35" customFormat="1" ht="27" hidden="1" customHeight="1">
      <c r="A471" s="36"/>
      <c r="B471" s="22" t="s">
        <v>38</v>
      </c>
      <c r="C471" s="6">
        <v>1</v>
      </c>
      <c r="D471" s="6">
        <v>2</v>
      </c>
      <c r="E471" s="62">
        <v>1.2</v>
      </c>
      <c r="F471" s="62">
        <v>0.89</v>
      </c>
      <c r="G471" s="62">
        <v>1.35</v>
      </c>
      <c r="H471" s="819">
        <f>PRODUCT(C471:G471)</f>
        <v>2.8836000000000004</v>
      </c>
    </row>
    <row r="472" spans="1:8" s="35" customFormat="1" ht="3.75" hidden="1" customHeight="1">
      <c r="A472" s="36"/>
      <c r="B472" s="22" t="s">
        <v>39</v>
      </c>
      <c r="C472" s="6">
        <v>1</v>
      </c>
      <c r="D472" s="6">
        <v>4</v>
      </c>
      <c r="E472" s="62">
        <v>1.5</v>
      </c>
      <c r="F472" s="62">
        <v>0.89</v>
      </c>
      <c r="G472" s="62">
        <v>1.35</v>
      </c>
      <c r="H472" s="819">
        <f>PRODUCT(C472:G472)</f>
        <v>7.2090000000000005</v>
      </c>
    </row>
    <row r="473" spans="1:8" s="35" customFormat="1" ht="48.75" hidden="1" customHeight="1">
      <c r="A473" s="36"/>
      <c r="B473" s="22"/>
      <c r="C473" s="6"/>
      <c r="D473" s="6"/>
      <c r="E473" s="62"/>
      <c r="F473" s="62"/>
      <c r="G473" s="61" t="s">
        <v>14</v>
      </c>
      <c r="H473" s="817">
        <f>SUM(H471:H472)</f>
        <v>10.092600000000001</v>
      </c>
    </row>
    <row r="474" spans="1:8" s="35" customFormat="1" ht="48.75" hidden="1" customHeight="1">
      <c r="A474" s="36"/>
      <c r="B474" s="37"/>
      <c r="C474" s="30"/>
      <c r="D474" s="30"/>
      <c r="E474" s="38"/>
      <c r="F474" s="38"/>
      <c r="G474" s="72"/>
      <c r="H474" s="694"/>
    </row>
    <row r="475" spans="1:8" s="35" customFormat="1" ht="48.75" hidden="1" customHeight="1">
      <c r="A475" s="36"/>
      <c r="B475" s="37"/>
      <c r="C475" s="30"/>
      <c r="D475" s="30"/>
      <c r="E475" s="38"/>
      <c r="F475" s="38"/>
      <c r="G475" s="72"/>
      <c r="H475" s="694"/>
    </row>
    <row r="476" spans="1:8" s="35" customFormat="1" ht="48.75" hidden="1" customHeight="1">
      <c r="A476" s="36"/>
      <c r="B476" s="37"/>
      <c r="C476" s="30"/>
      <c r="D476" s="30"/>
      <c r="E476" s="38"/>
      <c r="F476" s="38"/>
      <c r="G476" s="72"/>
      <c r="H476" s="694"/>
    </row>
    <row r="477" spans="1:8" ht="27" customHeight="1">
      <c r="A477" s="3"/>
      <c r="B477" s="22" t="s">
        <v>38</v>
      </c>
      <c r="C477" s="6">
        <v>1</v>
      </c>
      <c r="D477" s="6">
        <v>4</v>
      </c>
      <c r="E477" s="62">
        <v>1.2</v>
      </c>
      <c r="F477" s="62"/>
      <c r="G477" s="62">
        <v>1.35</v>
      </c>
      <c r="H477" s="819">
        <f>G477*E477*D477*C477</f>
        <v>6.48</v>
      </c>
    </row>
    <row r="478" spans="1:8" ht="27" customHeight="1">
      <c r="A478" s="3"/>
      <c r="B478" s="22" t="s">
        <v>267</v>
      </c>
      <c r="C478" s="6">
        <v>1</v>
      </c>
      <c r="D478" s="6">
        <v>2</v>
      </c>
      <c r="E478" s="62">
        <v>1.5</v>
      </c>
      <c r="F478" s="62"/>
      <c r="G478" s="62">
        <v>1.35</v>
      </c>
      <c r="H478" s="819">
        <f>PRODUCT(C478:G478)</f>
        <v>4.0500000000000007</v>
      </c>
    </row>
    <row r="479" spans="1:8" ht="27" customHeight="1">
      <c r="A479" s="3"/>
      <c r="B479" s="22"/>
      <c r="C479" s="6"/>
      <c r="D479" s="6"/>
      <c r="E479" s="62"/>
      <c r="F479" s="62"/>
      <c r="G479" s="62"/>
      <c r="H479" s="819">
        <v>7.0000000000000007E-2</v>
      </c>
    </row>
    <row r="480" spans="1:8" ht="27" customHeight="1">
      <c r="A480" s="3"/>
      <c r="B480" s="22"/>
      <c r="C480" s="6"/>
      <c r="D480" s="6"/>
      <c r="E480" s="62"/>
      <c r="F480" s="62"/>
      <c r="G480" s="61" t="s">
        <v>14</v>
      </c>
      <c r="H480" s="817">
        <f>SUM(H477:H479)</f>
        <v>10.600000000000001</v>
      </c>
    </row>
    <row r="481" spans="1:8" s="696" customFormat="1" ht="259.5" customHeight="1">
      <c r="A481" s="64"/>
      <c r="B481" s="991" t="s">
        <v>3504</v>
      </c>
      <c r="C481" s="992"/>
      <c r="D481" s="992"/>
      <c r="E481" s="992"/>
      <c r="F481" s="992"/>
      <c r="G481" s="719"/>
      <c r="H481" s="720"/>
    </row>
    <row r="482" spans="1:8" s="696" customFormat="1" ht="27" customHeight="1">
      <c r="A482" s="64"/>
      <c r="B482" s="864" t="s">
        <v>43</v>
      </c>
      <c r="C482" s="865"/>
      <c r="D482" s="865"/>
      <c r="E482" s="721"/>
      <c r="F482" s="721"/>
      <c r="G482" s="721"/>
      <c r="H482" s="694"/>
    </row>
    <row r="483" spans="1:8" s="696" customFormat="1" ht="27" customHeight="1">
      <c r="A483" s="64"/>
      <c r="B483" s="722" t="s">
        <v>44</v>
      </c>
      <c r="C483" s="64">
        <v>1</v>
      </c>
      <c r="D483" s="64">
        <v>2</v>
      </c>
      <c r="E483" s="695">
        <v>4.05</v>
      </c>
      <c r="F483" s="695"/>
      <c r="G483" s="695">
        <v>2.1</v>
      </c>
      <c r="H483" s="694">
        <f>PRODUCT(C483:G483)</f>
        <v>17.010000000000002</v>
      </c>
    </row>
    <row r="484" spans="1:8" s="696" customFormat="1" ht="27" customHeight="1">
      <c r="A484" s="64"/>
      <c r="B484" s="722" t="s">
        <v>44</v>
      </c>
      <c r="C484" s="64">
        <v>1</v>
      </c>
      <c r="D484" s="64">
        <v>1</v>
      </c>
      <c r="E484" s="695">
        <v>1.65</v>
      </c>
      <c r="F484" s="695"/>
      <c r="G484" s="695">
        <v>2.1</v>
      </c>
      <c r="H484" s="694">
        <f>PRODUCT(C484:G484)</f>
        <v>3.4649999999999999</v>
      </c>
    </row>
    <row r="485" spans="1:8" s="696" customFormat="1" ht="27" customHeight="1">
      <c r="A485" s="64"/>
      <c r="B485" s="722"/>
      <c r="C485" s="64"/>
      <c r="D485" s="64"/>
      <c r="E485" s="695"/>
      <c r="F485" s="695"/>
      <c r="G485" s="695"/>
      <c r="H485" s="694">
        <f>SUM(H483:H484)</f>
        <v>20.475000000000001</v>
      </c>
    </row>
    <row r="486" spans="1:8" ht="27" customHeight="1">
      <c r="A486" s="3"/>
      <c r="B486" s="39" t="s">
        <v>123</v>
      </c>
      <c r="C486" s="3"/>
      <c r="D486" s="3"/>
      <c r="E486" s="3"/>
      <c r="F486" s="3"/>
      <c r="G486" s="3"/>
      <c r="H486" s="64"/>
    </row>
    <row r="487" spans="1:8" ht="194.25" customHeight="1">
      <c r="A487" s="3"/>
      <c r="B487" s="981" t="s">
        <v>189</v>
      </c>
      <c r="C487" s="981"/>
      <c r="D487" s="981"/>
      <c r="E487" s="981"/>
      <c r="F487" s="981"/>
      <c r="G487" s="3"/>
      <c r="H487" s="64"/>
    </row>
    <row r="488" spans="1:8" ht="27" customHeight="1">
      <c r="A488" s="3"/>
      <c r="B488" s="41" t="s">
        <v>124</v>
      </c>
      <c r="C488" s="30"/>
      <c r="D488" s="30"/>
      <c r="E488" s="32"/>
      <c r="F488" s="32"/>
      <c r="G488" s="3"/>
      <c r="H488" s="64"/>
    </row>
    <row r="489" spans="1:8" ht="27" customHeight="1">
      <c r="A489" s="3"/>
      <c r="B489" s="49" t="s">
        <v>268</v>
      </c>
      <c r="C489" s="50"/>
      <c r="D489" s="50"/>
      <c r="E489" s="50"/>
      <c r="F489" s="50"/>
      <c r="G489" s="48"/>
      <c r="H489" s="833"/>
    </row>
    <row r="490" spans="1:8" ht="27" customHeight="1">
      <c r="A490" s="3"/>
      <c r="B490" s="37" t="s">
        <v>50</v>
      </c>
      <c r="C490" s="30">
        <v>1</v>
      </c>
      <c r="D490" s="30">
        <v>1</v>
      </c>
      <c r="E490" s="32"/>
      <c r="F490" s="32"/>
      <c r="G490" s="59"/>
      <c r="H490" s="695">
        <f>PRODUCT(C490:G490)</f>
        <v>1</v>
      </c>
    </row>
    <row r="491" spans="1:8" ht="27" customHeight="1">
      <c r="A491" s="3"/>
      <c r="B491" s="37" t="s">
        <v>15</v>
      </c>
      <c r="C491" s="30">
        <v>2</v>
      </c>
      <c r="D491" s="30">
        <v>2</v>
      </c>
      <c r="E491" s="32"/>
      <c r="F491" s="32"/>
      <c r="G491" s="59"/>
      <c r="H491" s="695">
        <f>PRODUCT(C491:G491)</f>
        <v>4</v>
      </c>
    </row>
    <row r="492" spans="1:8" ht="27" customHeight="1">
      <c r="A492" s="3"/>
      <c r="B492" s="37" t="s">
        <v>125</v>
      </c>
      <c r="C492" s="30">
        <v>1</v>
      </c>
      <c r="D492" s="30">
        <v>2</v>
      </c>
      <c r="E492" s="32"/>
      <c r="F492" s="32"/>
      <c r="G492" s="59"/>
      <c r="H492" s="695">
        <f>PRODUCT(C492:G492)</f>
        <v>2</v>
      </c>
    </row>
    <row r="493" spans="1:8" ht="27" customHeight="1">
      <c r="A493" s="3"/>
      <c r="B493" s="37" t="s">
        <v>126</v>
      </c>
      <c r="C493" s="30">
        <v>1</v>
      </c>
      <c r="D493" s="30">
        <v>2</v>
      </c>
      <c r="E493" s="32"/>
      <c r="F493" s="32"/>
      <c r="G493" s="59"/>
      <c r="H493" s="695">
        <f>PRODUCT(C493:G493)</f>
        <v>2</v>
      </c>
    </row>
    <row r="494" spans="1:8" ht="27" customHeight="1">
      <c r="A494" s="3"/>
      <c r="B494" s="2"/>
      <c r="C494" s="3"/>
      <c r="D494" s="3"/>
      <c r="E494" s="3"/>
      <c r="F494" s="3"/>
      <c r="G494" s="849" t="s">
        <v>14</v>
      </c>
      <c r="H494" s="694">
        <f>SUM(H490:H493)</f>
        <v>9</v>
      </c>
    </row>
    <row r="495" spans="1:8" ht="27" customHeight="1">
      <c r="A495" s="3"/>
      <c r="B495" s="11" t="s">
        <v>269</v>
      </c>
      <c r="C495" s="3"/>
      <c r="D495" s="3"/>
      <c r="E495" s="3"/>
      <c r="F495" s="3"/>
      <c r="G495" s="3"/>
      <c r="H495" s="64"/>
    </row>
    <row r="496" spans="1:8" ht="27" customHeight="1">
      <c r="A496" s="3"/>
      <c r="B496" s="37" t="s">
        <v>15</v>
      </c>
      <c r="C496" s="30">
        <v>1</v>
      </c>
      <c r="D496" s="30">
        <v>2</v>
      </c>
      <c r="E496" s="32"/>
      <c r="F496" s="32"/>
      <c r="G496" s="59"/>
      <c r="H496" s="695">
        <f>PRODUCT(C496:G496)</f>
        <v>2</v>
      </c>
    </row>
    <row r="497" spans="1:8" ht="27" customHeight="1">
      <c r="A497" s="3"/>
      <c r="B497" s="37" t="s">
        <v>125</v>
      </c>
      <c r="C497" s="30">
        <v>1</v>
      </c>
      <c r="D497" s="30">
        <v>2</v>
      </c>
      <c r="E497" s="32"/>
      <c r="F497" s="32"/>
      <c r="G497" s="59"/>
      <c r="H497" s="695">
        <f>PRODUCT(C497:G497)</f>
        <v>2</v>
      </c>
    </row>
    <row r="498" spans="1:8" ht="27" customHeight="1">
      <c r="A498" s="3"/>
      <c r="B498" s="37" t="s">
        <v>126</v>
      </c>
      <c r="C498" s="30">
        <v>1</v>
      </c>
      <c r="D498" s="30">
        <v>2</v>
      </c>
      <c r="E498" s="32"/>
      <c r="F498" s="32"/>
      <c r="G498" s="59"/>
      <c r="H498" s="695">
        <f>PRODUCT(C498:G498)</f>
        <v>2</v>
      </c>
    </row>
    <row r="499" spans="1:8" ht="27" customHeight="1">
      <c r="A499" s="3"/>
      <c r="B499" s="2"/>
      <c r="C499" s="3"/>
      <c r="D499" s="3"/>
      <c r="E499" s="3"/>
      <c r="F499" s="3"/>
      <c r="G499" s="849" t="s">
        <v>14</v>
      </c>
      <c r="H499" s="694">
        <f>SUM(H495:H498)</f>
        <v>6</v>
      </c>
    </row>
    <row r="500" spans="1:8" ht="180" customHeight="1">
      <c r="A500" s="3"/>
      <c r="B500" s="964" t="s">
        <v>190</v>
      </c>
      <c r="C500" s="964"/>
      <c r="D500" s="964"/>
      <c r="E500" s="964"/>
      <c r="F500" s="964"/>
      <c r="G500" s="72"/>
      <c r="H500" s="694"/>
    </row>
    <row r="501" spans="1:8" ht="27" customHeight="1">
      <c r="A501" s="3"/>
      <c r="B501" s="42" t="s">
        <v>15</v>
      </c>
      <c r="C501" s="30">
        <v>1</v>
      </c>
      <c r="D501" s="30">
        <v>2</v>
      </c>
      <c r="E501" s="32"/>
      <c r="F501" s="32"/>
      <c r="G501" s="59"/>
      <c r="H501" s="695">
        <f>PRODUCT(C501:G501)</f>
        <v>2</v>
      </c>
    </row>
    <row r="502" spans="1:8" ht="27" customHeight="1">
      <c r="A502" s="3"/>
      <c r="B502" s="37"/>
      <c r="C502" s="30"/>
      <c r="D502" s="30"/>
      <c r="E502" s="32"/>
      <c r="F502" s="32"/>
      <c r="G502" s="72" t="s">
        <v>14</v>
      </c>
      <c r="H502" s="694">
        <f>SUM(H501:H501)</f>
        <v>2</v>
      </c>
    </row>
    <row r="503" spans="1:8" ht="187.5" customHeight="1">
      <c r="A503" s="3"/>
      <c r="B503" s="981" t="s">
        <v>191</v>
      </c>
      <c r="C503" s="981"/>
      <c r="D503" s="981"/>
      <c r="E503" s="981"/>
      <c r="F503" s="981"/>
      <c r="G503" s="72"/>
      <c r="H503" s="694"/>
    </row>
    <row r="504" spans="1:8" ht="27" customHeight="1">
      <c r="A504" s="3"/>
      <c r="B504" s="42" t="s">
        <v>15</v>
      </c>
      <c r="C504" s="30">
        <v>1</v>
      </c>
      <c r="D504" s="30">
        <v>4</v>
      </c>
      <c r="E504" s="32"/>
      <c r="F504" s="32"/>
      <c r="G504" s="59"/>
      <c r="H504" s="695">
        <f>PRODUCT(C504:G504)</f>
        <v>4</v>
      </c>
    </row>
    <row r="505" spans="1:8" ht="27" customHeight="1">
      <c r="A505" s="3"/>
      <c r="B505" s="37"/>
      <c r="C505" s="30"/>
      <c r="D505" s="30"/>
      <c r="E505" s="32"/>
      <c r="F505" s="32"/>
      <c r="G505" s="72" t="s">
        <v>14</v>
      </c>
      <c r="H505" s="694">
        <f>SUM(H504:H504)</f>
        <v>4</v>
      </c>
    </row>
    <row r="506" spans="1:8" ht="78" customHeight="1">
      <c r="A506" s="3"/>
      <c r="B506" s="981" t="s">
        <v>192</v>
      </c>
      <c r="C506" s="981"/>
      <c r="D506" s="981"/>
      <c r="E506" s="981"/>
      <c r="F506" s="981"/>
      <c r="G506" s="72"/>
      <c r="H506" s="694"/>
    </row>
    <row r="507" spans="1:8" ht="27" customHeight="1">
      <c r="A507" s="3"/>
      <c r="B507" s="42" t="s">
        <v>127</v>
      </c>
      <c r="C507" s="30">
        <v>1</v>
      </c>
      <c r="D507" s="30">
        <v>1</v>
      </c>
      <c r="E507" s="32"/>
      <c r="F507" s="32"/>
      <c r="G507" s="59"/>
      <c r="H507" s="695">
        <f>PRODUCT(C507:G507)</f>
        <v>1</v>
      </c>
    </row>
    <row r="508" spans="1:8" ht="27" customHeight="1">
      <c r="A508" s="3"/>
      <c r="B508" s="37"/>
      <c r="C508" s="30"/>
      <c r="D508" s="30"/>
      <c r="E508" s="32"/>
      <c r="F508" s="32"/>
      <c r="G508" s="72" t="s">
        <v>14</v>
      </c>
      <c r="H508" s="694">
        <f>SUM(H507:H507)</f>
        <v>1</v>
      </c>
    </row>
    <row r="509" spans="1:8" ht="132" customHeight="1">
      <c r="A509" s="3"/>
      <c r="B509" s="984" t="s">
        <v>193</v>
      </c>
      <c r="C509" s="985"/>
      <c r="D509" s="985"/>
      <c r="E509" s="985"/>
      <c r="F509" s="985"/>
      <c r="G509" s="61"/>
      <c r="H509" s="817"/>
    </row>
    <row r="510" spans="1:8" ht="27" customHeight="1">
      <c r="A510" s="3"/>
      <c r="B510" s="44" t="s">
        <v>128</v>
      </c>
      <c r="C510" s="30"/>
      <c r="D510" s="30"/>
      <c r="E510" s="32"/>
      <c r="F510" s="32"/>
      <c r="G510" s="72"/>
      <c r="H510" s="695"/>
    </row>
    <row r="511" spans="1:8" ht="27" customHeight="1">
      <c r="A511" s="3"/>
      <c r="B511" s="37" t="s">
        <v>15</v>
      </c>
      <c r="C511" s="30">
        <v>1</v>
      </c>
      <c r="D511" s="30">
        <v>4</v>
      </c>
      <c r="E511" s="32"/>
      <c r="F511" s="32"/>
      <c r="G511" s="72"/>
      <c r="H511" s="695">
        <f>PRODUCT(C511:G511)</f>
        <v>4</v>
      </c>
    </row>
    <row r="512" spans="1:8" ht="27" customHeight="1">
      <c r="A512" s="3"/>
      <c r="B512" s="37"/>
      <c r="C512" s="30"/>
      <c r="D512" s="30"/>
      <c r="E512" s="32"/>
      <c r="F512" s="32"/>
      <c r="G512" s="72" t="s">
        <v>14</v>
      </c>
      <c r="H512" s="694">
        <f>SUM(H510:H511)</f>
        <v>4</v>
      </c>
    </row>
    <row r="513" spans="1:8" ht="146.25" customHeight="1">
      <c r="A513" s="3"/>
      <c r="B513" s="964" t="s">
        <v>194</v>
      </c>
      <c r="C513" s="964"/>
      <c r="D513" s="964"/>
      <c r="E513" s="964"/>
      <c r="F513" s="964"/>
      <c r="G513" s="964"/>
      <c r="H513" s="694"/>
    </row>
    <row r="514" spans="1:8" ht="27" customHeight="1">
      <c r="A514" s="3"/>
      <c r="B514" s="861" t="s">
        <v>129</v>
      </c>
      <c r="C514" s="40">
        <v>1</v>
      </c>
      <c r="D514" s="40">
        <v>2</v>
      </c>
      <c r="E514" s="40">
        <v>18</v>
      </c>
      <c r="F514" s="40"/>
      <c r="G514" s="40"/>
      <c r="H514" s="694">
        <f>PRODUCT(C514:G514)</f>
        <v>36</v>
      </c>
    </row>
    <row r="515" spans="1:8" s="696" customFormat="1" ht="45" customHeight="1">
      <c r="A515" s="64"/>
      <c r="B515" s="970" t="s">
        <v>3377</v>
      </c>
      <c r="C515" s="969"/>
      <c r="D515" s="969"/>
      <c r="E515" s="969"/>
      <c r="F515" s="969"/>
      <c r="G515" s="694"/>
      <c r="H515" s="695"/>
    </row>
    <row r="516" spans="1:8" s="696" customFormat="1" ht="27" customHeight="1">
      <c r="A516" s="64"/>
      <c r="B516" s="697" t="s">
        <v>387</v>
      </c>
      <c r="C516" s="698">
        <v>1</v>
      </c>
      <c r="D516" s="698">
        <v>1</v>
      </c>
      <c r="E516" s="698">
        <v>1</v>
      </c>
      <c r="F516" s="698"/>
      <c r="G516" s="694"/>
      <c r="H516" s="838">
        <f>PRODUCT(C516:G516)</f>
        <v>1</v>
      </c>
    </row>
    <row r="517" spans="1:8" ht="50.25" customHeight="1">
      <c r="A517" s="3"/>
      <c r="B517" s="964" t="s">
        <v>195</v>
      </c>
      <c r="C517" s="964"/>
      <c r="D517" s="964"/>
      <c r="E517" s="964"/>
      <c r="F517" s="964"/>
      <c r="G517" s="72"/>
      <c r="H517" s="694"/>
    </row>
    <row r="518" spans="1:8" ht="27" customHeight="1">
      <c r="A518" s="3"/>
      <c r="B518" s="42" t="s">
        <v>130</v>
      </c>
      <c r="C518" s="30"/>
      <c r="D518" s="30"/>
      <c r="E518" s="32"/>
      <c r="F518" s="32"/>
      <c r="G518" s="59"/>
      <c r="H518" s="695"/>
    </row>
    <row r="519" spans="1:8" ht="27" customHeight="1">
      <c r="A519" s="3"/>
      <c r="B519" s="37" t="s">
        <v>131</v>
      </c>
      <c r="C519" s="30">
        <v>1</v>
      </c>
      <c r="D519" s="30">
        <v>2</v>
      </c>
      <c r="E519" s="32"/>
      <c r="F519" s="32"/>
      <c r="G519" s="59"/>
      <c r="H519" s="695">
        <f>PRODUCT(C519:G519)</f>
        <v>2</v>
      </c>
    </row>
    <row r="520" spans="1:8" ht="27" customHeight="1">
      <c r="A520" s="3"/>
      <c r="B520" s="37" t="s">
        <v>132</v>
      </c>
      <c r="C520" s="30">
        <v>1</v>
      </c>
      <c r="D520" s="30">
        <v>2</v>
      </c>
      <c r="E520" s="32"/>
      <c r="F520" s="32"/>
      <c r="G520" s="59"/>
      <c r="H520" s="695">
        <f>PRODUCT(C520:G520)</f>
        <v>2</v>
      </c>
    </row>
    <row r="521" spans="1:8" ht="27" customHeight="1">
      <c r="A521" s="3"/>
      <c r="B521" s="37"/>
      <c r="C521" s="30"/>
      <c r="D521" s="30"/>
      <c r="E521" s="32"/>
      <c r="F521" s="32"/>
      <c r="G521" s="72" t="s">
        <v>14</v>
      </c>
      <c r="H521" s="694">
        <f>SUM(H519:H520)</f>
        <v>4</v>
      </c>
    </row>
    <row r="522" spans="1:8" ht="124.5" customHeight="1">
      <c r="A522" s="3"/>
      <c r="B522" s="964" t="s">
        <v>196</v>
      </c>
      <c r="C522" s="964"/>
      <c r="D522" s="964"/>
      <c r="E522" s="964"/>
      <c r="F522" s="964"/>
      <c r="G522" s="964"/>
      <c r="H522" s="694"/>
    </row>
    <row r="523" spans="1:8" ht="27" customHeight="1">
      <c r="A523" s="3"/>
      <c r="B523" s="37" t="s">
        <v>15</v>
      </c>
      <c r="C523" s="30">
        <v>1</v>
      </c>
      <c r="D523" s="30">
        <v>4</v>
      </c>
      <c r="E523" s="32"/>
      <c r="F523" s="32"/>
      <c r="G523" s="72"/>
      <c r="H523" s="695">
        <f>PRODUCT(C523:G523)</f>
        <v>4</v>
      </c>
    </row>
    <row r="524" spans="1:8" ht="27" customHeight="1">
      <c r="A524" s="3"/>
      <c r="B524" s="37" t="s">
        <v>133</v>
      </c>
      <c r="C524" s="30">
        <v>1</v>
      </c>
      <c r="D524" s="30">
        <v>2</v>
      </c>
      <c r="E524" s="32"/>
      <c r="F524" s="32"/>
      <c r="G524" s="72"/>
      <c r="H524" s="695">
        <f>PRODUCT(C524:G524)</f>
        <v>2</v>
      </c>
    </row>
    <row r="525" spans="1:8" ht="27" customHeight="1">
      <c r="A525" s="3"/>
      <c r="B525" s="37" t="s">
        <v>18</v>
      </c>
      <c r="C525" s="30">
        <v>1</v>
      </c>
      <c r="D525" s="30">
        <v>2</v>
      </c>
      <c r="E525" s="32"/>
      <c r="F525" s="32"/>
      <c r="G525" s="72"/>
      <c r="H525" s="695">
        <f>PRODUCT(C525:G525)</f>
        <v>2</v>
      </c>
    </row>
    <row r="526" spans="1:8" ht="27" customHeight="1">
      <c r="A526" s="3"/>
      <c r="B526" s="37"/>
      <c r="C526" s="30"/>
      <c r="D526" s="30"/>
      <c r="E526" s="32"/>
      <c r="F526" s="32"/>
      <c r="G526" s="72" t="s">
        <v>14</v>
      </c>
      <c r="H526" s="694">
        <f>SUM(H523:H525)</f>
        <v>8</v>
      </c>
    </row>
    <row r="527" spans="1:8" ht="104.25" customHeight="1">
      <c r="A527" s="3"/>
      <c r="B527" s="998" t="s">
        <v>197</v>
      </c>
      <c r="C527" s="998"/>
      <c r="D527" s="998"/>
      <c r="E527" s="998"/>
      <c r="F527" s="998"/>
      <c r="G527" s="998"/>
      <c r="H527" s="694"/>
    </row>
    <row r="528" spans="1:8" ht="27" customHeight="1">
      <c r="A528" s="3"/>
      <c r="B528" s="861" t="s">
        <v>75</v>
      </c>
      <c r="C528" s="40">
        <v>1</v>
      </c>
      <c r="D528" s="40">
        <v>2</v>
      </c>
      <c r="E528" s="40"/>
      <c r="F528" s="40"/>
      <c r="G528" s="40"/>
      <c r="H528" s="695">
        <f>PRODUCT(C528:G528)</f>
        <v>2</v>
      </c>
    </row>
    <row r="529" spans="1:8" ht="27" customHeight="1">
      <c r="A529" s="3"/>
      <c r="B529" s="40"/>
      <c r="C529" s="40"/>
      <c r="D529" s="40"/>
      <c r="E529" s="40"/>
      <c r="F529" s="40"/>
      <c r="G529" s="72" t="s">
        <v>14</v>
      </c>
      <c r="H529" s="694">
        <f>H528</f>
        <v>2</v>
      </c>
    </row>
    <row r="530" spans="1:8" ht="112.5" customHeight="1">
      <c r="A530" s="3"/>
      <c r="B530" s="978" t="s">
        <v>159</v>
      </c>
      <c r="C530" s="974"/>
      <c r="D530" s="974"/>
      <c r="E530" s="974"/>
      <c r="F530" s="974"/>
      <c r="G530" s="674"/>
      <c r="H530" s="694"/>
    </row>
    <row r="531" spans="1:8" ht="27" customHeight="1">
      <c r="A531" s="3"/>
      <c r="B531" s="20" t="s">
        <v>40</v>
      </c>
      <c r="C531" s="3">
        <v>1</v>
      </c>
      <c r="D531" s="3">
        <v>4</v>
      </c>
      <c r="E531" s="59"/>
      <c r="F531" s="59"/>
      <c r="G531" s="59"/>
      <c r="H531" s="695">
        <f>PRODUCT(C531:G531)</f>
        <v>4</v>
      </c>
    </row>
    <row r="532" spans="1:8" ht="27" customHeight="1">
      <c r="A532" s="3"/>
      <c r="B532" s="20"/>
      <c r="C532" s="3"/>
      <c r="D532" s="3"/>
      <c r="E532" s="59"/>
      <c r="F532" s="59"/>
      <c r="G532" s="72" t="s">
        <v>14</v>
      </c>
      <c r="H532" s="694">
        <f>SUM(H531:H531)</f>
        <v>4</v>
      </c>
    </row>
    <row r="533" spans="1:8" ht="84" customHeight="1">
      <c r="A533" s="3"/>
      <c r="B533" s="978" t="s">
        <v>160</v>
      </c>
      <c r="C533" s="974"/>
      <c r="D533" s="974"/>
      <c r="E533" s="974"/>
      <c r="F533" s="974"/>
      <c r="G533" s="674"/>
      <c r="H533" s="694"/>
    </row>
    <row r="534" spans="1:8" ht="27" customHeight="1">
      <c r="A534" s="3"/>
      <c r="B534" s="20" t="s">
        <v>40</v>
      </c>
      <c r="C534" s="3">
        <v>1</v>
      </c>
      <c r="D534" s="3">
        <v>4</v>
      </c>
      <c r="E534" s="59"/>
      <c r="F534" s="59"/>
      <c r="G534" s="59"/>
      <c r="H534" s="695">
        <f>PRODUCT(C534:G534)</f>
        <v>4</v>
      </c>
    </row>
    <row r="535" spans="1:8" ht="27" customHeight="1">
      <c r="A535" s="3"/>
      <c r="B535" s="20"/>
      <c r="C535" s="3"/>
      <c r="D535" s="3"/>
      <c r="E535" s="59"/>
      <c r="F535" s="59"/>
      <c r="G535" s="72" t="s">
        <v>14</v>
      </c>
      <c r="H535" s="694">
        <f>SUM(H534:H534)</f>
        <v>4</v>
      </c>
    </row>
    <row r="536" spans="1:8" ht="173.25" customHeight="1">
      <c r="A536" s="3"/>
      <c r="B536" s="974" t="s">
        <v>270</v>
      </c>
      <c r="C536" s="974"/>
      <c r="D536" s="974"/>
      <c r="E536" s="974"/>
      <c r="F536" s="974"/>
      <c r="G536" s="3"/>
      <c r="H536" s="64"/>
    </row>
    <row r="537" spans="1:8" ht="27" customHeight="1">
      <c r="A537" s="3"/>
      <c r="B537" s="20" t="s">
        <v>40</v>
      </c>
      <c r="C537" s="3">
        <v>1</v>
      </c>
      <c r="D537" s="3">
        <v>4</v>
      </c>
      <c r="E537" s="59"/>
      <c r="F537" s="59"/>
      <c r="G537" s="59"/>
      <c r="H537" s="695">
        <f>PRODUCT(C537:G537)</f>
        <v>4</v>
      </c>
    </row>
    <row r="538" spans="1:8" ht="27" customHeight="1">
      <c r="A538" s="3"/>
      <c r="B538" s="20"/>
      <c r="C538" s="3"/>
      <c r="D538" s="3"/>
      <c r="E538" s="59"/>
      <c r="F538" s="59"/>
      <c r="G538" s="72" t="s">
        <v>14</v>
      </c>
      <c r="H538" s="694">
        <f>SUM(H537:H537)</f>
        <v>4</v>
      </c>
    </row>
    <row r="539" spans="1:8" ht="76.5" customHeight="1">
      <c r="A539" s="3"/>
      <c r="B539" s="989" t="s">
        <v>161</v>
      </c>
      <c r="C539" s="990"/>
      <c r="D539" s="990"/>
      <c r="E539" s="990"/>
      <c r="F539" s="990"/>
      <c r="G539" s="33"/>
      <c r="H539" s="817"/>
    </row>
    <row r="540" spans="1:8" ht="27" customHeight="1">
      <c r="A540" s="3"/>
      <c r="B540" s="22" t="s">
        <v>40</v>
      </c>
      <c r="C540" s="6">
        <v>1</v>
      </c>
      <c r="D540" s="6">
        <v>1</v>
      </c>
      <c r="E540" s="62">
        <v>7.5</v>
      </c>
      <c r="F540" s="62"/>
      <c r="G540" s="62"/>
      <c r="H540" s="819">
        <f>PRODUCT(C540:G540)</f>
        <v>7.5</v>
      </c>
    </row>
    <row r="541" spans="1:8" ht="27" customHeight="1">
      <c r="A541" s="3"/>
      <c r="B541" s="22"/>
      <c r="C541" s="6"/>
      <c r="D541" s="6"/>
      <c r="E541" s="62"/>
      <c r="F541" s="62"/>
      <c r="G541" s="61" t="s">
        <v>14</v>
      </c>
      <c r="H541" s="817">
        <f>SUM(H540:H540)</f>
        <v>7.5</v>
      </c>
    </row>
    <row r="542" spans="1:8" ht="70.5" customHeight="1">
      <c r="A542" s="3"/>
      <c r="B542" s="978" t="s">
        <v>162</v>
      </c>
      <c r="C542" s="974"/>
      <c r="D542" s="974"/>
      <c r="E542" s="974"/>
      <c r="F542" s="974"/>
      <c r="G542" s="674"/>
      <c r="H542" s="694"/>
    </row>
    <row r="543" spans="1:8" ht="27" customHeight="1">
      <c r="A543" s="3"/>
      <c r="B543" s="20" t="s">
        <v>40</v>
      </c>
      <c r="C543" s="3">
        <v>1</v>
      </c>
      <c r="D543" s="3">
        <v>2</v>
      </c>
      <c r="E543" s="59"/>
      <c r="F543" s="59"/>
      <c r="G543" s="59"/>
      <c r="H543" s="695">
        <f>PRODUCT(C543:G543)</f>
        <v>2</v>
      </c>
    </row>
    <row r="544" spans="1:8" ht="27" customHeight="1">
      <c r="A544" s="3"/>
      <c r="B544" s="20"/>
      <c r="C544" s="3"/>
      <c r="D544" s="3"/>
      <c r="E544" s="59"/>
      <c r="F544" s="59"/>
      <c r="G544" s="72" t="s">
        <v>14</v>
      </c>
      <c r="H544" s="694">
        <f>SUM(H543:H543)</f>
        <v>2</v>
      </c>
    </row>
    <row r="545" spans="1:8" ht="128.25" customHeight="1">
      <c r="A545" s="3"/>
      <c r="B545" s="978" t="s">
        <v>163</v>
      </c>
      <c r="C545" s="974"/>
      <c r="D545" s="974"/>
      <c r="E545" s="974"/>
      <c r="F545" s="974"/>
      <c r="G545" s="674"/>
      <c r="H545" s="694"/>
    </row>
    <row r="546" spans="1:8" ht="27" customHeight="1">
      <c r="A546" s="3"/>
      <c r="B546" s="20" t="s">
        <v>271</v>
      </c>
      <c r="C546" s="3">
        <v>1</v>
      </c>
      <c r="D546" s="3">
        <v>1</v>
      </c>
      <c r="E546" s="59"/>
      <c r="F546" s="59"/>
      <c r="G546" s="59"/>
      <c r="H546" s="695">
        <f>PRODUCT(C546:G546)</f>
        <v>1</v>
      </c>
    </row>
    <row r="547" spans="1:8" ht="27" customHeight="1">
      <c r="A547" s="3"/>
      <c r="B547" s="20"/>
      <c r="C547" s="3"/>
      <c r="D547" s="3"/>
      <c r="E547" s="59"/>
      <c r="F547" s="59"/>
      <c r="G547" s="72" t="s">
        <v>14</v>
      </c>
      <c r="H547" s="694">
        <f>SUM(H546:H546)</f>
        <v>1</v>
      </c>
    </row>
    <row r="548" spans="1:8" ht="77.25" customHeight="1">
      <c r="A548" s="3"/>
      <c r="B548" s="997" t="s">
        <v>272</v>
      </c>
      <c r="C548" s="997"/>
      <c r="D548" s="997"/>
      <c r="E548" s="997"/>
      <c r="F548" s="997"/>
      <c r="G548" s="997"/>
      <c r="H548" s="841"/>
    </row>
    <row r="549" spans="1:8" ht="27" customHeight="1">
      <c r="A549" s="3"/>
      <c r="B549" s="46" t="s">
        <v>258</v>
      </c>
      <c r="C549" s="50">
        <v>1</v>
      </c>
      <c r="D549" s="50">
        <v>1</v>
      </c>
      <c r="E549" s="50"/>
      <c r="F549" s="50"/>
      <c r="G549" s="48"/>
      <c r="H549" s="840">
        <f>PRODUCT(C549:G549)</f>
        <v>1</v>
      </c>
    </row>
    <row r="550" spans="1:8" ht="140.25" customHeight="1">
      <c r="A550" s="3"/>
      <c r="B550" s="964" t="s">
        <v>273</v>
      </c>
      <c r="C550" s="964"/>
      <c r="D550" s="964"/>
      <c r="E550" s="964"/>
      <c r="F550" s="964"/>
      <c r="G550" s="964"/>
      <c r="H550" s="64"/>
    </row>
    <row r="551" spans="1:8" ht="27" customHeight="1">
      <c r="A551" s="3"/>
      <c r="B551" s="2" t="s">
        <v>274</v>
      </c>
      <c r="C551" s="3">
        <v>1</v>
      </c>
      <c r="D551" s="3">
        <v>1</v>
      </c>
      <c r="E551" s="3">
        <v>13.5</v>
      </c>
      <c r="F551" s="3"/>
      <c r="G551" s="3"/>
      <c r="H551" s="694">
        <f>E551*D551*C551</f>
        <v>13.5</v>
      </c>
    </row>
    <row r="552" spans="1:8" s="696" customFormat="1" ht="50.25" customHeight="1">
      <c r="A552" s="64"/>
      <c r="B552" s="969" t="s">
        <v>134</v>
      </c>
      <c r="C552" s="969"/>
      <c r="D552" s="969"/>
      <c r="E552" s="969"/>
      <c r="F552" s="969"/>
      <c r="G552" s="694"/>
      <c r="H552" s="694"/>
    </row>
    <row r="553" spans="1:8" s="696" customFormat="1" ht="27" customHeight="1">
      <c r="A553" s="64"/>
      <c r="B553" s="723" t="s">
        <v>135</v>
      </c>
      <c r="C553" s="857"/>
      <c r="D553" s="857"/>
      <c r="E553" s="724"/>
      <c r="F553" s="724"/>
      <c r="G553" s="694"/>
      <c r="H553" s="694"/>
    </row>
    <row r="554" spans="1:8" s="696" customFormat="1" ht="27" customHeight="1">
      <c r="A554" s="64"/>
      <c r="B554" s="715" t="s">
        <v>136</v>
      </c>
      <c r="C554" s="698">
        <v>1</v>
      </c>
      <c r="D554" s="698">
        <v>1</v>
      </c>
      <c r="E554" s="716">
        <v>18</v>
      </c>
      <c r="F554" s="716"/>
      <c r="G554" s="694"/>
      <c r="H554" s="695">
        <f>PRODUCT(C554:G554)</f>
        <v>18</v>
      </c>
    </row>
    <row r="555" spans="1:8" s="696" customFormat="1" ht="27" customHeight="1">
      <c r="A555" s="64"/>
      <c r="B555" s="715"/>
      <c r="C555" s="698"/>
      <c r="D555" s="698"/>
      <c r="E555" s="713"/>
      <c r="F555" s="713"/>
      <c r="G555" s="694" t="s">
        <v>14</v>
      </c>
      <c r="H555" s="694">
        <f>SUM(H554:H554)</f>
        <v>18</v>
      </c>
    </row>
    <row r="556" spans="1:8" ht="171" customHeight="1">
      <c r="A556" s="3"/>
      <c r="B556" s="971" t="s">
        <v>181</v>
      </c>
      <c r="C556" s="972"/>
      <c r="D556" s="972"/>
      <c r="E556" s="972"/>
      <c r="F556" s="972"/>
      <c r="G556" s="59"/>
      <c r="H556" s="695"/>
    </row>
    <row r="557" spans="1:8" ht="27" customHeight="1">
      <c r="A557" s="3"/>
      <c r="B557" s="846" t="s">
        <v>106</v>
      </c>
      <c r="C557" s="3">
        <v>1</v>
      </c>
      <c r="D557" s="3">
        <v>1</v>
      </c>
      <c r="E557" s="59">
        <v>4.5</v>
      </c>
      <c r="F557" s="59"/>
      <c r="G557" s="59"/>
      <c r="H557" s="695">
        <f>PRODUCT(C557:G557)</f>
        <v>4.5</v>
      </c>
    </row>
    <row r="558" spans="1:8" ht="27" customHeight="1">
      <c r="A558" s="3"/>
      <c r="B558" s="5"/>
      <c r="C558" s="3"/>
      <c r="D558" s="3"/>
      <c r="E558" s="59"/>
      <c r="F558" s="59"/>
      <c r="G558" s="72" t="s">
        <v>14</v>
      </c>
      <c r="H558" s="817">
        <f>SUM(H557:H557)</f>
        <v>4.5</v>
      </c>
    </row>
    <row r="559" spans="1:8" ht="27" customHeight="1">
      <c r="A559" s="3"/>
      <c r="B559" s="996" t="s">
        <v>107</v>
      </c>
      <c r="C559" s="996"/>
      <c r="D559" s="996"/>
      <c r="E559" s="996"/>
      <c r="F559" s="996"/>
      <c r="G559" s="59"/>
      <c r="H559" s="695"/>
    </row>
    <row r="560" spans="1:8" ht="179.25" customHeight="1">
      <c r="A560" s="3"/>
      <c r="B560" s="981" t="s">
        <v>182</v>
      </c>
      <c r="C560" s="981"/>
      <c r="D560" s="981"/>
      <c r="E560" s="981"/>
      <c r="F560" s="981"/>
      <c r="G560" s="72"/>
      <c r="H560" s="694"/>
    </row>
    <row r="561" spans="1:8" ht="48" customHeight="1">
      <c r="A561" s="3"/>
      <c r="B561" s="964" t="s">
        <v>108</v>
      </c>
      <c r="C561" s="981"/>
      <c r="D561" s="981"/>
      <c r="E561" s="981"/>
      <c r="F561" s="981"/>
      <c r="G561" s="72"/>
      <c r="H561" s="694"/>
    </row>
    <row r="562" spans="1:8" ht="27" customHeight="1">
      <c r="A562" s="3"/>
      <c r="B562" s="37" t="s">
        <v>109</v>
      </c>
      <c r="C562" s="30">
        <v>1</v>
      </c>
      <c r="D562" s="30">
        <v>1</v>
      </c>
      <c r="E562" s="32">
        <v>25</v>
      </c>
      <c r="F562" s="32"/>
      <c r="G562" s="72"/>
      <c r="H562" s="695">
        <f>PRODUCT(C562:G562)</f>
        <v>25</v>
      </c>
    </row>
    <row r="563" spans="1:8" ht="27" customHeight="1">
      <c r="A563" s="3"/>
      <c r="B563" s="37"/>
      <c r="C563" s="30"/>
      <c r="D563" s="30"/>
      <c r="E563" s="38"/>
      <c r="F563" s="38"/>
      <c r="G563" s="72" t="s">
        <v>14</v>
      </c>
      <c r="H563" s="694">
        <f>SUM(H562:H562)</f>
        <v>25</v>
      </c>
    </row>
    <row r="564" spans="1:8" ht="48.75" customHeight="1">
      <c r="A564" s="3"/>
      <c r="B564" s="964" t="s">
        <v>110</v>
      </c>
      <c r="C564" s="964"/>
      <c r="D564" s="964"/>
      <c r="E564" s="964"/>
      <c r="F564" s="964"/>
      <c r="G564" s="72"/>
      <c r="H564" s="694"/>
    </row>
    <row r="565" spans="1:8" ht="27" customHeight="1">
      <c r="A565" s="3"/>
      <c r="B565" s="37" t="s">
        <v>111</v>
      </c>
      <c r="C565" s="30">
        <v>1</v>
      </c>
      <c r="D565" s="30">
        <v>1</v>
      </c>
      <c r="E565" s="32">
        <v>7</v>
      </c>
      <c r="F565" s="32"/>
      <c r="G565" s="72"/>
      <c r="H565" s="695">
        <f>PRODUCT(C565:G565)</f>
        <v>7</v>
      </c>
    </row>
    <row r="566" spans="1:8" ht="27" customHeight="1">
      <c r="A566" s="3"/>
      <c r="B566" s="37" t="s">
        <v>112</v>
      </c>
      <c r="C566" s="30">
        <v>1</v>
      </c>
      <c r="D566" s="30">
        <v>1</v>
      </c>
      <c r="E566" s="32">
        <v>7</v>
      </c>
      <c r="F566" s="32"/>
      <c r="G566" s="72"/>
      <c r="H566" s="695">
        <f>PRODUCT(C566:G566)</f>
        <v>7</v>
      </c>
    </row>
    <row r="567" spans="1:8" ht="27" customHeight="1">
      <c r="A567" s="3"/>
      <c r="B567" s="37"/>
      <c r="C567" s="30"/>
      <c r="D567" s="30"/>
      <c r="E567" s="38"/>
      <c r="F567" s="38"/>
      <c r="G567" s="72" t="s">
        <v>14</v>
      </c>
      <c r="H567" s="694">
        <f>SUM(H565:H566)</f>
        <v>14</v>
      </c>
    </row>
    <row r="568" spans="1:8" ht="193.5" customHeight="1">
      <c r="A568" s="3"/>
      <c r="B568" s="981" t="s">
        <v>3375</v>
      </c>
      <c r="C568" s="981"/>
      <c r="D568" s="981"/>
      <c r="E568" s="981"/>
      <c r="F568" s="981"/>
      <c r="G568" s="72"/>
      <c r="H568" s="695"/>
    </row>
    <row r="569" spans="1:8" ht="48.75" customHeight="1">
      <c r="A569" s="3"/>
      <c r="B569" s="964" t="s">
        <v>113</v>
      </c>
      <c r="C569" s="981"/>
      <c r="D569" s="981"/>
      <c r="E569" s="981"/>
      <c r="F569" s="981"/>
      <c r="G569" s="72"/>
      <c r="H569" s="695"/>
    </row>
    <row r="570" spans="1:8" ht="27" customHeight="1">
      <c r="A570" s="3"/>
      <c r="B570" s="37" t="s">
        <v>16</v>
      </c>
      <c r="C570" s="30">
        <v>1</v>
      </c>
      <c r="D570" s="30">
        <v>1</v>
      </c>
      <c r="E570" s="32">
        <v>7</v>
      </c>
      <c r="F570" s="32"/>
      <c r="G570" s="72"/>
      <c r="H570" s="695">
        <f>PRODUCT(C570:G570)</f>
        <v>7</v>
      </c>
    </row>
    <row r="571" spans="1:8" ht="27" customHeight="1">
      <c r="A571" s="3"/>
      <c r="B571" s="37" t="s">
        <v>17</v>
      </c>
      <c r="C571" s="30">
        <v>1</v>
      </c>
      <c r="D571" s="30">
        <v>1</v>
      </c>
      <c r="E571" s="32">
        <v>8</v>
      </c>
      <c r="F571" s="32"/>
      <c r="G571" s="72"/>
      <c r="H571" s="695">
        <f>PRODUCT(C571:G571)</f>
        <v>8</v>
      </c>
    </row>
    <row r="572" spans="1:8" ht="27" customHeight="1">
      <c r="A572" s="3"/>
      <c r="B572" s="37"/>
      <c r="C572" s="30"/>
      <c r="D572" s="30"/>
      <c r="E572" s="38"/>
      <c r="F572" s="38"/>
      <c r="G572" s="72" t="s">
        <v>14</v>
      </c>
      <c r="H572" s="694">
        <f>SUM(H570:H571)</f>
        <v>15</v>
      </c>
    </row>
    <row r="573" spans="1:8" ht="152.25" customHeight="1">
      <c r="A573" s="3"/>
      <c r="B573" s="981" t="s">
        <v>183</v>
      </c>
      <c r="C573" s="981"/>
      <c r="D573" s="981"/>
      <c r="E573" s="981"/>
      <c r="F573" s="981"/>
      <c r="G573" s="72"/>
      <c r="H573" s="694"/>
    </row>
    <row r="574" spans="1:8" ht="27" customHeight="1">
      <c r="A574" s="3"/>
      <c r="B574" s="37" t="s">
        <v>114</v>
      </c>
      <c r="C574" s="30">
        <v>2</v>
      </c>
      <c r="D574" s="30">
        <v>2</v>
      </c>
      <c r="E574" s="32">
        <v>1</v>
      </c>
      <c r="F574" s="32"/>
      <c r="G574" s="72"/>
      <c r="H574" s="695">
        <f>PRODUCT(C574:G574)</f>
        <v>4</v>
      </c>
    </row>
    <row r="575" spans="1:8" ht="27" customHeight="1">
      <c r="A575" s="3"/>
      <c r="B575" s="37"/>
      <c r="C575" s="30"/>
      <c r="D575" s="30"/>
      <c r="E575" s="38"/>
      <c r="F575" s="38"/>
      <c r="G575" s="72" t="s">
        <v>14</v>
      </c>
      <c r="H575" s="694">
        <f>SUM(H574:H574)</f>
        <v>4</v>
      </c>
    </row>
    <row r="576" spans="1:8" ht="92.25" customHeight="1">
      <c r="A576" s="3"/>
      <c r="B576" s="981" t="s">
        <v>184</v>
      </c>
      <c r="C576" s="981"/>
      <c r="D576" s="981"/>
      <c r="E576" s="981"/>
      <c r="F576" s="981"/>
      <c r="G576" s="72"/>
      <c r="H576" s="694"/>
    </row>
    <row r="577" spans="1:8" ht="27" customHeight="1">
      <c r="A577" s="3"/>
      <c r="B577" s="37" t="s">
        <v>115</v>
      </c>
      <c r="C577" s="30">
        <v>1</v>
      </c>
      <c r="D577" s="30">
        <v>1</v>
      </c>
      <c r="E577" s="32">
        <v>2</v>
      </c>
      <c r="F577" s="32"/>
      <c r="G577" s="72"/>
      <c r="H577" s="695">
        <f>PRODUCT(C577:G577)</f>
        <v>2</v>
      </c>
    </row>
    <row r="578" spans="1:8" ht="27" customHeight="1">
      <c r="A578" s="3"/>
      <c r="B578" s="37"/>
      <c r="C578" s="30"/>
      <c r="D578" s="30"/>
      <c r="E578" s="38"/>
      <c r="F578" s="38"/>
      <c r="G578" s="72" t="s">
        <v>14</v>
      </c>
      <c r="H578" s="694">
        <f>SUM(H577:H577)</f>
        <v>2</v>
      </c>
    </row>
    <row r="579" spans="1:8" ht="111.75" customHeight="1">
      <c r="A579" s="3"/>
      <c r="B579" s="981" t="s">
        <v>277</v>
      </c>
      <c r="C579" s="981"/>
      <c r="D579" s="981"/>
      <c r="E579" s="981"/>
      <c r="F579" s="981"/>
      <c r="G579" s="72"/>
      <c r="H579" s="694"/>
    </row>
    <row r="580" spans="1:8" ht="27" customHeight="1">
      <c r="A580" s="3"/>
      <c r="B580" s="46" t="s">
        <v>275</v>
      </c>
      <c r="C580" s="50">
        <v>1</v>
      </c>
      <c r="D580" s="50">
        <v>1</v>
      </c>
      <c r="E580" s="50"/>
      <c r="F580" s="50"/>
      <c r="G580" s="48"/>
      <c r="H580" s="833">
        <f>PRODUCT(C580:G580)</f>
        <v>1</v>
      </c>
    </row>
    <row r="581" spans="1:8" ht="27" customHeight="1">
      <c r="A581" s="3"/>
      <c r="B581" s="46" t="s">
        <v>276</v>
      </c>
      <c r="C581" s="50">
        <v>1</v>
      </c>
      <c r="D581" s="50">
        <v>1</v>
      </c>
      <c r="E581" s="50"/>
      <c r="F581" s="50"/>
      <c r="G581" s="48"/>
      <c r="H581" s="833">
        <f>PRODUCT(C581:G581)</f>
        <v>1</v>
      </c>
    </row>
    <row r="582" spans="1:8" ht="27" customHeight="1">
      <c r="A582" s="3"/>
      <c r="B582" s="46"/>
      <c r="C582" s="50"/>
      <c r="D582" s="50"/>
      <c r="E582" s="50"/>
      <c r="F582" s="50"/>
      <c r="G582" s="48"/>
      <c r="H582" s="840">
        <f>SUM(H580:H581)</f>
        <v>2</v>
      </c>
    </row>
    <row r="583" spans="1:8" ht="139.5" customHeight="1">
      <c r="A583" s="3"/>
      <c r="B583" s="981" t="s">
        <v>185</v>
      </c>
      <c r="C583" s="981"/>
      <c r="D583" s="981"/>
      <c r="E583" s="981"/>
      <c r="F583" s="981"/>
      <c r="G583" s="72"/>
      <c r="H583" s="694"/>
    </row>
    <row r="584" spans="1:8" ht="27" customHeight="1">
      <c r="A584" s="3"/>
      <c r="B584" s="37" t="s">
        <v>16</v>
      </c>
      <c r="C584" s="30">
        <v>1</v>
      </c>
      <c r="D584" s="30">
        <v>1</v>
      </c>
      <c r="E584" s="32">
        <v>1</v>
      </c>
      <c r="F584" s="32"/>
      <c r="G584" s="72"/>
      <c r="H584" s="695">
        <f>PRODUCT(C584:G584)</f>
        <v>1</v>
      </c>
    </row>
    <row r="585" spans="1:8" ht="27" customHeight="1">
      <c r="A585" s="3"/>
      <c r="B585" s="37" t="s">
        <v>235</v>
      </c>
      <c r="C585" s="30">
        <v>1</v>
      </c>
      <c r="D585" s="30">
        <v>1</v>
      </c>
      <c r="E585" s="32">
        <v>1</v>
      </c>
      <c r="F585" s="32"/>
      <c r="G585" s="72"/>
      <c r="H585" s="695">
        <f>PRODUCT(C585:G585)</f>
        <v>1</v>
      </c>
    </row>
    <row r="586" spans="1:8" ht="27" customHeight="1">
      <c r="A586" s="3"/>
      <c r="B586" s="37"/>
      <c r="C586" s="30"/>
      <c r="D586" s="30"/>
      <c r="E586" s="38"/>
      <c r="F586" s="38"/>
      <c r="G586" s="72" t="s">
        <v>14</v>
      </c>
      <c r="H586" s="694">
        <f>SUM(H584:H585)</f>
        <v>2</v>
      </c>
    </row>
    <row r="587" spans="1:8" ht="158.25" customHeight="1">
      <c r="A587" s="3"/>
      <c r="B587" s="981" t="s">
        <v>186</v>
      </c>
      <c r="C587" s="981"/>
      <c r="D587" s="981"/>
      <c r="E587" s="981"/>
      <c r="F587" s="981"/>
      <c r="G587" s="72"/>
      <c r="H587" s="694"/>
    </row>
    <row r="588" spans="1:8" ht="48.75" customHeight="1">
      <c r="A588" s="3"/>
      <c r="B588" s="964" t="s">
        <v>116</v>
      </c>
      <c r="C588" s="964"/>
      <c r="D588" s="964"/>
      <c r="E588" s="964"/>
      <c r="F588" s="964"/>
      <c r="G588" s="72"/>
      <c r="H588" s="694"/>
    </row>
    <row r="589" spans="1:8" ht="27" customHeight="1">
      <c r="A589" s="3"/>
      <c r="B589" s="37" t="s">
        <v>16</v>
      </c>
      <c r="C589" s="30">
        <v>1</v>
      </c>
      <c r="D589" s="30">
        <v>1</v>
      </c>
      <c r="E589" s="32">
        <v>4</v>
      </c>
      <c r="F589" s="32"/>
      <c r="G589" s="72"/>
      <c r="H589" s="695">
        <f>PRODUCT(C589:G589)</f>
        <v>4</v>
      </c>
    </row>
    <row r="590" spans="1:8" ht="27" customHeight="1">
      <c r="A590" s="3"/>
      <c r="B590" s="37" t="s">
        <v>73</v>
      </c>
      <c r="C590" s="30">
        <v>1</v>
      </c>
      <c r="D590" s="30">
        <v>1</v>
      </c>
      <c r="E590" s="32">
        <v>4</v>
      </c>
      <c r="F590" s="32"/>
      <c r="G590" s="72"/>
      <c r="H590" s="695">
        <f>PRODUCT(C590:G590)</f>
        <v>4</v>
      </c>
    </row>
    <row r="591" spans="1:8" ht="27" customHeight="1">
      <c r="A591" s="3"/>
      <c r="B591" s="37"/>
      <c r="C591" s="30"/>
      <c r="D591" s="30"/>
      <c r="E591" s="38"/>
      <c r="F591" s="38"/>
      <c r="G591" s="72" t="s">
        <v>14</v>
      </c>
      <c r="H591" s="694">
        <f>SUM(H589:H590)</f>
        <v>8</v>
      </c>
    </row>
    <row r="592" spans="1:8" ht="56.25" customHeight="1">
      <c r="A592" s="3"/>
      <c r="B592" s="964" t="s">
        <v>117</v>
      </c>
      <c r="C592" s="964"/>
      <c r="D592" s="964"/>
      <c r="E592" s="964"/>
      <c r="F592" s="964"/>
      <c r="G592" s="681"/>
      <c r="H592" s="842"/>
    </row>
    <row r="593" spans="1:8" ht="27" customHeight="1">
      <c r="A593" s="3"/>
      <c r="B593" s="37" t="s">
        <v>118</v>
      </c>
      <c r="C593" s="30">
        <v>1</v>
      </c>
      <c r="D593" s="30">
        <v>1</v>
      </c>
      <c r="E593" s="32">
        <v>6</v>
      </c>
      <c r="F593" s="32"/>
      <c r="G593" s="72"/>
      <c r="H593" s="695">
        <f>PRODUCT(C593:G593)</f>
        <v>6</v>
      </c>
    </row>
    <row r="594" spans="1:8" ht="27" customHeight="1">
      <c r="A594" s="3"/>
      <c r="B594" s="37"/>
      <c r="C594" s="30"/>
      <c r="D594" s="30"/>
      <c r="E594" s="38"/>
      <c r="F594" s="38"/>
      <c r="G594" s="72" t="s">
        <v>14</v>
      </c>
      <c r="H594" s="694">
        <f>SUM(H593:H593)</f>
        <v>6</v>
      </c>
    </row>
    <row r="595" spans="1:8" ht="145.5" customHeight="1">
      <c r="A595" s="3"/>
      <c r="B595" s="995" t="s">
        <v>187</v>
      </c>
      <c r="C595" s="994"/>
      <c r="D595" s="994"/>
      <c r="E595" s="994"/>
      <c r="F595" s="994"/>
      <c r="G595" s="61"/>
      <c r="H595" s="817"/>
    </row>
    <row r="596" spans="1:8" ht="27" customHeight="1">
      <c r="A596" s="3"/>
      <c r="B596" s="859" t="s">
        <v>119</v>
      </c>
      <c r="C596" s="7">
        <v>1</v>
      </c>
      <c r="D596" s="7">
        <v>4</v>
      </c>
      <c r="E596" s="7"/>
      <c r="F596" s="7"/>
      <c r="G596" s="61"/>
      <c r="H596" s="819">
        <f>PRODUCT(C596:G596)</f>
        <v>4</v>
      </c>
    </row>
    <row r="597" spans="1:8" ht="27" customHeight="1">
      <c r="A597" s="3"/>
      <c r="B597" s="859" t="s">
        <v>120</v>
      </c>
      <c r="C597" s="7">
        <v>1</v>
      </c>
      <c r="D597" s="7">
        <v>2</v>
      </c>
      <c r="E597" s="7"/>
      <c r="F597" s="7"/>
      <c r="G597" s="61"/>
      <c r="H597" s="819">
        <f>PRODUCT(C597:G597)</f>
        <v>2</v>
      </c>
    </row>
    <row r="598" spans="1:8" ht="27" customHeight="1">
      <c r="A598" s="3"/>
      <c r="B598" s="7"/>
      <c r="C598" s="7"/>
      <c r="D598" s="7"/>
      <c r="E598" s="7"/>
      <c r="F598" s="7"/>
      <c r="G598" s="72" t="s">
        <v>14</v>
      </c>
      <c r="H598" s="694">
        <f>SUM(H596:H597)</f>
        <v>6</v>
      </c>
    </row>
    <row r="599" spans="1:8" ht="149.25" customHeight="1">
      <c r="A599" s="3"/>
      <c r="B599" s="964" t="s">
        <v>188</v>
      </c>
      <c r="C599" s="964"/>
      <c r="D599" s="964"/>
      <c r="E599" s="964"/>
      <c r="F599" s="964"/>
      <c r="G599" s="72"/>
      <c r="H599" s="694"/>
    </row>
    <row r="600" spans="1:8" ht="27" customHeight="1">
      <c r="A600" s="3"/>
      <c r="B600" s="856" t="s">
        <v>121</v>
      </c>
      <c r="C600" s="856"/>
      <c r="D600" s="856"/>
      <c r="E600" s="855"/>
      <c r="F600" s="855"/>
      <c r="G600" s="72"/>
      <c r="H600" s="694"/>
    </row>
    <row r="601" spans="1:8" ht="27" customHeight="1">
      <c r="A601" s="3"/>
      <c r="B601" s="37" t="s">
        <v>122</v>
      </c>
      <c r="C601" s="30">
        <v>1</v>
      </c>
      <c r="D601" s="30">
        <v>1</v>
      </c>
      <c r="E601" s="32">
        <v>5</v>
      </c>
      <c r="F601" s="32"/>
      <c r="G601" s="72"/>
      <c r="H601" s="695">
        <f>PRODUCT(C601:G601)</f>
        <v>5</v>
      </c>
    </row>
    <row r="602" spans="1:8" ht="27" customHeight="1">
      <c r="A602" s="3"/>
      <c r="B602" s="37" t="s">
        <v>278</v>
      </c>
      <c r="C602" s="30">
        <v>1</v>
      </c>
      <c r="D602" s="30">
        <v>2</v>
      </c>
      <c r="E602" s="32">
        <v>7</v>
      </c>
      <c r="F602" s="32"/>
      <c r="G602" s="72"/>
      <c r="H602" s="695">
        <f>PRODUCT(C602:G602)</f>
        <v>14</v>
      </c>
    </row>
    <row r="603" spans="1:8" ht="27" customHeight="1">
      <c r="A603" s="3"/>
      <c r="B603" s="37"/>
      <c r="C603" s="30"/>
      <c r="D603" s="30"/>
      <c r="E603" s="38"/>
      <c r="F603" s="38"/>
      <c r="G603" s="72" t="s">
        <v>14</v>
      </c>
      <c r="H603" s="694">
        <f>SUM(H601:H602)</f>
        <v>19</v>
      </c>
    </row>
    <row r="604" spans="1:8" ht="78" customHeight="1">
      <c r="A604" s="3"/>
      <c r="B604" s="963" t="str">
        <f>'Abstract A3'!B100</f>
        <v>Supply and errection of Rotational Moulded Polyethylenewater storage tanks (HDPE Cylinderical vertical type) for outdoor use having capacity of  700 litres</v>
      </c>
      <c r="C604" s="964"/>
      <c r="D604" s="964"/>
      <c r="E604" s="964"/>
      <c r="F604" s="964"/>
      <c r="G604" s="72"/>
      <c r="H604" s="694"/>
    </row>
    <row r="605" spans="1:8" ht="27" customHeight="1">
      <c r="A605" s="3"/>
      <c r="B605" s="37" t="s">
        <v>3396</v>
      </c>
      <c r="C605" s="30">
        <v>1</v>
      </c>
      <c r="D605" s="30">
        <v>1</v>
      </c>
      <c r="E605" s="32"/>
      <c r="F605" s="32"/>
      <c r="G605" s="72"/>
      <c r="H605" s="695">
        <f>PRODUCT(C605:G605)</f>
        <v>1</v>
      </c>
    </row>
    <row r="606" spans="1:8" ht="27" customHeight="1">
      <c r="A606" s="3"/>
      <c r="B606" s="37"/>
      <c r="C606" s="30"/>
      <c r="D606" s="30"/>
      <c r="E606" s="38"/>
      <c r="F606" s="38"/>
      <c r="G606" s="72" t="s">
        <v>14</v>
      </c>
      <c r="H606" s="694">
        <f>SUM(H605:H605)</f>
        <v>1</v>
      </c>
    </row>
    <row r="607" spans="1:8" ht="27" customHeight="1"/>
    <row r="608" spans="1:8" ht="27" customHeight="1"/>
    <row r="609" ht="27" customHeight="1"/>
    <row r="610" ht="27" customHeight="1"/>
    <row r="611" ht="27" customHeight="1"/>
    <row r="612" ht="27" customHeight="1"/>
    <row r="613" ht="27" customHeight="1"/>
    <row r="614" ht="27" customHeight="1"/>
    <row r="615" ht="27" customHeight="1"/>
    <row r="616" ht="27" customHeight="1"/>
    <row r="617" ht="27" customHeight="1"/>
    <row r="618" ht="27" customHeight="1"/>
    <row r="619" ht="27" customHeight="1"/>
    <row r="620" ht="27" customHeight="1"/>
    <row r="621" ht="27" customHeight="1"/>
    <row r="622" ht="27" customHeight="1"/>
    <row r="623" ht="27" customHeight="1"/>
    <row r="624" ht="27" customHeight="1"/>
    <row r="625" ht="27" customHeight="1"/>
    <row r="626" ht="27" customHeight="1"/>
    <row r="627" ht="27" customHeight="1"/>
    <row r="628" ht="27" customHeight="1"/>
    <row r="629" ht="27" customHeight="1"/>
    <row r="630" ht="27" customHeight="1"/>
    <row r="631" ht="27" customHeight="1"/>
    <row r="632" ht="27" customHeight="1"/>
    <row r="633" ht="27" customHeight="1"/>
    <row r="634" ht="27" customHeight="1"/>
    <row r="635" ht="27" customHeight="1"/>
    <row r="636" ht="27" customHeight="1"/>
    <row r="637" ht="27" customHeight="1"/>
    <row r="638" ht="27" customHeight="1"/>
    <row r="639" ht="27" customHeight="1"/>
    <row r="640" ht="27" customHeight="1"/>
    <row r="641" ht="27" customHeight="1"/>
    <row r="642" ht="27" customHeight="1"/>
    <row r="643" ht="27" customHeight="1"/>
    <row r="644" ht="27" customHeight="1"/>
    <row r="645" ht="27" customHeight="1"/>
    <row r="646" ht="27" customHeight="1"/>
    <row r="647" ht="27" customHeight="1"/>
    <row r="648" ht="27" customHeight="1"/>
    <row r="649" ht="27" customHeight="1"/>
    <row r="650" ht="27" customHeight="1"/>
    <row r="651" ht="27" customHeight="1"/>
    <row r="652" ht="27" customHeight="1"/>
    <row r="653" ht="27" customHeight="1"/>
    <row r="654" ht="27" customHeight="1"/>
    <row r="655" ht="27" customHeight="1"/>
    <row r="656" ht="27" customHeight="1"/>
    <row r="657" ht="27" customHeight="1"/>
    <row r="658" ht="27" customHeight="1"/>
    <row r="659" ht="27" customHeight="1"/>
    <row r="660" ht="27" customHeight="1"/>
    <row r="661" ht="27" customHeight="1"/>
    <row r="662" ht="27" customHeight="1"/>
  </sheetData>
  <mergeCells count="102">
    <mergeCell ref="B32:E32"/>
    <mergeCell ref="B595:F595"/>
    <mergeCell ref="B599:F599"/>
    <mergeCell ref="B576:F576"/>
    <mergeCell ref="B579:F579"/>
    <mergeCell ref="B583:F583"/>
    <mergeCell ref="B587:F587"/>
    <mergeCell ref="B588:F588"/>
    <mergeCell ref="B561:F561"/>
    <mergeCell ref="B564:F564"/>
    <mergeCell ref="B568:F568"/>
    <mergeCell ref="B569:F569"/>
    <mergeCell ref="B573:F573"/>
    <mergeCell ref="B556:F556"/>
    <mergeCell ref="B559:F559"/>
    <mergeCell ref="B560:F560"/>
    <mergeCell ref="B592:F592"/>
    <mergeCell ref="B545:F545"/>
    <mergeCell ref="B548:G548"/>
    <mergeCell ref="B550:G550"/>
    <mergeCell ref="B552:F552"/>
    <mergeCell ref="B527:G527"/>
    <mergeCell ref="B530:F530"/>
    <mergeCell ref="B533:F533"/>
    <mergeCell ref="B536:F536"/>
    <mergeCell ref="B539:F539"/>
    <mergeCell ref="B515:F515"/>
    <mergeCell ref="B517:F517"/>
    <mergeCell ref="B522:G522"/>
    <mergeCell ref="B481:F481"/>
    <mergeCell ref="B487:F487"/>
    <mergeCell ref="B500:F500"/>
    <mergeCell ref="B503:F503"/>
    <mergeCell ref="B506:F506"/>
    <mergeCell ref="B542:F542"/>
    <mergeCell ref="B358:D358"/>
    <mergeCell ref="B368:F368"/>
    <mergeCell ref="B329:F329"/>
    <mergeCell ref="B313:E313"/>
    <mergeCell ref="F324:G324"/>
    <mergeCell ref="B325:E325"/>
    <mergeCell ref="F328:G328"/>
    <mergeCell ref="B509:F509"/>
    <mergeCell ref="B513:G513"/>
    <mergeCell ref="B458:E458"/>
    <mergeCell ref="B459:G459"/>
    <mergeCell ref="B466:F466"/>
    <mergeCell ref="B470:F470"/>
    <mergeCell ref="B374:F374"/>
    <mergeCell ref="B379:F379"/>
    <mergeCell ref="B384:F384"/>
    <mergeCell ref="B416:G416"/>
    <mergeCell ref="B426:F426"/>
    <mergeCell ref="B464:E464"/>
    <mergeCell ref="B344:F344"/>
    <mergeCell ref="B349:F349"/>
    <mergeCell ref="B353:F353"/>
    <mergeCell ref="F332:G332"/>
    <mergeCell ref="B289:F289"/>
    <mergeCell ref="B292:F292"/>
    <mergeCell ref="B187:D187"/>
    <mergeCell ref="B110:F110"/>
    <mergeCell ref="B142:F142"/>
    <mergeCell ref="B136:F136"/>
    <mergeCell ref="B147:F147"/>
    <mergeCell ref="B281:F281"/>
    <mergeCell ref="B286:F286"/>
    <mergeCell ref="B236:F236"/>
    <mergeCell ref="F276:G276"/>
    <mergeCell ref="B277:F277"/>
    <mergeCell ref="F280:G280"/>
    <mergeCell ref="B198:G198"/>
    <mergeCell ref="B200:E200"/>
    <mergeCell ref="B204:F204"/>
    <mergeCell ref="B212:F212"/>
    <mergeCell ref="B215:F215"/>
    <mergeCell ref="B219:F219"/>
    <mergeCell ref="B222:F222"/>
    <mergeCell ref="B604:F604"/>
    <mergeCell ref="A1:H1"/>
    <mergeCell ref="A2:H2"/>
    <mergeCell ref="A4:A5"/>
    <mergeCell ref="B4:B5"/>
    <mergeCell ref="C4:D5"/>
    <mergeCell ref="E4:G4"/>
    <mergeCell ref="H4:H5"/>
    <mergeCell ref="B333:F333"/>
    <mergeCell ref="B337:E337"/>
    <mergeCell ref="B338:F338"/>
    <mergeCell ref="B300:F300"/>
    <mergeCell ref="F305:G305"/>
    <mergeCell ref="B306:F306"/>
    <mergeCell ref="B341:F341"/>
    <mergeCell ref="B6:G6"/>
    <mergeCell ref="B20:E20"/>
    <mergeCell ref="B40:F40"/>
    <mergeCell ref="B47:F47"/>
    <mergeCell ref="B90:F90"/>
    <mergeCell ref="B122:F122"/>
    <mergeCell ref="B152:G152"/>
    <mergeCell ref="B153:D153"/>
    <mergeCell ref="B169:D169"/>
  </mergeCells>
  <printOptions horizontalCentered="1"/>
  <pageMargins left="0.51181102362204722" right="0.23622047244094491" top="1.1023622047244095" bottom="0.35433070866141736" header="0.70866141732283472" footer="0.15748031496062992"/>
  <pageSetup paperSize="9" scale="68" orientation="portrait" verticalDpi="300" r:id="rId1"/>
  <headerFooter alignWithMargins="0">
    <oddHeader>Page &amp;P</oddHeader>
  </headerFooter>
</worksheet>
</file>

<file path=xl/worksheets/sheet5.xml><?xml version="1.0" encoding="utf-8"?>
<worksheet xmlns="http://schemas.openxmlformats.org/spreadsheetml/2006/main" xmlns:r="http://schemas.openxmlformats.org/officeDocument/2006/relationships">
  <dimension ref="A1:H31"/>
  <sheetViews>
    <sheetView view="pageBreakPreview" zoomScaleSheetLayoutView="100" workbookViewId="0">
      <selection activeCell="B25" sqref="B25:D25"/>
    </sheetView>
  </sheetViews>
  <sheetFormatPr defaultRowHeight="15.75"/>
  <cols>
    <col min="1" max="1" width="8.28515625" style="76" customWidth="1"/>
    <col min="2" max="2" width="40.28515625" style="76" customWidth="1"/>
    <col min="3" max="3" width="8.5703125" style="76" customWidth="1"/>
    <col min="4" max="4" width="8.42578125" style="76" customWidth="1"/>
    <col min="5" max="5" width="13.28515625" style="76" customWidth="1"/>
    <col min="6" max="6" width="14" style="76" customWidth="1"/>
    <col min="7" max="7" width="13.140625" style="76" customWidth="1"/>
    <col min="8" max="8" width="14.85546875" style="76" bestFit="1" customWidth="1"/>
    <col min="9" max="256" width="9.140625" style="76"/>
    <col min="257" max="257" width="8.28515625" style="76" customWidth="1"/>
    <col min="258" max="258" width="40.28515625" style="76" customWidth="1"/>
    <col min="259" max="259" width="8.5703125" style="76" customWidth="1"/>
    <col min="260" max="260" width="8.42578125" style="76" customWidth="1"/>
    <col min="261" max="261" width="13.28515625" style="76" customWidth="1"/>
    <col min="262" max="262" width="14" style="76" customWidth="1"/>
    <col min="263" max="263" width="13.140625" style="76" customWidth="1"/>
    <col min="264" max="264" width="14.85546875" style="76" bestFit="1" customWidth="1"/>
    <col min="265" max="512" width="9.140625" style="76"/>
    <col min="513" max="513" width="8.28515625" style="76" customWidth="1"/>
    <col min="514" max="514" width="40.28515625" style="76" customWidth="1"/>
    <col min="515" max="515" width="8.5703125" style="76" customWidth="1"/>
    <col min="516" max="516" width="8.42578125" style="76" customWidth="1"/>
    <col min="517" max="517" width="13.28515625" style="76" customWidth="1"/>
    <col min="518" max="518" width="14" style="76" customWidth="1"/>
    <col min="519" max="519" width="13.140625" style="76" customWidth="1"/>
    <col min="520" max="520" width="14.85546875" style="76" bestFit="1" customWidth="1"/>
    <col min="521" max="768" width="9.140625" style="76"/>
    <col min="769" max="769" width="8.28515625" style="76" customWidth="1"/>
    <col min="770" max="770" width="40.28515625" style="76" customWidth="1"/>
    <col min="771" max="771" width="8.5703125" style="76" customWidth="1"/>
    <col min="772" max="772" width="8.42578125" style="76" customWidth="1"/>
    <col min="773" max="773" width="13.28515625" style="76" customWidth="1"/>
    <col min="774" max="774" width="14" style="76" customWidth="1"/>
    <col min="775" max="775" width="13.140625" style="76" customWidth="1"/>
    <col min="776" max="776" width="14.85546875" style="76" bestFit="1" customWidth="1"/>
    <col min="777" max="1024" width="9.140625" style="76"/>
    <col min="1025" max="1025" width="8.28515625" style="76" customWidth="1"/>
    <col min="1026" max="1026" width="40.28515625" style="76" customWidth="1"/>
    <col min="1027" max="1027" width="8.5703125" style="76" customWidth="1"/>
    <col min="1028" max="1028" width="8.42578125" style="76" customWidth="1"/>
    <col min="1029" max="1029" width="13.28515625" style="76" customWidth="1"/>
    <col min="1030" max="1030" width="14" style="76" customWidth="1"/>
    <col min="1031" max="1031" width="13.140625" style="76" customWidth="1"/>
    <col min="1032" max="1032" width="14.85546875" style="76" bestFit="1" customWidth="1"/>
    <col min="1033" max="1280" width="9.140625" style="76"/>
    <col min="1281" max="1281" width="8.28515625" style="76" customWidth="1"/>
    <col min="1282" max="1282" width="40.28515625" style="76" customWidth="1"/>
    <col min="1283" max="1283" width="8.5703125" style="76" customWidth="1"/>
    <col min="1284" max="1284" width="8.42578125" style="76" customWidth="1"/>
    <col min="1285" max="1285" width="13.28515625" style="76" customWidth="1"/>
    <col min="1286" max="1286" width="14" style="76" customWidth="1"/>
    <col min="1287" max="1287" width="13.140625" style="76" customWidth="1"/>
    <col min="1288" max="1288" width="14.85546875" style="76" bestFit="1" customWidth="1"/>
    <col min="1289" max="1536" width="9.140625" style="76"/>
    <col min="1537" max="1537" width="8.28515625" style="76" customWidth="1"/>
    <col min="1538" max="1538" width="40.28515625" style="76" customWidth="1"/>
    <col min="1539" max="1539" width="8.5703125" style="76" customWidth="1"/>
    <col min="1540" max="1540" width="8.42578125" style="76" customWidth="1"/>
    <col min="1541" max="1541" width="13.28515625" style="76" customWidth="1"/>
    <col min="1542" max="1542" width="14" style="76" customWidth="1"/>
    <col min="1543" max="1543" width="13.140625" style="76" customWidth="1"/>
    <col min="1544" max="1544" width="14.85546875" style="76" bestFit="1" customWidth="1"/>
    <col min="1545" max="1792" width="9.140625" style="76"/>
    <col min="1793" max="1793" width="8.28515625" style="76" customWidth="1"/>
    <col min="1794" max="1794" width="40.28515625" style="76" customWidth="1"/>
    <col min="1795" max="1795" width="8.5703125" style="76" customWidth="1"/>
    <col min="1796" max="1796" width="8.42578125" style="76" customWidth="1"/>
    <col min="1797" max="1797" width="13.28515625" style="76" customWidth="1"/>
    <col min="1798" max="1798" width="14" style="76" customWidth="1"/>
    <col min="1799" max="1799" width="13.140625" style="76" customWidth="1"/>
    <col min="1800" max="1800" width="14.85546875" style="76" bestFit="1" customWidth="1"/>
    <col min="1801" max="2048" width="9.140625" style="76"/>
    <col min="2049" max="2049" width="8.28515625" style="76" customWidth="1"/>
    <col min="2050" max="2050" width="40.28515625" style="76" customWidth="1"/>
    <col min="2051" max="2051" width="8.5703125" style="76" customWidth="1"/>
    <col min="2052" max="2052" width="8.42578125" style="76" customWidth="1"/>
    <col min="2053" max="2053" width="13.28515625" style="76" customWidth="1"/>
    <col min="2054" max="2054" width="14" style="76" customWidth="1"/>
    <col min="2055" max="2055" width="13.140625" style="76" customWidth="1"/>
    <col min="2056" max="2056" width="14.85546875" style="76" bestFit="1" customWidth="1"/>
    <col min="2057" max="2304" width="9.140625" style="76"/>
    <col min="2305" max="2305" width="8.28515625" style="76" customWidth="1"/>
    <col min="2306" max="2306" width="40.28515625" style="76" customWidth="1"/>
    <col min="2307" max="2307" width="8.5703125" style="76" customWidth="1"/>
    <col min="2308" max="2308" width="8.42578125" style="76" customWidth="1"/>
    <col min="2309" max="2309" width="13.28515625" style="76" customWidth="1"/>
    <col min="2310" max="2310" width="14" style="76" customWidth="1"/>
    <col min="2311" max="2311" width="13.140625" style="76" customWidth="1"/>
    <col min="2312" max="2312" width="14.85546875" style="76" bestFit="1" customWidth="1"/>
    <col min="2313" max="2560" width="9.140625" style="76"/>
    <col min="2561" max="2561" width="8.28515625" style="76" customWidth="1"/>
    <col min="2562" max="2562" width="40.28515625" style="76" customWidth="1"/>
    <col min="2563" max="2563" width="8.5703125" style="76" customWidth="1"/>
    <col min="2564" max="2564" width="8.42578125" style="76" customWidth="1"/>
    <col min="2565" max="2565" width="13.28515625" style="76" customWidth="1"/>
    <col min="2566" max="2566" width="14" style="76" customWidth="1"/>
    <col min="2567" max="2567" width="13.140625" style="76" customWidth="1"/>
    <col min="2568" max="2568" width="14.85546875" style="76" bestFit="1" customWidth="1"/>
    <col min="2569" max="2816" width="9.140625" style="76"/>
    <col min="2817" max="2817" width="8.28515625" style="76" customWidth="1"/>
    <col min="2818" max="2818" width="40.28515625" style="76" customWidth="1"/>
    <col min="2819" max="2819" width="8.5703125" style="76" customWidth="1"/>
    <col min="2820" max="2820" width="8.42578125" style="76" customWidth="1"/>
    <col min="2821" max="2821" width="13.28515625" style="76" customWidth="1"/>
    <col min="2822" max="2822" width="14" style="76" customWidth="1"/>
    <col min="2823" max="2823" width="13.140625" style="76" customWidth="1"/>
    <col min="2824" max="2824" width="14.85546875" style="76" bestFit="1" customWidth="1"/>
    <col min="2825" max="3072" width="9.140625" style="76"/>
    <col min="3073" max="3073" width="8.28515625" style="76" customWidth="1"/>
    <col min="3074" max="3074" width="40.28515625" style="76" customWidth="1"/>
    <col min="3075" max="3075" width="8.5703125" style="76" customWidth="1"/>
    <col min="3076" max="3076" width="8.42578125" style="76" customWidth="1"/>
    <col min="3077" max="3077" width="13.28515625" style="76" customWidth="1"/>
    <col min="3078" max="3078" width="14" style="76" customWidth="1"/>
    <col min="3079" max="3079" width="13.140625" style="76" customWidth="1"/>
    <col min="3080" max="3080" width="14.85546875" style="76" bestFit="1" customWidth="1"/>
    <col min="3081" max="3328" width="9.140625" style="76"/>
    <col min="3329" max="3329" width="8.28515625" style="76" customWidth="1"/>
    <col min="3330" max="3330" width="40.28515625" style="76" customWidth="1"/>
    <col min="3331" max="3331" width="8.5703125" style="76" customWidth="1"/>
    <col min="3332" max="3332" width="8.42578125" style="76" customWidth="1"/>
    <col min="3333" max="3333" width="13.28515625" style="76" customWidth="1"/>
    <col min="3334" max="3334" width="14" style="76" customWidth="1"/>
    <col min="3335" max="3335" width="13.140625" style="76" customWidth="1"/>
    <col min="3336" max="3336" width="14.85546875" style="76" bestFit="1" customWidth="1"/>
    <col min="3337" max="3584" width="9.140625" style="76"/>
    <col min="3585" max="3585" width="8.28515625" style="76" customWidth="1"/>
    <col min="3586" max="3586" width="40.28515625" style="76" customWidth="1"/>
    <col min="3587" max="3587" width="8.5703125" style="76" customWidth="1"/>
    <col min="3588" max="3588" width="8.42578125" style="76" customWidth="1"/>
    <col min="3589" max="3589" width="13.28515625" style="76" customWidth="1"/>
    <col min="3590" max="3590" width="14" style="76" customWidth="1"/>
    <col min="3591" max="3591" width="13.140625" style="76" customWidth="1"/>
    <col min="3592" max="3592" width="14.85546875" style="76" bestFit="1" customWidth="1"/>
    <col min="3593" max="3840" width="9.140625" style="76"/>
    <col min="3841" max="3841" width="8.28515625" style="76" customWidth="1"/>
    <col min="3842" max="3842" width="40.28515625" style="76" customWidth="1"/>
    <col min="3843" max="3843" width="8.5703125" style="76" customWidth="1"/>
    <col min="3844" max="3844" width="8.42578125" style="76" customWidth="1"/>
    <col min="3845" max="3845" width="13.28515625" style="76" customWidth="1"/>
    <col min="3846" max="3846" width="14" style="76" customWidth="1"/>
    <col min="3847" max="3847" width="13.140625" style="76" customWidth="1"/>
    <col min="3848" max="3848" width="14.85546875" style="76" bestFit="1" customWidth="1"/>
    <col min="3849" max="4096" width="9.140625" style="76"/>
    <col min="4097" max="4097" width="8.28515625" style="76" customWidth="1"/>
    <col min="4098" max="4098" width="40.28515625" style="76" customWidth="1"/>
    <col min="4099" max="4099" width="8.5703125" style="76" customWidth="1"/>
    <col min="4100" max="4100" width="8.42578125" style="76" customWidth="1"/>
    <col min="4101" max="4101" width="13.28515625" style="76" customWidth="1"/>
    <col min="4102" max="4102" width="14" style="76" customWidth="1"/>
    <col min="4103" max="4103" width="13.140625" style="76" customWidth="1"/>
    <col min="4104" max="4104" width="14.85546875" style="76" bestFit="1" customWidth="1"/>
    <col min="4105" max="4352" width="9.140625" style="76"/>
    <col min="4353" max="4353" width="8.28515625" style="76" customWidth="1"/>
    <col min="4354" max="4354" width="40.28515625" style="76" customWidth="1"/>
    <col min="4355" max="4355" width="8.5703125" style="76" customWidth="1"/>
    <col min="4356" max="4356" width="8.42578125" style="76" customWidth="1"/>
    <col min="4357" max="4357" width="13.28515625" style="76" customWidth="1"/>
    <col min="4358" max="4358" width="14" style="76" customWidth="1"/>
    <col min="4359" max="4359" width="13.140625" style="76" customWidth="1"/>
    <col min="4360" max="4360" width="14.85546875" style="76" bestFit="1" customWidth="1"/>
    <col min="4361" max="4608" width="9.140625" style="76"/>
    <col min="4609" max="4609" width="8.28515625" style="76" customWidth="1"/>
    <col min="4610" max="4610" width="40.28515625" style="76" customWidth="1"/>
    <col min="4611" max="4611" width="8.5703125" style="76" customWidth="1"/>
    <col min="4612" max="4612" width="8.42578125" style="76" customWidth="1"/>
    <col min="4613" max="4613" width="13.28515625" style="76" customWidth="1"/>
    <col min="4614" max="4614" width="14" style="76" customWidth="1"/>
    <col min="4615" max="4615" width="13.140625" style="76" customWidth="1"/>
    <col min="4616" max="4616" width="14.85546875" style="76" bestFit="1" customWidth="1"/>
    <col min="4617" max="4864" width="9.140625" style="76"/>
    <col min="4865" max="4865" width="8.28515625" style="76" customWidth="1"/>
    <col min="4866" max="4866" width="40.28515625" style="76" customWidth="1"/>
    <col min="4867" max="4867" width="8.5703125" style="76" customWidth="1"/>
    <col min="4868" max="4868" width="8.42578125" style="76" customWidth="1"/>
    <col min="4869" max="4869" width="13.28515625" style="76" customWidth="1"/>
    <col min="4870" max="4870" width="14" style="76" customWidth="1"/>
    <col min="4871" max="4871" width="13.140625" style="76" customWidth="1"/>
    <col min="4872" max="4872" width="14.85546875" style="76" bestFit="1" customWidth="1"/>
    <col min="4873" max="5120" width="9.140625" style="76"/>
    <col min="5121" max="5121" width="8.28515625" style="76" customWidth="1"/>
    <col min="5122" max="5122" width="40.28515625" style="76" customWidth="1"/>
    <col min="5123" max="5123" width="8.5703125" style="76" customWidth="1"/>
    <col min="5124" max="5124" width="8.42578125" style="76" customWidth="1"/>
    <col min="5125" max="5125" width="13.28515625" style="76" customWidth="1"/>
    <col min="5126" max="5126" width="14" style="76" customWidth="1"/>
    <col min="5127" max="5127" width="13.140625" style="76" customWidth="1"/>
    <col min="5128" max="5128" width="14.85546875" style="76" bestFit="1" customWidth="1"/>
    <col min="5129" max="5376" width="9.140625" style="76"/>
    <col min="5377" max="5377" width="8.28515625" style="76" customWidth="1"/>
    <col min="5378" max="5378" width="40.28515625" style="76" customWidth="1"/>
    <col min="5379" max="5379" width="8.5703125" style="76" customWidth="1"/>
    <col min="5380" max="5380" width="8.42578125" style="76" customWidth="1"/>
    <col min="5381" max="5381" width="13.28515625" style="76" customWidth="1"/>
    <col min="5382" max="5382" width="14" style="76" customWidth="1"/>
    <col min="5383" max="5383" width="13.140625" style="76" customWidth="1"/>
    <col min="5384" max="5384" width="14.85546875" style="76" bestFit="1" customWidth="1"/>
    <col min="5385" max="5632" width="9.140625" style="76"/>
    <col min="5633" max="5633" width="8.28515625" style="76" customWidth="1"/>
    <col min="5634" max="5634" width="40.28515625" style="76" customWidth="1"/>
    <col min="5635" max="5635" width="8.5703125" style="76" customWidth="1"/>
    <col min="5636" max="5636" width="8.42578125" style="76" customWidth="1"/>
    <col min="5637" max="5637" width="13.28515625" style="76" customWidth="1"/>
    <col min="5638" max="5638" width="14" style="76" customWidth="1"/>
    <col min="5639" max="5639" width="13.140625" style="76" customWidth="1"/>
    <col min="5640" max="5640" width="14.85546875" style="76" bestFit="1" customWidth="1"/>
    <col min="5641" max="5888" width="9.140625" style="76"/>
    <col min="5889" max="5889" width="8.28515625" style="76" customWidth="1"/>
    <col min="5890" max="5890" width="40.28515625" style="76" customWidth="1"/>
    <col min="5891" max="5891" width="8.5703125" style="76" customWidth="1"/>
    <col min="5892" max="5892" width="8.42578125" style="76" customWidth="1"/>
    <col min="5893" max="5893" width="13.28515625" style="76" customWidth="1"/>
    <col min="5894" max="5894" width="14" style="76" customWidth="1"/>
    <col min="5895" max="5895" width="13.140625" style="76" customWidth="1"/>
    <col min="5896" max="5896" width="14.85546875" style="76" bestFit="1" customWidth="1"/>
    <col min="5897" max="6144" width="9.140625" style="76"/>
    <col min="6145" max="6145" width="8.28515625" style="76" customWidth="1"/>
    <col min="6146" max="6146" width="40.28515625" style="76" customWidth="1"/>
    <col min="6147" max="6147" width="8.5703125" style="76" customWidth="1"/>
    <col min="6148" max="6148" width="8.42578125" style="76" customWidth="1"/>
    <col min="6149" max="6149" width="13.28515625" style="76" customWidth="1"/>
    <col min="6150" max="6150" width="14" style="76" customWidth="1"/>
    <col min="6151" max="6151" width="13.140625" style="76" customWidth="1"/>
    <col min="6152" max="6152" width="14.85546875" style="76" bestFit="1" customWidth="1"/>
    <col min="6153" max="6400" width="9.140625" style="76"/>
    <col min="6401" max="6401" width="8.28515625" style="76" customWidth="1"/>
    <col min="6402" max="6402" width="40.28515625" style="76" customWidth="1"/>
    <col min="6403" max="6403" width="8.5703125" style="76" customWidth="1"/>
    <col min="6404" max="6404" width="8.42578125" style="76" customWidth="1"/>
    <col min="6405" max="6405" width="13.28515625" style="76" customWidth="1"/>
    <col min="6406" max="6406" width="14" style="76" customWidth="1"/>
    <col min="6407" max="6407" width="13.140625" style="76" customWidth="1"/>
    <col min="6408" max="6408" width="14.85546875" style="76" bestFit="1" customWidth="1"/>
    <col min="6409" max="6656" width="9.140625" style="76"/>
    <col min="6657" max="6657" width="8.28515625" style="76" customWidth="1"/>
    <col min="6658" max="6658" width="40.28515625" style="76" customWidth="1"/>
    <col min="6659" max="6659" width="8.5703125" style="76" customWidth="1"/>
    <col min="6660" max="6660" width="8.42578125" style="76" customWidth="1"/>
    <col min="6661" max="6661" width="13.28515625" style="76" customWidth="1"/>
    <col min="6662" max="6662" width="14" style="76" customWidth="1"/>
    <col min="6663" max="6663" width="13.140625" style="76" customWidth="1"/>
    <col min="6664" max="6664" width="14.85546875" style="76" bestFit="1" customWidth="1"/>
    <col min="6665" max="6912" width="9.140625" style="76"/>
    <col min="6913" max="6913" width="8.28515625" style="76" customWidth="1"/>
    <col min="6914" max="6914" width="40.28515625" style="76" customWidth="1"/>
    <col min="6915" max="6915" width="8.5703125" style="76" customWidth="1"/>
    <col min="6916" max="6916" width="8.42578125" style="76" customWidth="1"/>
    <col min="6917" max="6917" width="13.28515625" style="76" customWidth="1"/>
    <col min="6918" max="6918" width="14" style="76" customWidth="1"/>
    <col min="6919" max="6919" width="13.140625" style="76" customWidth="1"/>
    <col min="6920" max="6920" width="14.85546875" style="76" bestFit="1" customWidth="1"/>
    <col min="6921" max="7168" width="9.140625" style="76"/>
    <col min="7169" max="7169" width="8.28515625" style="76" customWidth="1"/>
    <col min="7170" max="7170" width="40.28515625" style="76" customWidth="1"/>
    <col min="7171" max="7171" width="8.5703125" style="76" customWidth="1"/>
    <col min="7172" max="7172" width="8.42578125" style="76" customWidth="1"/>
    <col min="7173" max="7173" width="13.28515625" style="76" customWidth="1"/>
    <col min="7174" max="7174" width="14" style="76" customWidth="1"/>
    <col min="7175" max="7175" width="13.140625" style="76" customWidth="1"/>
    <col min="7176" max="7176" width="14.85546875" style="76" bestFit="1" customWidth="1"/>
    <col min="7177" max="7424" width="9.140625" style="76"/>
    <col min="7425" max="7425" width="8.28515625" style="76" customWidth="1"/>
    <col min="7426" max="7426" width="40.28515625" style="76" customWidth="1"/>
    <col min="7427" max="7427" width="8.5703125" style="76" customWidth="1"/>
    <col min="7428" max="7428" width="8.42578125" style="76" customWidth="1"/>
    <col min="7429" max="7429" width="13.28515625" style="76" customWidth="1"/>
    <col min="7430" max="7430" width="14" style="76" customWidth="1"/>
    <col min="7431" max="7431" width="13.140625" style="76" customWidth="1"/>
    <col min="7432" max="7432" width="14.85546875" style="76" bestFit="1" customWidth="1"/>
    <col min="7433" max="7680" width="9.140625" style="76"/>
    <col min="7681" max="7681" width="8.28515625" style="76" customWidth="1"/>
    <col min="7682" max="7682" width="40.28515625" style="76" customWidth="1"/>
    <col min="7683" max="7683" width="8.5703125" style="76" customWidth="1"/>
    <col min="7684" max="7684" width="8.42578125" style="76" customWidth="1"/>
    <col min="7685" max="7685" width="13.28515625" style="76" customWidth="1"/>
    <col min="7686" max="7686" width="14" style="76" customWidth="1"/>
    <col min="7687" max="7687" width="13.140625" style="76" customWidth="1"/>
    <col min="7688" max="7688" width="14.85546875" style="76" bestFit="1" customWidth="1"/>
    <col min="7689" max="7936" width="9.140625" style="76"/>
    <col min="7937" max="7937" width="8.28515625" style="76" customWidth="1"/>
    <col min="7938" max="7938" width="40.28515625" style="76" customWidth="1"/>
    <col min="7939" max="7939" width="8.5703125" style="76" customWidth="1"/>
    <col min="7940" max="7940" width="8.42578125" style="76" customWidth="1"/>
    <col min="7941" max="7941" width="13.28515625" style="76" customWidth="1"/>
    <col min="7942" max="7942" width="14" style="76" customWidth="1"/>
    <col min="7943" max="7943" width="13.140625" style="76" customWidth="1"/>
    <col min="7944" max="7944" width="14.85546875" style="76" bestFit="1" customWidth="1"/>
    <col min="7945" max="8192" width="9.140625" style="76"/>
    <col min="8193" max="8193" width="8.28515625" style="76" customWidth="1"/>
    <col min="8194" max="8194" width="40.28515625" style="76" customWidth="1"/>
    <col min="8195" max="8195" width="8.5703125" style="76" customWidth="1"/>
    <col min="8196" max="8196" width="8.42578125" style="76" customWidth="1"/>
    <col min="8197" max="8197" width="13.28515625" style="76" customWidth="1"/>
    <col min="8198" max="8198" width="14" style="76" customWidth="1"/>
    <col min="8199" max="8199" width="13.140625" style="76" customWidth="1"/>
    <col min="8200" max="8200" width="14.85546875" style="76" bestFit="1" customWidth="1"/>
    <col min="8201" max="8448" width="9.140625" style="76"/>
    <col min="8449" max="8449" width="8.28515625" style="76" customWidth="1"/>
    <col min="8450" max="8450" width="40.28515625" style="76" customWidth="1"/>
    <col min="8451" max="8451" width="8.5703125" style="76" customWidth="1"/>
    <col min="8452" max="8452" width="8.42578125" style="76" customWidth="1"/>
    <col min="8453" max="8453" width="13.28515625" style="76" customWidth="1"/>
    <col min="8454" max="8454" width="14" style="76" customWidth="1"/>
    <col min="8455" max="8455" width="13.140625" style="76" customWidth="1"/>
    <col min="8456" max="8456" width="14.85546875" style="76" bestFit="1" customWidth="1"/>
    <col min="8457" max="8704" width="9.140625" style="76"/>
    <col min="8705" max="8705" width="8.28515625" style="76" customWidth="1"/>
    <col min="8706" max="8706" width="40.28515625" style="76" customWidth="1"/>
    <col min="8707" max="8707" width="8.5703125" style="76" customWidth="1"/>
    <col min="8708" max="8708" width="8.42578125" style="76" customWidth="1"/>
    <col min="8709" max="8709" width="13.28515625" style="76" customWidth="1"/>
    <col min="8710" max="8710" width="14" style="76" customWidth="1"/>
    <col min="8711" max="8711" width="13.140625" style="76" customWidth="1"/>
    <col min="8712" max="8712" width="14.85546875" style="76" bestFit="1" customWidth="1"/>
    <col min="8713" max="8960" width="9.140625" style="76"/>
    <col min="8961" max="8961" width="8.28515625" style="76" customWidth="1"/>
    <col min="8962" max="8962" width="40.28515625" style="76" customWidth="1"/>
    <col min="8963" max="8963" width="8.5703125" style="76" customWidth="1"/>
    <col min="8964" max="8964" width="8.42578125" style="76" customWidth="1"/>
    <col min="8965" max="8965" width="13.28515625" style="76" customWidth="1"/>
    <col min="8966" max="8966" width="14" style="76" customWidth="1"/>
    <col min="8967" max="8967" width="13.140625" style="76" customWidth="1"/>
    <col min="8968" max="8968" width="14.85546875" style="76" bestFit="1" customWidth="1"/>
    <col min="8969" max="9216" width="9.140625" style="76"/>
    <col min="9217" max="9217" width="8.28515625" style="76" customWidth="1"/>
    <col min="9218" max="9218" width="40.28515625" style="76" customWidth="1"/>
    <col min="9219" max="9219" width="8.5703125" style="76" customWidth="1"/>
    <col min="9220" max="9220" width="8.42578125" style="76" customWidth="1"/>
    <col min="9221" max="9221" width="13.28515625" style="76" customWidth="1"/>
    <col min="9222" max="9222" width="14" style="76" customWidth="1"/>
    <col min="9223" max="9223" width="13.140625" style="76" customWidth="1"/>
    <col min="9224" max="9224" width="14.85546875" style="76" bestFit="1" customWidth="1"/>
    <col min="9225" max="9472" width="9.140625" style="76"/>
    <col min="9473" max="9473" width="8.28515625" style="76" customWidth="1"/>
    <col min="9474" max="9474" width="40.28515625" style="76" customWidth="1"/>
    <col min="9475" max="9475" width="8.5703125" style="76" customWidth="1"/>
    <col min="9476" max="9476" width="8.42578125" style="76" customWidth="1"/>
    <col min="9477" max="9477" width="13.28515625" style="76" customWidth="1"/>
    <col min="9478" max="9478" width="14" style="76" customWidth="1"/>
    <col min="9479" max="9479" width="13.140625" style="76" customWidth="1"/>
    <col min="9480" max="9480" width="14.85546875" style="76" bestFit="1" customWidth="1"/>
    <col min="9481" max="9728" width="9.140625" style="76"/>
    <col min="9729" max="9729" width="8.28515625" style="76" customWidth="1"/>
    <col min="9730" max="9730" width="40.28515625" style="76" customWidth="1"/>
    <col min="9731" max="9731" width="8.5703125" style="76" customWidth="1"/>
    <col min="9732" max="9732" width="8.42578125" style="76" customWidth="1"/>
    <col min="9733" max="9733" width="13.28515625" style="76" customWidth="1"/>
    <col min="9734" max="9734" width="14" style="76" customWidth="1"/>
    <col min="9735" max="9735" width="13.140625" style="76" customWidth="1"/>
    <col min="9736" max="9736" width="14.85546875" style="76" bestFit="1" customWidth="1"/>
    <col min="9737" max="9984" width="9.140625" style="76"/>
    <col min="9985" max="9985" width="8.28515625" style="76" customWidth="1"/>
    <col min="9986" max="9986" width="40.28515625" style="76" customWidth="1"/>
    <col min="9987" max="9987" width="8.5703125" style="76" customWidth="1"/>
    <col min="9988" max="9988" width="8.42578125" style="76" customWidth="1"/>
    <col min="9989" max="9989" width="13.28515625" style="76" customWidth="1"/>
    <col min="9990" max="9990" width="14" style="76" customWidth="1"/>
    <col min="9991" max="9991" width="13.140625" style="76" customWidth="1"/>
    <col min="9992" max="9992" width="14.85546875" style="76" bestFit="1" customWidth="1"/>
    <col min="9993" max="10240" width="9.140625" style="76"/>
    <col min="10241" max="10241" width="8.28515625" style="76" customWidth="1"/>
    <col min="10242" max="10242" width="40.28515625" style="76" customWidth="1"/>
    <col min="10243" max="10243" width="8.5703125" style="76" customWidth="1"/>
    <col min="10244" max="10244" width="8.42578125" style="76" customWidth="1"/>
    <col min="10245" max="10245" width="13.28515625" style="76" customWidth="1"/>
    <col min="10246" max="10246" width="14" style="76" customWidth="1"/>
    <col min="10247" max="10247" width="13.140625" style="76" customWidth="1"/>
    <col min="10248" max="10248" width="14.85546875" style="76" bestFit="1" customWidth="1"/>
    <col min="10249" max="10496" width="9.140625" style="76"/>
    <col min="10497" max="10497" width="8.28515625" style="76" customWidth="1"/>
    <col min="10498" max="10498" width="40.28515625" style="76" customWidth="1"/>
    <col min="10499" max="10499" width="8.5703125" style="76" customWidth="1"/>
    <col min="10500" max="10500" width="8.42578125" style="76" customWidth="1"/>
    <col min="10501" max="10501" width="13.28515625" style="76" customWidth="1"/>
    <col min="10502" max="10502" width="14" style="76" customWidth="1"/>
    <col min="10503" max="10503" width="13.140625" style="76" customWidth="1"/>
    <col min="10504" max="10504" width="14.85546875" style="76" bestFit="1" customWidth="1"/>
    <col min="10505" max="10752" width="9.140625" style="76"/>
    <col min="10753" max="10753" width="8.28515625" style="76" customWidth="1"/>
    <col min="10754" max="10754" width="40.28515625" style="76" customWidth="1"/>
    <col min="10755" max="10755" width="8.5703125" style="76" customWidth="1"/>
    <col min="10756" max="10756" width="8.42578125" style="76" customWidth="1"/>
    <col min="10757" max="10757" width="13.28515625" style="76" customWidth="1"/>
    <col min="10758" max="10758" width="14" style="76" customWidth="1"/>
    <col min="10759" max="10759" width="13.140625" style="76" customWidth="1"/>
    <col min="10760" max="10760" width="14.85546875" style="76" bestFit="1" customWidth="1"/>
    <col min="10761" max="11008" width="9.140625" style="76"/>
    <col min="11009" max="11009" width="8.28515625" style="76" customWidth="1"/>
    <col min="11010" max="11010" width="40.28515625" style="76" customWidth="1"/>
    <col min="11011" max="11011" width="8.5703125" style="76" customWidth="1"/>
    <col min="11012" max="11012" width="8.42578125" style="76" customWidth="1"/>
    <col min="11013" max="11013" width="13.28515625" style="76" customWidth="1"/>
    <col min="11014" max="11014" width="14" style="76" customWidth="1"/>
    <col min="11015" max="11015" width="13.140625" style="76" customWidth="1"/>
    <col min="11016" max="11016" width="14.85546875" style="76" bestFit="1" customWidth="1"/>
    <col min="11017" max="11264" width="9.140625" style="76"/>
    <col min="11265" max="11265" width="8.28515625" style="76" customWidth="1"/>
    <col min="11266" max="11266" width="40.28515625" style="76" customWidth="1"/>
    <col min="11267" max="11267" width="8.5703125" style="76" customWidth="1"/>
    <col min="11268" max="11268" width="8.42578125" style="76" customWidth="1"/>
    <col min="11269" max="11269" width="13.28515625" style="76" customWidth="1"/>
    <col min="11270" max="11270" width="14" style="76" customWidth="1"/>
    <col min="11271" max="11271" width="13.140625" style="76" customWidth="1"/>
    <col min="11272" max="11272" width="14.85546875" style="76" bestFit="1" customWidth="1"/>
    <col min="11273" max="11520" width="9.140625" style="76"/>
    <col min="11521" max="11521" width="8.28515625" style="76" customWidth="1"/>
    <col min="11522" max="11522" width="40.28515625" style="76" customWidth="1"/>
    <col min="11523" max="11523" width="8.5703125" style="76" customWidth="1"/>
    <col min="11524" max="11524" width="8.42578125" style="76" customWidth="1"/>
    <col min="11525" max="11525" width="13.28515625" style="76" customWidth="1"/>
    <col min="11526" max="11526" width="14" style="76" customWidth="1"/>
    <col min="11527" max="11527" width="13.140625" style="76" customWidth="1"/>
    <col min="11528" max="11528" width="14.85546875" style="76" bestFit="1" customWidth="1"/>
    <col min="11529" max="11776" width="9.140625" style="76"/>
    <col min="11777" max="11777" width="8.28515625" style="76" customWidth="1"/>
    <col min="11778" max="11778" width="40.28515625" style="76" customWidth="1"/>
    <col min="11779" max="11779" width="8.5703125" style="76" customWidth="1"/>
    <col min="11780" max="11780" width="8.42578125" style="76" customWidth="1"/>
    <col min="11781" max="11781" width="13.28515625" style="76" customWidth="1"/>
    <col min="11782" max="11782" width="14" style="76" customWidth="1"/>
    <col min="11783" max="11783" width="13.140625" style="76" customWidth="1"/>
    <col min="11784" max="11784" width="14.85546875" style="76" bestFit="1" customWidth="1"/>
    <col min="11785" max="12032" width="9.140625" style="76"/>
    <col min="12033" max="12033" width="8.28515625" style="76" customWidth="1"/>
    <col min="12034" max="12034" width="40.28515625" style="76" customWidth="1"/>
    <col min="12035" max="12035" width="8.5703125" style="76" customWidth="1"/>
    <col min="12036" max="12036" width="8.42578125" style="76" customWidth="1"/>
    <col min="12037" max="12037" width="13.28515625" style="76" customWidth="1"/>
    <col min="12038" max="12038" width="14" style="76" customWidth="1"/>
    <col min="12039" max="12039" width="13.140625" style="76" customWidth="1"/>
    <col min="12040" max="12040" width="14.85546875" style="76" bestFit="1" customWidth="1"/>
    <col min="12041" max="12288" width="9.140625" style="76"/>
    <col min="12289" max="12289" width="8.28515625" style="76" customWidth="1"/>
    <col min="12290" max="12290" width="40.28515625" style="76" customWidth="1"/>
    <col min="12291" max="12291" width="8.5703125" style="76" customWidth="1"/>
    <col min="12292" max="12292" width="8.42578125" style="76" customWidth="1"/>
    <col min="12293" max="12293" width="13.28515625" style="76" customWidth="1"/>
    <col min="12294" max="12294" width="14" style="76" customWidth="1"/>
    <col min="12295" max="12295" width="13.140625" style="76" customWidth="1"/>
    <col min="12296" max="12296" width="14.85546875" style="76" bestFit="1" customWidth="1"/>
    <col min="12297" max="12544" width="9.140625" style="76"/>
    <col min="12545" max="12545" width="8.28515625" style="76" customWidth="1"/>
    <col min="12546" max="12546" width="40.28515625" style="76" customWidth="1"/>
    <col min="12547" max="12547" width="8.5703125" style="76" customWidth="1"/>
    <col min="12548" max="12548" width="8.42578125" style="76" customWidth="1"/>
    <col min="12549" max="12549" width="13.28515625" style="76" customWidth="1"/>
    <col min="12550" max="12550" width="14" style="76" customWidth="1"/>
    <col min="12551" max="12551" width="13.140625" style="76" customWidth="1"/>
    <col min="12552" max="12552" width="14.85546875" style="76" bestFit="1" customWidth="1"/>
    <col min="12553" max="12800" width="9.140625" style="76"/>
    <col min="12801" max="12801" width="8.28515625" style="76" customWidth="1"/>
    <col min="12802" max="12802" width="40.28515625" style="76" customWidth="1"/>
    <col min="12803" max="12803" width="8.5703125" style="76" customWidth="1"/>
    <col min="12804" max="12804" width="8.42578125" style="76" customWidth="1"/>
    <col min="12805" max="12805" width="13.28515625" style="76" customWidth="1"/>
    <col min="12806" max="12806" width="14" style="76" customWidth="1"/>
    <col min="12807" max="12807" width="13.140625" style="76" customWidth="1"/>
    <col min="12808" max="12808" width="14.85546875" style="76" bestFit="1" customWidth="1"/>
    <col min="12809" max="13056" width="9.140625" style="76"/>
    <col min="13057" max="13057" width="8.28515625" style="76" customWidth="1"/>
    <col min="13058" max="13058" width="40.28515625" style="76" customWidth="1"/>
    <col min="13059" max="13059" width="8.5703125" style="76" customWidth="1"/>
    <col min="13060" max="13060" width="8.42578125" style="76" customWidth="1"/>
    <col min="13061" max="13061" width="13.28515625" style="76" customWidth="1"/>
    <col min="13062" max="13062" width="14" style="76" customWidth="1"/>
    <col min="13063" max="13063" width="13.140625" style="76" customWidth="1"/>
    <col min="13064" max="13064" width="14.85546875" style="76" bestFit="1" customWidth="1"/>
    <col min="13065" max="13312" width="9.140625" style="76"/>
    <col min="13313" max="13313" width="8.28515625" style="76" customWidth="1"/>
    <col min="13314" max="13314" width="40.28515625" style="76" customWidth="1"/>
    <col min="13315" max="13315" width="8.5703125" style="76" customWidth="1"/>
    <col min="13316" max="13316" width="8.42578125" style="76" customWidth="1"/>
    <col min="13317" max="13317" width="13.28515625" style="76" customWidth="1"/>
    <col min="13318" max="13318" width="14" style="76" customWidth="1"/>
    <col min="13319" max="13319" width="13.140625" style="76" customWidth="1"/>
    <col min="13320" max="13320" width="14.85546875" style="76" bestFit="1" customWidth="1"/>
    <col min="13321" max="13568" width="9.140625" style="76"/>
    <col min="13569" max="13569" width="8.28515625" style="76" customWidth="1"/>
    <col min="13570" max="13570" width="40.28515625" style="76" customWidth="1"/>
    <col min="13571" max="13571" width="8.5703125" style="76" customWidth="1"/>
    <col min="13572" max="13572" width="8.42578125" style="76" customWidth="1"/>
    <col min="13573" max="13573" width="13.28515625" style="76" customWidth="1"/>
    <col min="13574" max="13574" width="14" style="76" customWidth="1"/>
    <col min="13575" max="13575" width="13.140625" style="76" customWidth="1"/>
    <col min="13576" max="13576" width="14.85546875" style="76" bestFit="1" customWidth="1"/>
    <col min="13577" max="13824" width="9.140625" style="76"/>
    <col min="13825" max="13825" width="8.28515625" style="76" customWidth="1"/>
    <col min="13826" max="13826" width="40.28515625" style="76" customWidth="1"/>
    <col min="13827" max="13827" width="8.5703125" style="76" customWidth="1"/>
    <col min="13828" max="13828" width="8.42578125" style="76" customWidth="1"/>
    <col min="13829" max="13829" width="13.28515625" style="76" customWidth="1"/>
    <col min="13830" max="13830" width="14" style="76" customWidth="1"/>
    <col min="13831" max="13831" width="13.140625" style="76" customWidth="1"/>
    <col min="13832" max="13832" width="14.85546875" style="76" bestFit="1" customWidth="1"/>
    <col min="13833" max="14080" width="9.140625" style="76"/>
    <col min="14081" max="14081" width="8.28515625" style="76" customWidth="1"/>
    <col min="14082" max="14082" width="40.28515625" style="76" customWidth="1"/>
    <col min="14083" max="14083" width="8.5703125" style="76" customWidth="1"/>
    <col min="14084" max="14084" width="8.42578125" style="76" customWidth="1"/>
    <col min="14085" max="14085" width="13.28515625" style="76" customWidth="1"/>
    <col min="14086" max="14086" width="14" style="76" customWidth="1"/>
    <col min="14087" max="14087" width="13.140625" style="76" customWidth="1"/>
    <col min="14088" max="14088" width="14.85546875" style="76" bestFit="1" customWidth="1"/>
    <col min="14089" max="14336" width="9.140625" style="76"/>
    <col min="14337" max="14337" width="8.28515625" style="76" customWidth="1"/>
    <col min="14338" max="14338" width="40.28515625" style="76" customWidth="1"/>
    <col min="14339" max="14339" width="8.5703125" style="76" customWidth="1"/>
    <col min="14340" max="14340" width="8.42578125" style="76" customWidth="1"/>
    <col min="14341" max="14341" width="13.28515625" style="76" customWidth="1"/>
    <col min="14342" max="14342" width="14" style="76" customWidth="1"/>
    <col min="14343" max="14343" width="13.140625" style="76" customWidth="1"/>
    <col min="14344" max="14344" width="14.85546875" style="76" bestFit="1" customWidth="1"/>
    <col min="14345" max="14592" width="9.140625" style="76"/>
    <col min="14593" max="14593" width="8.28515625" style="76" customWidth="1"/>
    <col min="14594" max="14594" width="40.28515625" style="76" customWidth="1"/>
    <col min="14595" max="14595" width="8.5703125" style="76" customWidth="1"/>
    <col min="14596" max="14596" width="8.42578125" style="76" customWidth="1"/>
    <col min="14597" max="14597" width="13.28515625" style="76" customWidth="1"/>
    <col min="14598" max="14598" width="14" style="76" customWidth="1"/>
    <col min="14599" max="14599" width="13.140625" style="76" customWidth="1"/>
    <col min="14600" max="14600" width="14.85546875" style="76" bestFit="1" customWidth="1"/>
    <col min="14601" max="14848" width="9.140625" style="76"/>
    <col min="14849" max="14849" width="8.28515625" style="76" customWidth="1"/>
    <col min="14850" max="14850" width="40.28515625" style="76" customWidth="1"/>
    <col min="14851" max="14851" width="8.5703125" style="76" customWidth="1"/>
    <col min="14852" max="14852" width="8.42578125" style="76" customWidth="1"/>
    <col min="14853" max="14853" width="13.28515625" style="76" customWidth="1"/>
    <col min="14854" max="14854" width="14" style="76" customWidth="1"/>
    <col min="14855" max="14855" width="13.140625" style="76" customWidth="1"/>
    <col min="14856" max="14856" width="14.85546875" style="76" bestFit="1" customWidth="1"/>
    <col min="14857" max="15104" width="9.140625" style="76"/>
    <col min="15105" max="15105" width="8.28515625" style="76" customWidth="1"/>
    <col min="15106" max="15106" width="40.28515625" style="76" customWidth="1"/>
    <col min="15107" max="15107" width="8.5703125" style="76" customWidth="1"/>
    <col min="15108" max="15108" width="8.42578125" style="76" customWidth="1"/>
    <col min="15109" max="15109" width="13.28515625" style="76" customWidth="1"/>
    <col min="15110" max="15110" width="14" style="76" customWidth="1"/>
    <col min="15111" max="15111" width="13.140625" style="76" customWidth="1"/>
    <col min="15112" max="15112" width="14.85546875" style="76" bestFit="1" customWidth="1"/>
    <col min="15113" max="15360" width="9.140625" style="76"/>
    <col min="15361" max="15361" width="8.28515625" style="76" customWidth="1"/>
    <col min="15362" max="15362" width="40.28515625" style="76" customWidth="1"/>
    <col min="15363" max="15363" width="8.5703125" style="76" customWidth="1"/>
    <col min="15364" max="15364" width="8.42578125" style="76" customWidth="1"/>
    <col min="15365" max="15365" width="13.28515625" style="76" customWidth="1"/>
    <col min="15366" max="15366" width="14" style="76" customWidth="1"/>
    <col min="15367" max="15367" width="13.140625" style="76" customWidth="1"/>
    <col min="15368" max="15368" width="14.85546875" style="76" bestFit="1" customWidth="1"/>
    <col min="15369" max="15616" width="9.140625" style="76"/>
    <col min="15617" max="15617" width="8.28515625" style="76" customWidth="1"/>
    <col min="15618" max="15618" width="40.28515625" style="76" customWidth="1"/>
    <col min="15619" max="15619" width="8.5703125" style="76" customWidth="1"/>
    <col min="15620" max="15620" width="8.42578125" style="76" customWidth="1"/>
    <col min="15621" max="15621" width="13.28515625" style="76" customWidth="1"/>
    <col min="15622" max="15622" width="14" style="76" customWidth="1"/>
    <col min="15623" max="15623" width="13.140625" style="76" customWidth="1"/>
    <col min="15624" max="15624" width="14.85546875" style="76" bestFit="1" customWidth="1"/>
    <col min="15625" max="15872" width="9.140625" style="76"/>
    <col min="15873" max="15873" width="8.28515625" style="76" customWidth="1"/>
    <col min="15874" max="15874" width="40.28515625" style="76" customWidth="1"/>
    <col min="15875" max="15875" width="8.5703125" style="76" customWidth="1"/>
    <col min="15876" max="15876" width="8.42578125" style="76" customWidth="1"/>
    <col min="15877" max="15877" width="13.28515625" style="76" customWidth="1"/>
    <col min="15878" max="15878" width="14" style="76" customWidth="1"/>
    <col min="15879" max="15879" width="13.140625" style="76" customWidth="1"/>
    <col min="15880" max="15880" width="14.85546875" style="76" bestFit="1" customWidth="1"/>
    <col min="15881" max="16128" width="9.140625" style="76"/>
    <col min="16129" max="16129" width="8.28515625" style="76" customWidth="1"/>
    <col min="16130" max="16130" width="40.28515625" style="76" customWidth="1"/>
    <col min="16131" max="16131" width="8.5703125" style="76" customWidth="1"/>
    <col min="16132" max="16132" width="8.42578125" style="76" customWidth="1"/>
    <col min="16133" max="16133" width="13.28515625" style="76" customWidth="1"/>
    <col min="16134" max="16134" width="14" style="76" customWidth="1"/>
    <col min="16135" max="16135" width="13.140625" style="76" customWidth="1"/>
    <col min="16136" max="16136" width="14.85546875" style="76" bestFit="1" customWidth="1"/>
    <col min="16137" max="16384" width="9.140625" style="76"/>
  </cols>
  <sheetData>
    <row r="1" spans="1:8" ht="50.25" customHeight="1">
      <c r="A1" s="999" t="str">
        <f>[3]Main!A5</f>
        <v>Construction of  Dining room, Pigeon hole rack with locker box for usage of Prison  staff  at Women Prison in Coimbatore.</v>
      </c>
      <c r="B1" s="999"/>
      <c r="C1" s="999"/>
      <c r="D1" s="999"/>
      <c r="E1" s="999"/>
      <c r="F1" s="999"/>
      <c r="G1" s="999"/>
      <c r="H1" s="999"/>
    </row>
    <row r="2" spans="1:8" ht="27.75" customHeight="1">
      <c r="A2" s="1000" t="s">
        <v>279</v>
      </c>
      <c r="B2" s="1000"/>
      <c r="C2" s="1000"/>
      <c r="D2" s="1000"/>
      <c r="E2" s="1000"/>
      <c r="F2" s="1000"/>
      <c r="G2" s="1000"/>
      <c r="H2" s="1000"/>
    </row>
    <row r="3" spans="1:8" ht="27.75" customHeight="1">
      <c r="A3" s="1001" t="s">
        <v>280</v>
      </c>
      <c r="B3" s="1001"/>
      <c r="C3" s="1001"/>
      <c r="D3" s="1001"/>
      <c r="E3" s="1001"/>
      <c r="F3" s="1001"/>
      <c r="G3" s="1001"/>
      <c r="H3" s="1001"/>
    </row>
    <row r="4" spans="1:8" ht="18.75">
      <c r="A4" s="1001" t="s">
        <v>1</v>
      </c>
      <c r="B4" s="1001" t="s">
        <v>281</v>
      </c>
      <c r="C4" s="1001" t="s">
        <v>42</v>
      </c>
      <c r="D4" s="1001"/>
      <c r="E4" s="1001" t="s">
        <v>282</v>
      </c>
      <c r="F4" s="1001"/>
      <c r="G4" s="1001"/>
      <c r="H4" s="1001" t="s">
        <v>5</v>
      </c>
    </row>
    <row r="5" spans="1:8" ht="18.75">
      <c r="A5" s="1001"/>
      <c r="B5" s="1001"/>
      <c r="C5" s="1001"/>
      <c r="D5" s="1001"/>
      <c r="E5" s="866" t="s">
        <v>6</v>
      </c>
      <c r="F5" s="866" t="s">
        <v>7</v>
      </c>
      <c r="G5" s="866" t="s">
        <v>8</v>
      </c>
      <c r="H5" s="1001"/>
    </row>
    <row r="6" spans="1:8" ht="40.5" customHeight="1">
      <c r="A6" s="77">
        <v>1.1000000000000001</v>
      </c>
      <c r="B6" s="1002" t="s">
        <v>283</v>
      </c>
      <c r="C6" s="1002"/>
      <c r="D6" s="1002"/>
      <c r="E6" s="78"/>
      <c r="F6" s="78"/>
      <c r="G6" s="78"/>
      <c r="H6" s="78"/>
    </row>
    <row r="7" spans="1:8" ht="40.5" customHeight="1">
      <c r="A7" s="78"/>
      <c r="B7" s="79" t="s">
        <v>284</v>
      </c>
      <c r="C7" s="80"/>
      <c r="D7" s="81"/>
      <c r="E7" s="78"/>
      <c r="F7" s="78"/>
      <c r="G7" s="78"/>
      <c r="H7" s="78"/>
    </row>
    <row r="8" spans="1:8" ht="42.75" customHeight="1">
      <c r="A8" s="78"/>
      <c r="B8" s="82" t="s">
        <v>285</v>
      </c>
      <c r="C8" s="83">
        <v>1</v>
      </c>
      <c r="D8" s="81">
        <v>1</v>
      </c>
      <c r="E8" s="78">
        <v>40.18</v>
      </c>
      <c r="F8" s="78">
        <v>0.38</v>
      </c>
      <c r="G8" s="78">
        <v>0.5</v>
      </c>
      <c r="H8" s="84">
        <f>PRODUCT(C8:G8)</f>
        <v>7.6341999999999999</v>
      </c>
    </row>
    <row r="9" spans="1:8" ht="18.75">
      <c r="A9" s="78"/>
      <c r="B9" s="82"/>
      <c r="C9" s="83"/>
      <c r="D9" s="81"/>
      <c r="E9" s="78"/>
      <c r="F9" s="78" t="s">
        <v>237</v>
      </c>
      <c r="G9" s="84">
        <f>ROUNDUP(H8,1)</f>
        <v>7.6999999999999993</v>
      </c>
      <c r="H9" s="78" t="s">
        <v>238</v>
      </c>
    </row>
    <row r="10" spans="1:8" ht="38.25" customHeight="1">
      <c r="A10" s="77">
        <v>2.1</v>
      </c>
      <c r="B10" s="79" t="s">
        <v>286</v>
      </c>
      <c r="C10" s="83"/>
      <c r="D10" s="81"/>
      <c r="E10" s="78"/>
      <c r="F10" s="78"/>
      <c r="G10" s="78"/>
      <c r="H10" s="78"/>
    </row>
    <row r="11" spans="1:8" ht="37.5">
      <c r="A11" s="77"/>
      <c r="B11" s="82" t="s">
        <v>287</v>
      </c>
      <c r="C11" s="83">
        <v>1</v>
      </c>
      <c r="D11" s="81">
        <v>1</v>
      </c>
      <c r="E11" s="78">
        <f>E8</f>
        <v>40.18</v>
      </c>
      <c r="F11" s="78">
        <v>0.38</v>
      </c>
      <c r="G11" s="85">
        <v>0.1</v>
      </c>
      <c r="H11" s="84">
        <f>PRODUCT(C11:G11)</f>
        <v>1.52684</v>
      </c>
    </row>
    <row r="12" spans="1:8" ht="18.75">
      <c r="A12" s="77"/>
      <c r="B12" s="82"/>
      <c r="C12" s="83"/>
      <c r="D12" s="81"/>
      <c r="E12" s="78"/>
      <c r="F12" s="78" t="s">
        <v>237</v>
      </c>
      <c r="G12" s="84">
        <f>ROUNDUP(H11,1)</f>
        <v>1.6</v>
      </c>
      <c r="H12" s="78" t="s">
        <v>238</v>
      </c>
    </row>
    <row r="13" spans="1:8" ht="39.75" customHeight="1">
      <c r="A13" s="77">
        <v>3.1</v>
      </c>
      <c r="B13" s="1002" t="s">
        <v>288</v>
      </c>
      <c r="C13" s="1002"/>
      <c r="D13" s="1002"/>
      <c r="E13" s="78"/>
      <c r="F13" s="78"/>
      <c r="G13" s="78"/>
      <c r="H13" s="84"/>
    </row>
    <row r="14" spans="1:8" ht="37.5">
      <c r="A14" s="77"/>
      <c r="B14" s="82" t="s">
        <v>285</v>
      </c>
      <c r="C14" s="83">
        <v>1</v>
      </c>
      <c r="D14" s="81">
        <v>1</v>
      </c>
      <c r="E14" s="78">
        <f>E11</f>
        <v>40.18</v>
      </c>
      <c r="F14" s="78">
        <v>0.38</v>
      </c>
      <c r="G14" s="78">
        <v>0.15</v>
      </c>
      <c r="H14" s="84">
        <f>PRODUCT(C14:G14)</f>
        <v>2.29026</v>
      </c>
    </row>
    <row r="15" spans="1:8" ht="18.75">
      <c r="A15" s="77"/>
      <c r="B15" s="82"/>
      <c r="C15" s="83"/>
      <c r="D15" s="81"/>
      <c r="E15" s="78"/>
      <c r="F15" s="78" t="s">
        <v>237</v>
      </c>
      <c r="G15" s="84">
        <f>ROUNDUP(H14,1)</f>
        <v>2.3000000000000003</v>
      </c>
      <c r="H15" s="78" t="s">
        <v>238</v>
      </c>
    </row>
    <row r="16" spans="1:8" ht="69.75" customHeight="1">
      <c r="A16" s="77">
        <v>10.199999999999999</v>
      </c>
      <c r="B16" s="1003" t="s">
        <v>289</v>
      </c>
      <c r="C16" s="1003"/>
      <c r="D16" s="81"/>
      <c r="E16" s="78"/>
      <c r="F16" s="78"/>
      <c r="G16" s="85"/>
      <c r="H16" s="78"/>
    </row>
    <row r="17" spans="1:8" ht="37.5">
      <c r="A17" s="86"/>
      <c r="B17" s="82" t="s">
        <v>290</v>
      </c>
      <c r="C17" s="83">
        <v>1</v>
      </c>
      <c r="D17" s="81">
        <v>1</v>
      </c>
      <c r="E17" s="78">
        <f>E14</f>
        <v>40.18</v>
      </c>
      <c r="F17" s="78"/>
      <c r="G17" s="78">
        <v>0.5</v>
      </c>
      <c r="H17" s="84">
        <f>PRODUCT(C17:G17)</f>
        <v>20.09</v>
      </c>
    </row>
    <row r="18" spans="1:8" ht="18.75">
      <c r="A18" s="86"/>
      <c r="B18" s="82"/>
      <c r="C18" s="83"/>
      <c r="D18" s="81"/>
      <c r="E18" s="78"/>
      <c r="F18" s="78" t="s">
        <v>237</v>
      </c>
      <c r="G18" s="84">
        <f>ROUNDUP(H17,1)</f>
        <v>20.100000000000001</v>
      </c>
      <c r="H18" s="78" t="s">
        <v>250</v>
      </c>
    </row>
    <row r="19" spans="1:8" ht="40.5" customHeight="1">
      <c r="A19" s="81">
        <v>33</v>
      </c>
      <c r="B19" s="87" t="s">
        <v>291</v>
      </c>
      <c r="C19" s="78"/>
      <c r="D19" s="78"/>
      <c r="E19" s="78"/>
      <c r="F19" s="78"/>
      <c r="G19" s="78"/>
      <c r="H19" s="78"/>
    </row>
    <row r="20" spans="1:8" ht="18.75">
      <c r="A20" s="86"/>
      <c r="B20" s="88" t="s">
        <v>292</v>
      </c>
      <c r="C20" s="83">
        <v>1</v>
      </c>
      <c r="D20" s="81">
        <v>1</v>
      </c>
      <c r="E20" s="78">
        <f>E17</f>
        <v>40.18</v>
      </c>
      <c r="F20" s="78"/>
      <c r="G20" s="78">
        <v>0.45</v>
      </c>
      <c r="H20" s="84">
        <f>PRODUCT(C20:G20)</f>
        <v>18.081</v>
      </c>
    </row>
    <row r="21" spans="1:8" ht="18.75">
      <c r="A21" s="86"/>
      <c r="B21" s="88"/>
      <c r="C21" s="83"/>
      <c r="D21" s="81"/>
      <c r="E21" s="78"/>
      <c r="F21" s="78" t="s">
        <v>237</v>
      </c>
      <c r="G21" s="84">
        <f>ROUNDUP(H20,1)</f>
        <v>18.100000000000001</v>
      </c>
      <c r="H21" s="78" t="s">
        <v>250</v>
      </c>
    </row>
    <row r="22" spans="1:8" ht="39" customHeight="1">
      <c r="A22" s="77">
        <v>50.1</v>
      </c>
      <c r="B22" s="1002" t="s">
        <v>293</v>
      </c>
      <c r="C22" s="1002"/>
      <c r="D22" s="1002"/>
      <c r="E22" s="78"/>
      <c r="F22" s="78"/>
      <c r="G22" s="78"/>
      <c r="H22" s="78"/>
    </row>
    <row r="23" spans="1:8" ht="37.5">
      <c r="A23" s="86"/>
      <c r="B23" s="82" t="s">
        <v>290</v>
      </c>
      <c r="C23" s="83">
        <v>1</v>
      </c>
      <c r="D23" s="81">
        <v>1</v>
      </c>
      <c r="E23" s="78">
        <f>E20</f>
        <v>40.18</v>
      </c>
      <c r="F23" s="78">
        <v>0.6</v>
      </c>
      <c r="G23" s="78"/>
      <c r="H23" s="84">
        <f>PRODUCT(C23:G23)</f>
        <v>24.108000000000001</v>
      </c>
    </row>
    <row r="24" spans="1:8" ht="18.75">
      <c r="A24" s="86"/>
      <c r="B24" s="82"/>
      <c r="C24" s="83"/>
      <c r="D24" s="81"/>
      <c r="E24" s="78"/>
      <c r="F24" s="78" t="s">
        <v>237</v>
      </c>
      <c r="G24" s="84">
        <f>ROUNDUP(H23,1)</f>
        <v>24.200000000000003</v>
      </c>
      <c r="H24" s="78" t="s">
        <v>250</v>
      </c>
    </row>
    <row r="25" spans="1:8" ht="43.5" customHeight="1">
      <c r="A25" s="77">
        <v>6.2</v>
      </c>
      <c r="B25" s="1004" t="s">
        <v>294</v>
      </c>
      <c r="C25" s="1004"/>
      <c r="D25" s="1004"/>
      <c r="E25" s="78"/>
      <c r="F25" s="78"/>
      <c r="G25" s="85"/>
      <c r="H25" s="78"/>
    </row>
    <row r="26" spans="1:8" ht="18.75">
      <c r="A26" s="86"/>
      <c r="B26" s="82" t="s">
        <v>295</v>
      </c>
      <c r="C26" s="83">
        <v>1</v>
      </c>
      <c r="D26" s="81">
        <f>E23/2.4</f>
        <v>16.741666666666667</v>
      </c>
      <c r="E26" s="85">
        <v>0.23</v>
      </c>
      <c r="F26" s="78">
        <v>0.23</v>
      </c>
      <c r="G26" s="85">
        <v>0.45</v>
      </c>
      <c r="H26" s="78">
        <f>PRODUCT(C26:G26)</f>
        <v>0.39853537500000008</v>
      </c>
    </row>
    <row r="27" spans="1:8" ht="18.75">
      <c r="A27" s="86"/>
      <c r="B27" s="82"/>
      <c r="C27" s="83"/>
      <c r="D27" s="81"/>
      <c r="E27" s="85"/>
      <c r="F27" s="78"/>
      <c r="G27" s="85"/>
      <c r="H27" s="78"/>
    </row>
    <row r="28" spans="1:8" ht="18.75">
      <c r="A28" s="86"/>
      <c r="B28" s="82"/>
      <c r="C28" s="83"/>
      <c r="D28" s="81"/>
      <c r="E28" s="89"/>
      <c r="F28" s="78"/>
      <c r="G28" s="90" t="s">
        <v>14</v>
      </c>
      <c r="H28" s="84">
        <f>SUM(H26:H27)</f>
        <v>0.39853537500000008</v>
      </c>
    </row>
    <row r="29" spans="1:8" ht="18.75">
      <c r="A29" s="86"/>
      <c r="B29" s="82"/>
      <c r="C29" s="83"/>
      <c r="D29" s="81"/>
      <c r="E29" s="89"/>
      <c r="F29" s="78" t="s">
        <v>237</v>
      </c>
      <c r="G29" s="84">
        <f>ROUNDUP(H28,1)</f>
        <v>0.4</v>
      </c>
      <c r="H29" s="78" t="s">
        <v>238</v>
      </c>
    </row>
    <row r="30" spans="1:8">
      <c r="A30" s="91"/>
      <c r="B30" s="91"/>
      <c r="C30" s="91"/>
      <c r="D30" s="91"/>
      <c r="E30" s="91"/>
      <c r="F30" s="91"/>
      <c r="G30" s="91"/>
      <c r="H30" s="91"/>
    </row>
    <row r="31" spans="1:8">
      <c r="A31" s="91"/>
      <c r="B31" s="91"/>
      <c r="C31" s="91"/>
      <c r="D31" s="91"/>
      <c r="E31" s="91"/>
      <c r="F31" s="91"/>
      <c r="G31" s="91"/>
      <c r="H31" s="91"/>
    </row>
  </sheetData>
  <mergeCells count="13">
    <mergeCell ref="B6:D6"/>
    <mergeCell ref="B13:D13"/>
    <mergeCell ref="B16:C16"/>
    <mergeCell ref="B22:D22"/>
    <mergeCell ref="B25:D25"/>
    <mergeCell ref="A1:H1"/>
    <mergeCell ref="A2:H2"/>
    <mergeCell ref="A3:H3"/>
    <mergeCell ref="A4:A5"/>
    <mergeCell ref="B4:B5"/>
    <mergeCell ref="C4:D5"/>
    <mergeCell ref="E4:G4"/>
    <mergeCell ref="H4:H5"/>
  </mergeCells>
  <pageMargins left="0.7" right="0.7" top="0.75" bottom="0.75" header="0.3" footer="0.3"/>
  <pageSetup paperSize="9" scale="71" orientation="portrait" r:id="rId1"/>
</worksheet>
</file>

<file path=xl/worksheets/sheet6.xml><?xml version="1.0" encoding="utf-8"?>
<worksheet xmlns="http://schemas.openxmlformats.org/spreadsheetml/2006/main" xmlns:r="http://schemas.openxmlformats.org/officeDocument/2006/relationships">
  <sheetPr syncVertical="1" syncRef="U1" transitionEvaluation="1"/>
  <dimension ref="A1:IS4081"/>
  <sheetViews>
    <sheetView view="pageBreakPreview" topLeftCell="U1" zoomScale="80" zoomScaleNormal="75" zoomScaleSheetLayoutView="80" workbookViewId="0">
      <selection activeCell="W15" sqref="W15"/>
    </sheetView>
  </sheetViews>
  <sheetFormatPr defaultColWidth="9.5703125" defaultRowHeight="24" customHeight="1"/>
  <cols>
    <col min="1" max="1" width="10" style="76" customWidth="1"/>
    <col min="2" max="2" width="82.28515625" style="76" customWidth="1"/>
    <col min="3" max="3" width="20.85546875" style="76" customWidth="1"/>
    <col min="4" max="4" width="17.7109375" style="76" customWidth="1"/>
    <col min="5" max="5" width="11" style="76" customWidth="1"/>
    <col min="6" max="6" width="22.85546875" style="76" customWidth="1"/>
    <col min="7" max="7" width="18.28515625" style="156" customWidth="1"/>
    <col min="8" max="8" width="55.7109375" style="76" customWidth="1"/>
    <col min="9" max="9" width="18.42578125" style="76" customWidth="1"/>
    <col min="10" max="10" width="14.7109375" style="158" customWidth="1"/>
    <col min="11" max="11" width="16.5703125" style="76" customWidth="1"/>
    <col min="12" max="12" width="12.5703125" style="76" customWidth="1"/>
    <col min="13" max="13" width="14.42578125" style="76" customWidth="1"/>
    <col min="14" max="14" width="11" style="76" bestFit="1" customWidth="1"/>
    <col min="15" max="15" width="65.5703125" style="76" customWidth="1"/>
    <col min="16" max="16" width="20" style="76" customWidth="1"/>
    <col min="17" max="17" width="13.7109375" style="76" customWidth="1"/>
    <col min="18" max="18" width="26.28515625" style="76" customWidth="1"/>
    <col min="19" max="19" width="55.140625" style="159" customWidth="1"/>
    <col min="20" max="20" width="11.85546875" style="76" customWidth="1"/>
    <col min="21" max="21" width="60" style="76" customWidth="1"/>
    <col min="22" max="22" width="15.5703125" style="76" customWidth="1"/>
    <col min="23" max="23" width="22.140625" style="76" customWidth="1"/>
    <col min="24" max="24" width="16.7109375" style="76" customWidth="1"/>
    <col min="25" max="25" width="13" style="76" customWidth="1"/>
    <col min="26" max="26" width="12.140625" style="76" customWidth="1"/>
    <col min="27" max="27" width="0.140625" style="76" customWidth="1"/>
    <col min="28" max="28" width="18" style="76" customWidth="1"/>
    <col min="29" max="29" width="13.7109375" style="76" customWidth="1"/>
    <col min="30" max="30" width="39.28515625" style="76" customWidth="1"/>
    <col min="31" max="31" width="15.7109375" style="76" customWidth="1"/>
    <col min="32" max="32" width="11.5703125" style="76" customWidth="1"/>
    <col min="33" max="33" width="14.28515625" style="76" customWidth="1"/>
    <col min="34" max="34" width="20.28515625" style="76" customWidth="1"/>
    <col min="35" max="35" width="11.5703125" style="76" bestFit="1" customWidth="1"/>
    <col min="36" max="36" width="10.42578125" style="76" bestFit="1" customWidth="1"/>
    <col min="37" max="37" width="14" style="76" customWidth="1"/>
    <col min="38" max="39" width="9.5703125" style="76"/>
    <col min="40" max="40" width="10.28515625" style="76" bestFit="1" customWidth="1"/>
    <col min="41" max="41" width="9.5703125" style="76"/>
    <col min="42" max="42" width="28.28515625" style="76" customWidth="1"/>
    <col min="43" max="43" width="14.5703125" style="76" customWidth="1"/>
    <col min="44" max="44" width="11.140625" style="76" customWidth="1"/>
    <col min="45" max="45" width="14.140625" style="76" customWidth="1"/>
    <col min="46" max="46" width="9.7109375" style="76" bestFit="1" customWidth="1"/>
    <col min="47" max="47" width="10.28515625" style="76" bestFit="1" customWidth="1"/>
    <col min="48" max="48" width="12" style="76" customWidth="1"/>
    <col min="49" max="252" width="9.5703125" style="76"/>
    <col min="253" max="253" width="9.7109375" style="76" bestFit="1" customWidth="1"/>
    <col min="254" max="256" width="9.5703125" style="76"/>
    <col min="257" max="257" width="10" style="76" customWidth="1"/>
    <col min="258" max="258" width="82.28515625" style="76" customWidth="1"/>
    <col min="259" max="259" width="20.85546875" style="76" customWidth="1"/>
    <col min="260" max="260" width="17.7109375" style="76" customWidth="1"/>
    <col min="261" max="261" width="11" style="76" customWidth="1"/>
    <col min="262" max="262" width="22.85546875" style="76" customWidth="1"/>
    <col min="263" max="263" width="18.28515625" style="76" customWidth="1"/>
    <col min="264" max="264" width="55.7109375" style="76" customWidth="1"/>
    <col min="265" max="265" width="18.42578125" style="76" customWidth="1"/>
    <col min="266" max="266" width="14.7109375" style="76" customWidth="1"/>
    <col min="267" max="267" width="16.5703125" style="76" customWidth="1"/>
    <col min="268" max="268" width="12.5703125" style="76" customWidth="1"/>
    <col min="269" max="269" width="14.42578125" style="76" customWidth="1"/>
    <col min="270" max="270" width="11" style="76" bestFit="1" customWidth="1"/>
    <col min="271" max="271" width="65.5703125" style="76" customWidth="1"/>
    <col min="272" max="272" width="20" style="76" customWidth="1"/>
    <col min="273" max="273" width="13.7109375" style="76" customWidth="1"/>
    <col min="274" max="274" width="26.28515625" style="76" customWidth="1"/>
    <col min="275" max="275" width="55.140625" style="76" customWidth="1"/>
    <col min="276" max="276" width="11.85546875" style="76" customWidth="1"/>
    <col min="277" max="277" width="60" style="76" customWidth="1"/>
    <col min="278" max="278" width="15.5703125" style="76" customWidth="1"/>
    <col min="279" max="279" width="22.140625" style="76" customWidth="1"/>
    <col min="280" max="280" width="16.7109375" style="76" customWidth="1"/>
    <col min="281" max="281" width="13" style="76" customWidth="1"/>
    <col min="282" max="282" width="12.140625" style="76" customWidth="1"/>
    <col min="283" max="283" width="0.140625" style="76" customWidth="1"/>
    <col min="284" max="284" width="18" style="76" customWidth="1"/>
    <col min="285" max="285" width="13.7109375" style="76" customWidth="1"/>
    <col min="286" max="286" width="39.28515625" style="76" customWidth="1"/>
    <col min="287" max="287" width="15.7109375" style="76" customWidth="1"/>
    <col min="288" max="288" width="11.5703125" style="76" customWidth="1"/>
    <col min="289" max="289" width="14.28515625" style="76" customWidth="1"/>
    <col min="290" max="290" width="20.28515625" style="76" customWidth="1"/>
    <col min="291" max="291" width="11.5703125" style="76" bestFit="1" customWidth="1"/>
    <col min="292" max="292" width="10.42578125" style="76" bestFit="1" customWidth="1"/>
    <col min="293" max="293" width="14" style="76" customWidth="1"/>
    <col min="294" max="295" width="9.5703125" style="76"/>
    <col min="296" max="296" width="10.28515625" style="76" bestFit="1" customWidth="1"/>
    <col min="297" max="297" width="9.5703125" style="76"/>
    <col min="298" max="298" width="28.28515625" style="76" customWidth="1"/>
    <col min="299" max="299" width="14.5703125" style="76" customWidth="1"/>
    <col min="300" max="300" width="11.140625" style="76" customWidth="1"/>
    <col min="301" max="301" width="14.140625" style="76" customWidth="1"/>
    <col min="302" max="302" width="9.7109375" style="76" bestFit="1" customWidth="1"/>
    <col min="303" max="303" width="10.28515625" style="76" bestFit="1" customWidth="1"/>
    <col min="304" max="304" width="12" style="76" customWidth="1"/>
    <col min="305" max="508" width="9.5703125" style="76"/>
    <col min="509" max="509" width="9.7109375" style="76" bestFit="1" customWidth="1"/>
    <col min="510" max="512" width="9.5703125" style="76"/>
    <col min="513" max="513" width="10" style="76" customWidth="1"/>
    <col min="514" max="514" width="82.28515625" style="76" customWidth="1"/>
    <col min="515" max="515" width="20.85546875" style="76" customWidth="1"/>
    <col min="516" max="516" width="17.7109375" style="76" customWidth="1"/>
    <col min="517" max="517" width="11" style="76" customWidth="1"/>
    <col min="518" max="518" width="22.85546875" style="76" customWidth="1"/>
    <col min="519" max="519" width="18.28515625" style="76" customWidth="1"/>
    <col min="520" max="520" width="55.7109375" style="76" customWidth="1"/>
    <col min="521" max="521" width="18.42578125" style="76" customWidth="1"/>
    <col min="522" max="522" width="14.7109375" style="76" customWidth="1"/>
    <col min="523" max="523" width="16.5703125" style="76" customWidth="1"/>
    <col min="524" max="524" width="12.5703125" style="76" customWidth="1"/>
    <col min="525" max="525" width="14.42578125" style="76" customWidth="1"/>
    <col min="526" max="526" width="11" style="76" bestFit="1" customWidth="1"/>
    <col min="527" max="527" width="65.5703125" style="76" customWidth="1"/>
    <col min="528" max="528" width="20" style="76" customWidth="1"/>
    <col min="529" max="529" width="13.7109375" style="76" customWidth="1"/>
    <col min="530" max="530" width="26.28515625" style="76" customWidth="1"/>
    <col min="531" max="531" width="55.140625" style="76" customWidth="1"/>
    <col min="532" max="532" width="11.85546875" style="76" customWidth="1"/>
    <col min="533" max="533" width="60" style="76" customWidth="1"/>
    <col min="534" max="534" width="15.5703125" style="76" customWidth="1"/>
    <col min="535" max="535" width="22.140625" style="76" customWidth="1"/>
    <col min="536" max="536" width="16.7109375" style="76" customWidth="1"/>
    <col min="537" max="537" width="13" style="76" customWidth="1"/>
    <col min="538" max="538" width="12.140625" style="76" customWidth="1"/>
    <col min="539" max="539" width="0.140625" style="76" customWidth="1"/>
    <col min="540" max="540" width="18" style="76" customWidth="1"/>
    <col min="541" max="541" width="13.7109375" style="76" customWidth="1"/>
    <col min="542" max="542" width="39.28515625" style="76" customWidth="1"/>
    <col min="543" max="543" width="15.7109375" style="76" customWidth="1"/>
    <col min="544" max="544" width="11.5703125" style="76" customWidth="1"/>
    <col min="545" max="545" width="14.28515625" style="76" customWidth="1"/>
    <col min="546" max="546" width="20.28515625" style="76" customWidth="1"/>
    <col min="547" max="547" width="11.5703125" style="76" bestFit="1" customWidth="1"/>
    <col min="548" max="548" width="10.42578125" style="76" bestFit="1" customWidth="1"/>
    <col min="549" max="549" width="14" style="76" customWidth="1"/>
    <col min="550" max="551" width="9.5703125" style="76"/>
    <col min="552" max="552" width="10.28515625" style="76" bestFit="1" customWidth="1"/>
    <col min="553" max="553" width="9.5703125" style="76"/>
    <col min="554" max="554" width="28.28515625" style="76" customWidth="1"/>
    <col min="555" max="555" width="14.5703125" style="76" customWidth="1"/>
    <col min="556" max="556" width="11.140625" style="76" customWidth="1"/>
    <col min="557" max="557" width="14.140625" style="76" customWidth="1"/>
    <col min="558" max="558" width="9.7109375" style="76" bestFit="1" customWidth="1"/>
    <col min="559" max="559" width="10.28515625" style="76" bestFit="1" customWidth="1"/>
    <col min="560" max="560" width="12" style="76" customWidth="1"/>
    <col min="561" max="764" width="9.5703125" style="76"/>
    <col min="765" max="765" width="9.7109375" style="76" bestFit="1" customWidth="1"/>
    <col min="766" max="768" width="9.5703125" style="76"/>
    <col min="769" max="769" width="10" style="76" customWidth="1"/>
    <col min="770" max="770" width="82.28515625" style="76" customWidth="1"/>
    <col min="771" max="771" width="20.85546875" style="76" customWidth="1"/>
    <col min="772" max="772" width="17.7109375" style="76" customWidth="1"/>
    <col min="773" max="773" width="11" style="76" customWidth="1"/>
    <col min="774" max="774" width="22.85546875" style="76" customWidth="1"/>
    <col min="775" max="775" width="18.28515625" style="76" customWidth="1"/>
    <col min="776" max="776" width="55.7109375" style="76" customWidth="1"/>
    <col min="777" max="777" width="18.42578125" style="76" customWidth="1"/>
    <col min="778" max="778" width="14.7109375" style="76" customWidth="1"/>
    <col min="779" max="779" width="16.5703125" style="76" customWidth="1"/>
    <col min="780" max="780" width="12.5703125" style="76" customWidth="1"/>
    <col min="781" max="781" width="14.42578125" style="76" customWidth="1"/>
    <col min="782" max="782" width="11" style="76" bestFit="1" customWidth="1"/>
    <col min="783" max="783" width="65.5703125" style="76" customWidth="1"/>
    <col min="784" max="784" width="20" style="76" customWidth="1"/>
    <col min="785" max="785" width="13.7109375" style="76" customWidth="1"/>
    <col min="786" max="786" width="26.28515625" style="76" customWidth="1"/>
    <col min="787" max="787" width="55.140625" style="76" customWidth="1"/>
    <col min="788" max="788" width="11.85546875" style="76" customWidth="1"/>
    <col min="789" max="789" width="60" style="76" customWidth="1"/>
    <col min="790" max="790" width="15.5703125" style="76" customWidth="1"/>
    <col min="791" max="791" width="22.140625" style="76" customWidth="1"/>
    <col min="792" max="792" width="16.7109375" style="76" customWidth="1"/>
    <col min="793" max="793" width="13" style="76" customWidth="1"/>
    <col min="794" max="794" width="12.140625" style="76" customWidth="1"/>
    <col min="795" max="795" width="0.140625" style="76" customWidth="1"/>
    <col min="796" max="796" width="18" style="76" customWidth="1"/>
    <col min="797" max="797" width="13.7109375" style="76" customWidth="1"/>
    <col min="798" max="798" width="39.28515625" style="76" customWidth="1"/>
    <col min="799" max="799" width="15.7109375" style="76" customWidth="1"/>
    <col min="800" max="800" width="11.5703125" style="76" customWidth="1"/>
    <col min="801" max="801" width="14.28515625" style="76" customWidth="1"/>
    <col min="802" max="802" width="20.28515625" style="76" customWidth="1"/>
    <col min="803" max="803" width="11.5703125" style="76" bestFit="1" customWidth="1"/>
    <col min="804" max="804" width="10.42578125" style="76" bestFit="1" customWidth="1"/>
    <col min="805" max="805" width="14" style="76" customWidth="1"/>
    <col min="806" max="807" width="9.5703125" style="76"/>
    <col min="808" max="808" width="10.28515625" style="76" bestFit="1" customWidth="1"/>
    <col min="809" max="809" width="9.5703125" style="76"/>
    <col min="810" max="810" width="28.28515625" style="76" customWidth="1"/>
    <col min="811" max="811" width="14.5703125" style="76" customWidth="1"/>
    <col min="812" max="812" width="11.140625" style="76" customWidth="1"/>
    <col min="813" max="813" width="14.140625" style="76" customWidth="1"/>
    <col min="814" max="814" width="9.7109375" style="76" bestFit="1" customWidth="1"/>
    <col min="815" max="815" width="10.28515625" style="76" bestFit="1" customWidth="1"/>
    <col min="816" max="816" width="12" style="76" customWidth="1"/>
    <col min="817" max="1020" width="9.5703125" style="76"/>
    <col min="1021" max="1021" width="9.7109375" style="76" bestFit="1" customWidth="1"/>
    <col min="1022" max="1024" width="9.5703125" style="76"/>
    <col min="1025" max="1025" width="10" style="76" customWidth="1"/>
    <col min="1026" max="1026" width="82.28515625" style="76" customWidth="1"/>
    <col min="1027" max="1027" width="20.85546875" style="76" customWidth="1"/>
    <col min="1028" max="1028" width="17.7109375" style="76" customWidth="1"/>
    <col min="1029" max="1029" width="11" style="76" customWidth="1"/>
    <col min="1030" max="1030" width="22.85546875" style="76" customWidth="1"/>
    <col min="1031" max="1031" width="18.28515625" style="76" customWidth="1"/>
    <col min="1032" max="1032" width="55.7109375" style="76" customWidth="1"/>
    <col min="1033" max="1033" width="18.42578125" style="76" customWidth="1"/>
    <col min="1034" max="1034" width="14.7109375" style="76" customWidth="1"/>
    <col min="1035" max="1035" width="16.5703125" style="76" customWidth="1"/>
    <col min="1036" max="1036" width="12.5703125" style="76" customWidth="1"/>
    <col min="1037" max="1037" width="14.42578125" style="76" customWidth="1"/>
    <col min="1038" max="1038" width="11" style="76" bestFit="1" customWidth="1"/>
    <col min="1039" max="1039" width="65.5703125" style="76" customWidth="1"/>
    <col min="1040" max="1040" width="20" style="76" customWidth="1"/>
    <col min="1041" max="1041" width="13.7109375" style="76" customWidth="1"/>
    <col min="1042" max="1042" width="26.28515625" style="76" customWidth="1"/>
    <col min="1043" max="1043" width="55.140625" style="76" customWidth="1"/>
    <col min="1044" max="1044" width="11.85546875" style="76" customWidth="1"/>
    <col min="1045" max="1045" width="60" style="76" customWidth="1"/>
    <col min="1046" max="1046" width="15.5703125" style="76" customWidth="1"/>
    <col min="1047" max="1047" width="22.140625" style="76" customWidth="1"/>
    <col min="1048" max="1048" width="16.7109375" style="76" customWidth="1"/>
    <col min="1049" max="1049" width="13" style="76" customWidth="1"/>
    <col min="1050" max="1050" width="12.140625" style="76" customWidth="1"/>
    <col min="1051" max="1051" width="0.140625" style="76" customWidth="1"/>
    <col min="1052" max="1052" width="18" style="76" customWidth="1"/>
    <col min="1053" max="1053" width="13.7109375" style="76" customWidth="1"/>
    <col min="1054" max="1054" width="39.28515625" style="76" customWidth="1"/>
    <col min="1055" max="1055" width="15.7109375" style="76" customWidth="1"/>
    <col min="1056" max="1056" width="11.5703125" style="76" customWidth="1"/>
    <col min="1057" max="1057" width="14.28515625" style="76" customWidth="1"/>
    <col min="1058" max="1058" width="20.28515625" style="76" customWidth="1"/>
    <col min="1059" max="1059" width="11.5703125" style="76" bestFit="1" customWidth="1"/>
    <col min="1060" max="1060" width="10.42578125" style="76" bestFit="1" customWidth="1"/>
    <col min="1061" max="1061" width="14" style="76" customWidth="1"/>
    <col min="1062" max="1063" width="9.5703125" style="76"/>
    <col min="1064" max="1064" width="10.28515625" style="76" bestFit="1" customWidth="1"/>
    <col min="1065" max="1065" width="9.5703125" style="76"/>
    <col min="1066" max="1066" width="28.28515625" style="76" customWidth="1"/>
    <col min="1067" max="1067" width="14.5703125" style="76" customWidth="1"/>
    <col min="1068" max="1068" width="11.140625" style="76" customWidth="1"/>
    <col min="1069" max="1069" width="14.140625" style="76" customWidth="1"/>
    <col min="1070" max="1070" width="9.7109375" style="76" bestFit="1" customWidth="1"/>
    <col min="1071" max="1071" width="10.28515625" style="76" bestFit="1" customWidth="1"/>
    <col min="1072" max="1072" width="12" style="76" customWidth="1"/>
    <col min="1073" max="1276" width="9.5703125" style="76"/>
    <col min="1277" max="1277" width="9.7109375" style="76" bestFit="1" customWidth="1"/>
    <col min="1278" max="1280" width="9.5703125" style="76"/>
    <col min="1281" max="1281" width="10" style="76" customWidth="1"/>
    <col min="1282" max="1282" width="82.28515625" style="76" customWidth="1"/>
    <col min="1283" max="1283" width="20.85546875" style="76" customWidth="1"/>
    <col min="1284" max="1284" width="17.7109375" style="76" customWidth="1"/>
    <col min="1285" max="1285" width="11" style="76" customWidth="1"/>
    <col min="1286" max="1286" width="22.85546875" style="76" customWidth="1"/>
    <col min="1287" max="1287" width="18.28515625" style="76" customWidth="1"/>
    <col min="1288" max="1288" width="55.7109375" style="76" customWidth="1"/>
    <col min="1289" max="1289" width="18.42578125" style="76" customWidth="1"/>
    <col min="1290" max="1290" width="14.7109375" style="76" customWidth="1"/>
    <col min="1291" max="1291" width="16.5703125" style="76" customWidth="1"/>
    <col min="1292" max="1292" width="12.5703125" style="76" customWidth="1"/>
    <col min="1293" max="1293" width="14.42578125" style="76" customWidth="1"/>
    <col min="1294" max="1294" width="11" style="76" bestFit="1" customWidth="1"/>
    <col min="1295" max="1295" width="65.5703125" style="76" customWidth="1"/>
    <col min="1296" max="1296" width="20" style="76" customWidth="1"/>
    <col min="1297" max="1297" width="13.7109375" style="76" customWidth="1"/>
    <col min="1298" max="1298" width="26.28515625" style="76" customWidth="1"/>
    <col min="1299" max="1299" width="55.140625" style="76" customWidth="1"/>
    <col min="1300" max="1300" width="11.85546875" style="76" customWidth="1"/>
    <col min="1301" max="1301" width="60" style="76" customWidth="1"/>
    <col min="1302" max="1302" width="15.5703125" style="76" customWidth="1"/>
    <col min="1303" max="1303" width="22.140625" style="76" customWidth="1"/>
    <col min="1304" max="1304" width="16.7109375" style="76" customWidth="1"/>
    <col min="1305" max="1305" width="13" style="76" customWidth="1"/>
    <col min="1306" max="1306" width="12.140625" style="76" customWidth="1"/>
    <col min="1307" max="1307" width="0.140625" style="76" customWidth="1"/>
    <col min="1308" max="1308" width="18" style="76" customWidth="1"/>
    <col min="1309" max="1309" width="13.7109375" style="76" customWidth="1"/>
    <col min="1310" max="1310" width="39.28515625" style="76" customWidth="1"/>
    <col min="1311" max="1311" width="15.7109375" style="76" customWidth="1"/>
    <col min="1312" max="1312" width="11.5703125" style="76" customWidth="1"/>
    <col min="1313" max="1313" width="14.28515625" style="76" customWidth="1"/>
    <col min="1314" max="1314" width="20.28515625" style="76" customWidth="1"/>
    <col min="1315" max="1315" width="11.5703125" style="76" bestFit="1" customWidth="1"/>
    <col min="1316" max="1316" width="10.42578125" style="76" bestFit="1" customWidth="1"/>
    <col min="1317" max="1317" width="14" style="76" customWidth="1"/>
    <col min="1318" max="1319" width="9.5703125" style="76"/>
    <col min="1320" max="1320" width="10.28515625" style="76" bestFit="1" customWidth="1"/>
    <col min="1321" max="1321" width="9.5703125" style="76"/>
    <col min="1322" max="1322" width="28.28515625" style="76" customWidth="1"/>
    <col min="1323" max="1323" width="14.5703125" style="76" customWidth="1"/>
    <col min="1324" max="1324" width="11.140625" style="76" customWidth="1"/>
    <col min="1325" max="1325" width="14.140625" style="76" customWidth="1"/>
    <col min="1326" max="1326" width="9.7109375" style="76" bestFit="1" customWidth="1"/>
    <col min="1327" max="1327" width="10.28515625" style="76" bestFit="1" customWidth="1"/>
    <col min="1328" max="1328" width="12" style="76" customWidth="1"/>
    <col min="1329" max="1532" width="9.5703125" style="76"/>
    <col min="1533" max="1533" width="9.7109375" style="76" bestFit="1" customWidth="1"/>
    <col min="1534" max="1536" width="9.5703125" style="76"/>
    <col min="1537" max="1537" width="10" style="76" customWidth="1"/>
    <col min="1538" max="1538" width="82.28515625" style="76" customWidth="1"/>
    <col min="1539" max="1539" width="20.85546875" style="76" customWidth="1"/>
    <col min="1540" max="1540" width="17.7109375" style="76" customWidth="1"/>
    <col min="1541" max="1541" width="11" style="76" customWidth="1"/>
    <col min="1542" max="1542" width="22.85546875" style="76" customWidth="1"/>
    <col min="1543" max="1543" width="18.28515625" style="76" customWidth="1"/>
    <col min="1544" max="1544" width="55.7109375" style="76" customWidth="1"/>
    <col min="1545" max="1545" width="18.42578125" style="76" customWidth="1"/>
    <col min="1546" max="1546" width="14.7109375" style="76" customWidth="1"/>
    <col min="1547" max="1547" width="16.5703125" style="76" customWidth="1"/>
    <col min="1548" max="1548" width="12.5703125" style="76" customWidth="1"/>
    <col min="1549" max="1549" width="14.42578125" style="76" customWidth="1"/>
    <col min="1550" max="1550" width="11" style="76" bestFit="1" customWidth="1"/>
    <col min="1551" max="1551" width="65.5703125" style="76" customWidth="1"/>
    <col min="1552" max="1552" width="20" style="76" customWidth="1"/>
    <col min="1553" max="1553" width="13.7109375" style="76" customWidth="1"/>
    <col min="1554" max="1554" width="26.28515625" style="76" customWidth="1"/>
    <col min="1555" max="1555" width="55.140625" style="76" customWidth="1"/>
    <col min="1556" max="1556" width="11.85546875" style="76" customWidth="1"/>
    <col min="1557" max="1557" width="60" style="76" customWidth="1"/>
    <col min="1558" max="1558" width="15.5703125" style="76" customWidth="1"/>
    <col min="1559" max="1559" width="22.140625" style="76" customWidth="1"/>
    <col min="1560" max="1560" width="16.7109375" style="76" customWidth="1"/>
    <col min="1561" max="1561" width="13" style="76" customWidth="1"/>
    <col min="1562" max="1562" width="12.140625" style="76" customWidth="1"/>
    <col min="1563" max="1563" width="0.140625" style="76" customWidth="1"/>
    <col min="1564" max="1564" width="18" style="76" customWidth="1"/>
    <col min="1565" max="1565" width="13.7109375" style="76" customWidth="1"/>
    <col min="1566" max="1566" width="39.28515625" style="76" customWidth="1"/>
    <col min="1567" max="1567" width="15.7109375" style="76" customWidth="1"/>
    <col min="1568" max="1568" width="11.5703125" style="76" customWidth="1"/>
    <col min="1569" max="1569" width="14.28515625" style="76" customWidth="1"/>
    <col min="1570" max="1570" width="20.28515625" style="76" customWidth="1"/>
    <col min="1571" max="1571" width="11.5703125" style="76" bestFit="1" customWidth="1"/>
    <col min="1572" max="1572" width="10.42578125" style="76" bestFit="1" customWidth="1"/>
    <col min="1573" max="1573" width="14" style="76" customWidth="1"/>
    <col min="1574" max="1575" width="9.5703125" style="76"/>
    <col min="1576" max="1576" width="10.28515625" style="76" bestFit="1" customWidth="1"/>
    <col min="1577" max="1577" width="9.5703125" style="76"/>
    <col min="1578" max="1578" width="28.28515625" style="76" customWidth="1"/>
    <col min="1579" max="1579" width="14.5703125" style="76" customWidth="1"/>
    <col min="1580" max="1580" width="11.140625" style="76" customWidth="1"/>
    <col min="1581" max="1581" width="14.140625" style="76" customWidth="1"/>
    <col min="1582" max="1582" width="9.7109375" style="76" bestFit="1" customWidth="1"/>
    <col min="1583" max="1583" width="10.28515625" style="76" bestFit="1" customWidth="1"/>
    <col min="1584" max="1584" width="12" style="76" customWidth="1"/>
    <col min="1585" max="1788" width="9.5703125" style="76"/>
    <col min="1789" max="1789" width="9.7109375" style="76" bestFit="1" customWidth="1"/>
    <col min="1790" max="1792" width="9.5703125" style="76"/>
    <col min="1793" max="1793" width="10" style="76" customWidth="1"/>
    <col min="1794" max="1794" width="82.28515625" style="76" customWidth="1"/>
    <col min="1795" max="1795" width="20.85546875" style="76" customWidth="1"/>
    <col min="1796" max="1796" width="17.7109375" style="76" customWidth="1"/>
    <col min="1797" max="1797" width="11" style="76" customWidth="1"/>
    <col min="1798" max="1798" width="22.85546875" style="76" customWidth="1"/>
    <col min="1799" max="1799" width="18.28515625" style="76" customWidth="1"/>
    <col min="1800" max="1800" width="55.7109375" style="76" customWidth="1"/>
    <col min="1801" max="1801" width="18.42578125" style="76" customWidth="1"/>
    <col min="1802" max="1802" width="14.7109375" style="76" customWidth="1"/>
    <col min="1803" max="1803" width="16.5703125" style="76" customWidth="1"/>
    <col min="1804" max="1804" width="12.5703125" style="76" customWidth="1"/>
    <col min="1805" max="1805" width="14.42578125" style="76" customWidth="1"/>
    <col min="1806" max="1806" width="11" style="76" bestFit="1" customWidth="1"/>
    <col min="1807" max="1807" width="65.5703125" style="76" customWidth="1"/>
    <col min="1808" max="1808" width="20" style="76" customWidth="1"/>
    <col min="1809" max="1809" width="13.7109375" style="76" customWidth="1"/>
    <col min="1810" max="1810" width="26.28515625" style="76" customWidth="1"/>
    <col min="1811" max="1811" width="55.140625" style="76" customWidth="1"/>
    <col min="1812" max="1812" width="11.85546875" style="76" customWidth="1"/>
    <col min="1813" max="1813" width="60" style="76" customWidth="1"/>
    <col min="1814" max="1814" width="15.5703125" style="76" customWidth="1"/>
    <col min="1815" max="1815" width="22.140625" style="76" customWidth="1"/>
    <col min="1816" max="1816" width="16.7109375" style="76" customWidth="1"/>
    <col min="1817" max="1817" width="13" style="76" customWidth="1"/>
    <col min="1818" max="1818" width="12.140625" style="76" customWidth="1"/>
    <col min="1819" max="1819" width="0.140625" style="76" customWidth="1"/>
    <col min="1820" max="1820" width="18" style="76" customWidth="1"/>
    <col min="1821" max="1821" width="13.7109375" style="76" customWidth="1"/>
    <col min="1822" max="1822" width="39.28515625" style="76" customWidth="1"/>
    <col min="1823" max="1823" width="15.7109375" style="76" customWidth="1"/>
    <col min="1824" max="1824" width="11.5703125" style="76" customWidth="1"/>
    <col min="1825" max="1825" width="14.28515625" style="76" customWidth="1"/>
    <col min="1826" max="1826" width="20.28515625" style="76" customWidth="1"/>
    <col min="1827" max="1827" width="11.5703125" style="76" bestFit="1" customWidth="1"/>
    <col min="1828" max="1828" width="10.42578125" style="76" bestFit="1" customWidth="1"/>
    <col min="1829" max="1829" width="14" style="76" customWidth="1"/>
    <col min="1830" max="1831" width="9.5703125" style="76"/>
    <col min="1832" max="1832" width="10.28515625" style="76" bestFit="1" customWidth="1"/>
    <col min="1833" max="1833" width="9.5703125" style="76"/>
    <col min="1834" max="1834" width="28.28515625" style="76" customWidth="1"/>
    <col min="1835" max="1835" width="14.5703125" style="76" customWidth="1"/>
    <col min="1836" max="1836" width="11.140625" style="76" customWidth="1"/>
    <col min="1837" max="1837" width="14.140625" style="76" customWidth="1"/>
    <col min="1838" max="1838" width="9.7109375" style="76" bestFit="1" customWidth="1"/>
    <col min="1839" max="1839" width="10.28515625" style="76" bestFit="1" customWidth="1"/>
    <col min="1840" max="1840" width="12" style="76" customWidth="1"/>
    <col min="1841" max="2044" width="9.5703125" style="76"/>
    <col min="2045" max="2045" width="9.7109375" style="76" bestFit="1" customWidth="1"/>
    <col min="2046" max="2048" width="9.5703125" style="76"/>
    <col min="2049" max="2049" width="10" style="76" customWidth="1"/>
    <col min="2050" max="2050" width="82.28515625" style="76" customWidth="1"/>
    <col min="2051" max="2051" width="20.85546875" style="76" customWidth="1"/>
    <col min="2052" max="2052" width="17.7109375" style="76" customWidth="1"/>
    <col min="2053" max="2053" width="11" style="76" customWidth="1"/>
    <col min="2054" max="2054" width="22.85546875" style="76" customWidth="1"/>
    <col min="2055" max="2055" width="18.28515625" style="76" customWidth="1"/>
    <col min="2056" max="2056" width="55.7109375" style="76" customWidth="1"/>
    <col min="2057" max="2057" width="18.42578125" style="76" customWidth="1"/>
    <col min="2058" max="2058" width="14.7109375" style="76" customWidth="1"/>
    <col min="2059" max="2059" width="16.5703125" style="76" customWidth="1"/>
    <col min="2060" max="2060" width="12.5703125" style="76" customWidth="1"/>
    <col min="2061" max="2061" width="14.42578125" style="76" customWidth="1"/>
    <col min="2062" max="2062" width="11" style="76" bestFit="1" customWidth="1"/>
    <col min="2063" max="2063" width="65.5703125" style="76" customWidth="1"/>
    <col min="2064" max="2064" width="20" style="76" customWidth="1"/>
    <col min="2065" max="2065" width="13.7109375" style="76" customWidth="1"/>
    <col min="2066" max="2066" width="26.28515625" style="76" customWidth="1"/>
    <col min="2067" max="2067" width="55.140625" style="76" customWidth="1"/>
    <col min="2068" max="2068" width="11.85546875" style="76" customWidth="1"/>
    <col min="2069" max="2069" width="60" style="76" customWidth="1"/>
    <col min="2070" max="2070" width="15.5703125" style="76" customWidth="1"/>
    <col min="2071" max="2071" width="22.140625" style="76" customWidth="1"/>
    <col min="2072" max="2072" width="16.7109375" style="76" customWidth="1"/>
    <col min="2073" max="2073" width="13" style="76" customWidth="1"/>
    <col min="2074" max="2074" width="12.140625" style="76" customWidth="1"/>
    <col min="2075" max="2075" width="0.140625" style="76" customWidth="1"/>
    <col min="2076" max="2076" width="18" style="76" customWidth="1"/>
    <col min="2077" max="2077" width="13.7109375" style="76" customWidth="1"/>
    <col min="2078" max="2078" width="39.28515625" style="76" customWidth="1"/>
    <col min="2079" max="2079" width="15.7109375" style="76" customWidth="1"/>
    <col min="2080" max="2080" width="11.5703125" style="76" customWidth="1"/>
    <col min="2081" max="2081" width="14.28515625" style="76" customWidth="1"/>
    <col min="2082" max="2082" width="20.28515625" style="76" customWidth="1"/>
    <col min="2083" max="2083" width="11.5703125" style="76" bestFit="1" customWidth="1"/>
    <col min="2084" max="2084" width="10.42578125" style="76" bestFit="1" customWidth="1"/>
    <col min="2085" max="2085" width="14" style="76" customWidth="1"/>
    <col min="2086" max="2087" width="9.5703125" style="76"/>
    <col min="2088" max="2088" width="10.28515625" style="76" bestFit="1" customWidth="1"/>
    <col min="2089" max="2089" width="9.5703125" style="76"/>
    <col min="2090" max="2090" width="28.28515625" style="76" customWidth="1"/>
    <col min="2091" max="2091" width="14.5703125" style="76" customWidth="1"/>
    <col min="2092" max="2092" width="11.140625" style="76" customWidth="1"/>
    <col min="2093" max="2093" width="14.140625" style="76" customWidth="1"/>
    <col min="2094" max="2094" width="9.7109375" style="76" bestFit="1" customWidth="1"/>
    <col min="2095" max="2095" width="10.28515625" style="76" bestFit="1" customWidth="1"/>
    <col min="2096" max="2096" width="12" style="76" customWidth="1"/>
    <col min="2097" max="2300" width="9.5703125" style="76"/>
    <col min="2301" max="2301" width="9.7109375" style="76" bestFit="1" customWidth="1"/>
    <col min="2302" max="2304" width="9.5703125" style="76"/>
    <col min="2305" max="2305" width="10" style="76" customWidth="1"/>
    <col min="2306" max="2306" width="82.28515625" style="76" customWidth="1"/>
    <col min="2307" max="2307" width="20.85546875" style="76" customWidth="1"/>
    <col min="2308" max="2308" width="17.7109375" style="76" customWidth="1"/>
    <col min="2309" max="2309" width="11" style="76" customWidth="1"/>
    <col min="2310" max="2310" width="22.85546875" style="76" customWidth="1"/>
    <col min="2311" max="2311" width="18.28515625" style="76" customWidth="1"/>
    <col min="2312" max="2312" width="55.7109375" style="76" customWidth="1"/>
    <col min="2313" max="2313" width="18.42578125" style="76" customWidth="1"/>
    <col min="2314" max="2314" width="14.7109375" style="76" customWidth="1"/>
    <col min="2315" max="2315" width="16.5703125" style="76" customWidth="1"/>
    <col min="2316" max="2316" width="12.5703125" style="76" customWidth="1"/>
    <col min="2317" max="2317" width="14.42578125" style="76" customWidth="1"/>
    <col min="2318" max="2318" width="11" style="76" bestFit="1" customWidth="1"/>
    <col min="2319" max="2319" width="65.5703125" style="76" customWidth="1"/>
    <col min="2320" max="2320" width="20" style="76" customWidth="1"/>
    <col min="2321" max="2321" width="13.7109375" style="76" customWidth="1"/>
    <col min="2322" max="2322" width="26.28515625" style="76" customWidth="1"/>
    <col min="2323" max="2323" width="55.140625" style="76" customWidth="1"/>
    <col min="2324" max="2324" width="11.85546875" style="76" customWidth="1"/>
    <col min="2325" max="2325" width="60" style="76" customWidth="1"/>
    <col min="2326" max="2326" width="15.5703125" style="76" customWidth="1"/>
    <col min="2327" max="2327" width="22.140625" style="76" customWidth="1"/>
    <col min="2328" max="2328" width="16.7109375" style="76" customWidth="1"/>
    <col min="2329" max="2329" width="13" style="76" customWidth="1"/>
    <col min="2330" max="2330" width="12.140625" style="76" customWidth="1"/>
    <col min="2331" max="2331" width="0.140625" style="76" customWidth="1"/>
    <col min="2332" max="2332" width="18" style="76" customWidth="1"/>
    <col min="2333" max="2333" width="13.7109375" style="76" customWidth="1"/>
    <col min="2334" max="2334" width="39.28515625" style="76" customWidth="1"/>
    <col min="2335" max="2335" width="15.7109375" style="76" customWidth="1"/>
    <col min="2336" max="2336" width="11.5703125" style="76" customWidth="1"/>
    <col min="2337" max="2337" width="14.28515625" style="76" customWidth="1"/>
    <col min="2338" max="2338" width="20.28515625" style="76" customWidth="1"/>
    <col min="2339" max="2339" width="11.5703125" style="76" bestFit="1" customWidth="1"/>
    <col min="2340" max="2340" width="10.42578125" style="76" bestFit="1" customWidth="1"/>
    <col min="2341" max="2341" width="14" style="76" customWidth="1"/>
    <col min="2342" max="2343" width="9.5703125" style="76"/>
    <col min="2344" max="2344" width="10.28515625" style="76" bestFit="1" customWidth="1"/>
    <col min="2345" max="2345" width="9.5703125" style="76"/>
    <col min="2346" max="2346" width="28.28515625" style="76" customWidth="1"/>
    <col min="2347" max="2347" width="14.5703125" style="76" customWidth="1"/>
    <col min="2348" max="2348" width="11.140625" style="76" customWidth="1"/>
    <col min="2349" max="2349" width="14.140625" style="76" customWidth="1"/>
    <col min="2350" max="2350" width="9.7109375" style="76" bestFit="1" customWidth="1"/>
    <col min="2351" max="2351" width="10.28515625" style="76" bestFit="1" customWidth="1"/>
    <col min="2352" max="2352" width="12" style="76" customWidth="1"/>
    <col min="2353" max="2556" width="9.5703125" style="76"/>
    <col min="2557" max="2557" width="9.7109375" style="76" bestFit="1" customWidth="1"/>
    <col min="2558" max="2560" width="9.5703125" style="76"/>
    <col min="2561" max="2561" width="10" style="76" customWidth="1"/>
    <col min="2562" max="2562" width="82.28515625" style="76" customWidth="1"/>
    <col min="2563" max="2563" width="20.85546875" style="76" customWidth="1"/>
    <col min="2564" max="2564" width="17.7109375" style="76" customWidth="1"/>
    <col min="2565" max="2565" width="11" style="76" customWidth="1"/>
    <col min="2566" max="2566" width="22.85546875" style="76" customWidth="1"/>
    <col min="2567" max="2567" width="18.28515625" style="76" customWidth="1"/>
    <col min="2568" max="2568" width="55.7109375" style="76" customWidth="1"/>
    <col min="2569" max="2569" width="18.42578125" style="76" customWidth="1"/>
    <col min="2570" max="2570" width="14.7109375" style="76" customWidth="1"/>
    <col min="2571" max="2571" width="16.5703125" style="76" customWidth="1"/>
    <col min="2572" max="2572" width="12.5703125" style="76" customWidth="1"/>
    <col min="2573" max="2573" width="14.42578125" style="76" customWidth="1"/>
    <col min="2574" max="2574" width="11" style="76" bestFit="1" customWidth="1"/>
    <col min="2575" max="2575" width="65.5703125" style="76" customWidth="1"/>
    <col min="2576" max="2576" width="20" style="76" customWidth="1"/>
    <col min="2577" max="2577" width="13.7109375" style="76" customWidth="1"/>
    <col min="2578" max="2578" width="26.28515625" style="76" customWidth="1"/>
    <col min="2579" max="2579" width="55.140625" style="76" customWidth="1"/>
    <col min="2580" max="2580" width="11.85546875" style="76" customWidth="1"/>
    <col min="2581" max="2581" width="60" style="76" customWidth="1"/>
    <col min="2582" max="2582" width="15.5703125" style="76" customWidth="1"/>
    <col min="2583" max="2583" width="22.140625" style="76" customWidth="1"/>
    <col min="2584" max="2584" width="16.7109375" style="76" customWidth="1"/>
    <col min="2585" max="2585" width="13" style="76" customWidth="1"/>
    <col min="2586" max="2586" width="12.140625" style="76" customWidth="1"/>
    <col min="2587" max="2587" width="0.140625" style="76" customWidth="1"/>
    <col min="2588" max="2588" width="18" style="76" customWidth="1"/>
    <col min="2589" max="2589" width="13.7109375" style="76" customWidth="1"/>
    <col min="2590" max="2590" width="39.28515625" style="76" customWidth="1"/>
    <col min="2591" max="2591" width="15.7109375" style="76" customWidth="1"/>
    <col min="2592" max="2592" width="11.5703125" style="76" customWidth="1"/>
    <col min="2593" max="2593" width="14.28515625" style="76" customWidth="1"/>
    <col min="2594" max="2594" width="20.28515625" style="76" customWidth="1"/>
    <col min="2595" max="2595" width="11.5703125" style="76" bestFit="1" customWidth="1"/>
    <col min="2596" max="2596" width="10.42578125" style="76" bestFit="1" customWidth="1"/>
    <col min="2597" max="2597" width="14" style="76" customWidth="1"/>
    <col min="2598" max="2599" width="9.5703125" style="76"/>
    <col min="2600" max="2600" width="10.28515625" style="76" bestFit="1" customWidth="1"/>
    <col min="2601" max="2601" width="9.5703125" style="76"/>
    <col min="2602" max="2602" width="28.28515625" style="76" customWidth="1"/>
    <col min="2603" max="2603" width="14.5703125" style="76" customWidth="1"/>
    <col min="2604" max="2604" width="11.140625" style="76" customWidth="1"/>
    <col min="2605" max="2605" width="14.140625" style="76" customWidth="1"/>
    <col min="2606" max="2606" width="9.7109375" style="76" bestFit="1" customWidth="1"/>
    <col min="2607" max="2607" width="10.28515625" style="76" bestFit="1" customWidth="1"/>
    <col min="2608" max="2608" width="12" style="76" customWidth="1"/>
    <col min="2609" max="2812" width="9.5703125" style="76"/>
    <col min="2813" max="2813" width="9.7109375" style="76" bestFit="1" customWidth="1"/>
    <col min="2814" max="2816" width="9.5703125" style="76"/>
    <col min="2817" max="2817" width="10" style="76" customWidth="1"/>
    <col min="2818" max="2818" width="82.28515625" style="76" customWidth="1"/>
    <col min="2819" max="2819" width="20.85546875" style="76" customWidth="1"/>
    <col min="2820" max="2820" width="17.7109375" style="76" customWidth="1"/>
    <col min="2821" max="2821" width="11" style="76" customWidth="1"/>
    <col min="2822" max="2822" width="22.85546875" style="76" customWidth="1"/>
    <col min="2823" max="2823" width="18.28515625" style="76" customWidth="1"/>
    <col min="2824" max="2824" width="55.7109375" style="76" customWidth="1"/>
    <col min="2825" max="2825" width="18.42578125" style="76" customWidth="1"/>
    <col min="2826" max="2826" width="14.7109375" style="76" customWidth="1"/>
    <col min="2827" max="2827" width="16.5703125" style="76" customWidth="1"/>
    <col min="2828" max="2828" width="12.5703125" style="76" customWidth="1"/>
    <col min="2829" max="2829" width="14.42578125" style="76" customWidth="1"/>
    <col min="2830" max="2830" width="11" style="76" bestFit="1" customWidth="1"/>
    <col min="2831" max="2831" width="65.5703125" style="76" customWidth="1"/>
    <col min="2832" max="2832" width="20" style="76" customWidth="1"/>
    <col min="2833" max="2833" width="13.7109375" style="76" customWidth="1"/>
    <col min="2834" max="2834" width="26.28515625" style="76" customWidth="1"/>
    <col min="2835" max="2835" width="55.140625" style="76" customWidth="1"/>
    <col min="2836" max="2836" width="11.85546875" style="76" customWidth="1"/>
    <col min="2837" max="2837" width="60" style="76" customWidth="1"/>
    <col min="2838" max="2838" width="15.5703125" style="76" customWidth="1"/>
    <col min="2839" max="2839" width="22.140625" style="76" customWidth="1"/>
    <col min="2840" max="2840" width="16.7109375" style="76" customWidth="1"/>
    <col min="2841" max="2841" width="13" style="76" customWidth="1"/>
    <col min="2842" max="2842" width="12.140625" style="76" customWidth="1"/>
    <col min="2843" max="2843" width="0.140625" style="76" customWidth="1"/>
    <col min="2844" max="2844" width="18" style="76" customWidth="1"/>
    <col min="2845" max="2845" width="13.7109375" style="76" customWidth="1"/>
    <col min="2846" max="2846" width="39.28515625" style="76" customWidth="1"/>
    <col min="2847" max="2847" width="15.7109375" style="76" customWidth="1"/>
    <col min="2848" max="2848" width="11.5703125" style="76" customWidth="1"/>
    <col min="2849" max="2849" width="14.28515625" style="76" customWidth="1"/>
    <col min="2850" max="2850" width="20.28515625" style="76" customWidth="1"/>
    <col min="2851" max="2851" width="11.5703125" style="76" bestFit="1" customWidth="1"/>
    <col min="2852" max="2852" width="10.42578125" style="76" bestFit="1" customWidth="1"/>
    <col min="2853" max="2853" width="14" style="76" customWidth="1"/>
    <col min="2854" max="2855" width="9.5703125" style="76"/>
    <col min="2856" max="2856" width="10.28515625" style="76" bestFit="1" customWidth="1"/>
    <col min="2857" max="2857" width="9.5703125" style="76"/>
    <col min="2858" max="2858" width="28.28515625" style="76" customWidth="1"/>
    <col min="2859" max="2859" width="14.5703125" style="76" customWidth="1"/>
    <col min="2860" max="2860" width="11.140625" style="76" customWidth="1"/>
    <col min="2861" max="2861" width="14.140625" style="76" customWidth="1"/>
    <col min="2862" max="2862" width="9.7109375" style="76" bestFit="1" customWidth="1"/>
    <col min="2863" max="2863" width="10.28515625" style="76" bestFit="1" customWidth="1"/>
    <col min="2864" max="2864" width="12" style="76" customWidth="1"/>
    <col min="2865" max="3068" width="9.5703125" style="76"/>
    <col min="3069" max="3069" width="9.7109375" style="76" bestFit="1" customWidth="1"/>
    <col min="3070" max="3072" width="9.5703125" style="76"/>
    <col min="3073" max="3073" width="10" style="76" customWidth="1"/>
    <col min="3074" max="3074" width="82.28515625" style="76" customWidth="1"/>
    <col min="3075" max="3075" width="20.85546875" style="76" customWidth="1"/>
    <col min="3076" max="3076" width="17.7109375" style="76" customWidth="1"/>
    <col min="3077" max="3077" width="11" style="76" customWidth="1"/>
    <col min="3078" max="3078" width="22.85546875" style="76" customWidth="1"/>
    <col min="3079" max="3079" width="18.28515625" style="76" customWidth="1"/>
    <col min="3080" max="3080" width="55.7109375" style="76" customWidth="1"/>
    <col min="3081" max="3081" width="18.42578125" style="76" customWidth="1"/>
    <col min="3082" max="3082" width="14.7109375" style="76" customWidth="1"/>
    <col min="3083" max="3083" width="16.5703125" style="76" customWidth="1"/>
    <col min="3084" max="3084" width="12.5703125" style="76" customWidth="1"/>
    <col min="3085" max="3085" width="14.42578125" style="76" customWidth="1"/>
    <col min="3086" max="3086" width="11" style="76" bestFit="1" customWidth="1"/>
    <col min="3087" max="3087" width="65.5703125" style="76" customWidth="1"/>
    <col min="3088" max="3088" width="20" style="76" customWidth="1"/>
    <col min="3089" max="3089" width="13.7109375" style="76" customWidth="1"/>
    <col min="3090" max="3090" width="26.28515625" style="76" customWidth="1"/>
    <col min="3091" max="3091" width="55.140625" style="76" customWidth="1"/>
    <col min="3092" max="3092" width="11.85546875" style="76" customWidth="1"/>
    <col min="3093" max="3093" width="60" style="76" customWidth="1"/>
    <col min="3094" max="3094" width="15.5703125" style="76" customWidth="1"/>
    <col min="3095" max="3095" width="22.140625" style="76" customWidth="1"/>
    <col min="3096" max="3096" width="16.7109375" style="76" customWidth="1"/>
    <col min="3097" max="3097" width="13" style="76" customWidth="1"/>
    <col min="3098" max="3098" width="12.140625" style="76" customWidth="1"/>
    <col min="3099" max="3099" width="0.140625" style="76" customWidth="1"/>
    <col min="3100" max="3100" width="18" style="76" customWidth="1"/>
    <col min="3101" max="3101" width="13.7109375" style="76" customWidth="1"/>
    <col min="3102" max="3102" width="39.28515625" style="76" customWidth="1"/>
    <col min="3103" max="3103" width="15.7109375" style="76" customWidth="1"/>
    <col min="3104" max="3104" width="11.5703125" style="76" customWidth="1"/>
    <col min="3105" max="3105" width="14.28515625" style="76" customWidth="1"/>
    <col min="3106" max="3106" width="20.28515625" style="76" customWidth="1"/>
    <col min="3107" max="3107" width="11.5703125" style="76" bestFit="1" customWidth="1"/>
    <col min="3108" max="3108" width="10.42578125" style="76" bestFit="1" customWidth="1"/>
    <col min="3109" max="3109" width="14" style="76" customWidth="1"/>
    <col min="3110" max="3111" width="9.5703125" style="76"/>
    <col min="3112" max="3112" width="10.28515625" style="76" bestFit="1" customWidth="1"/>
    <col min="3113" max="3113" width="9.5703125" style="76"/>
    <col min="3114" max="3114" width="28.28515625" style="76" customWidth="1"/>
    <col min="3115" max="3115" width="14.5703125" style="76" customWidth="1"/>
    <col min="3116" max="3116" width="11.140625" style="76" customWidth="1"/>
    <col min="3117" max="3117" width="14.140625" style="76" customWidth="1"/>
    <col min="3118" max="3118" width="9.7109375" style="76" bestFit="1" customWidth="1"/>
    <col min="3119" max="3119" width="10.28515625" style="76" bestFit="1" customWidth="1"/>
    <col min="3120" max="3120" width="12" style="76" customWidth="1"/>
    <col min="3121" max="3324" width="9.5703125" style="76"/>
    <col min="3325" max="3325" width="9.7109375" style="76" bestFit="1" customWidth="1"/>
    <col min="3326" max="3328" width="9.5703125" style="76"/>
    <col min="3329" max="3329" width="10" style="76" customWidth="1"/>
    <col min="3330" max="3330" width="82.28515625" style="76" customWidth="1"/>
    <col min="3331" max="3331" width="20.85546875" style="76" customWidth="1"/>
    <col min="3332" max="3332" width="17.7109375" style="76" customWidth="1"/>
    <col min="3333" max="3333" width="11" style="76" customWidth="1"/>
    <col min="3334" max="3334" width="22.85546875" style="76" customWidth="1"/>
    <col min="3335" max="3335" width="18.28515625" style="76" customWidth="1"/>
    <col min="3336" max="3336" width="55.7109375" style="76" customWidth="1"/>
    <col min="3337" max="3337" width="18.42578125" style="76" customWidth="1"/>
    <col min="3338" max="3338" width="14.7109375" style="76" customWidth="1"/>
    <col min="3339" max="3339" width="16.5703125" style="76" customWidth="1"/>
    <col min="3340" max="3340" width="12.5703125" style="76" customWidth="1"/>
    <col min="3341" max="3341" width="14.42578125" style="76" customWidth="1"/>
    <col min="3342" max="3342" width="11" style="76" bestFit="1" customWidth="1"/>
    <col min="3343" max="3343" width="65.5703125" style="76" customWidth="1"/>
    <col min="3344" max="3344" width="20" style="76" customWidth="1"/>
    <col min="3345" max="3345" width="13.7109375" style="76" customWidth="1"/>
    <col min="3346" max="3346" width="26.28515625" style="76" customWidth="1"/>
    <col min="3347" max="3347" width="55.140625" style="76" customWidth="1"/>
    <col min="3348" max="3348" width="11.85546875" style="76" customWidth="1"/>
    <col min="3349" max="3349" width="60" style="76" customWidth="1"/>
    <col min="3350" max="3350" width="15.5703125" style="76" customWidth="1"/>
    <col min="3351" max="3351" width="22.140625" style="76" customWidth="1"/>
    <col min="3352" max="3352" width="16.7109375" style="76" customWidth="1"/>
    <col min="3353" max="3353" width="13" style="76" customWidth="1"/>
    <col min="3354" max="3354" width="12.140625" style="76" customWidth="1"/>
    <col min="3355" max="3355" width="0.140625" style="76" customWidth="1"/>
    <col min="3356" max="3356" width="18" style="76" customWidth="1"/>
    <col min="3357" max="3357" width="13.7109375" style="76" customWidth="1"/>
    <col min="3358" max="3358" width="39.28515625" style="76" customWidth="1"/>
    <col min="3359" max="3359" width="15.7109375" style="76" customWidth="1"/>
    <col min="3360" max="3360" width="11.5703125" style="76" customWidth="1"/>
    <col min="3361" max="3361" width="14.28515625" style="76" customWidth="1"/>
    <col min="3362" max="3362" width="20.28515625" style="76" customWidth="1"/>
    <col min="3363" max="3363" width="11.5703125" style="76" bestFit="1" customWidth="1"/>
    <col min="3364" max="3364" width="10.42578125" style="76" bestFit="1" customWidth="1"/>
    <col min="3365" max="3365" width="14" style="76" customWidth="1"/>
    <col min="3366" max="3367" width="9.5703125" style="76"/>
    <col min="3368" max="3368" width="10.28515625" style="76" bestFit="1" customWidth="1"/>
    <col min="3369" max="3369" width="9.5703125" style="76"/>
    <col min="3370" max="3370" width="28.28515625" style="76" customWidth="1"/>
    <col min="3371" max="3371" width="14.5703125" style="76" customWidth="1"/>
    <col min="3372" max="3372" width="11.140625" style="76" customWidth="1"/>
    <col min="3373" max="3373" width="14.140625" style="76" customWidth="1"/>
    <col min="3374" max="3374" width="9.7109375" style="76" bestFit="1" customWidth="1"/>
    <col min="3375" max="3375" width="10.28515625" style="76" bestFit="1" customWidth="1"/>
    <col min="3376" max="3376" width="12" style="76" customWidth="1"/>
    <col min="3377" max="3580" width="9.5703125" style="76"/>
    <col min="3581" max="3581" width="9.7109375" style="76" bestFit="1" customWidth="1"/>
    <col min="3582" max="3584" width="9.5703125" style="76"/>
    <col min="3585" max="3585" width="10" style="76" customWidth="1"/>
    <col min="3586" max="3586" width="82.28515625" style="76" customWidth="1"/>
    <col min="3587" max="3587" width="20.85546875" style="76" customWidth="1"/>
    <col min="3588" max="3588" width="17.7109375" style="76" customWidth="1"/>
    <col min="3589" max="3589" width="11" style="76" customWidth="1"/>
    <col min="3590" max="3590" width="22.85546875" style="76" customWidth="1"/>
    <col min="3591" max="3591" width="18.28515625" style="76" customWidth="1"/>
    <col min="3592" max="3592" width="55.7109375" style="76" customWidth="1"/>
    <col min="3593" max="3593" width="18.42578125" style="76" customWidth="1"/>
    <col min="3594" max="3594" width="14.7109375" style="76" customWidth="1"/>
    <col min="3595" max="3595" width="16.5703125" style="76" customWidth="1"/>
    <col min="3596" max="3596" width="12.5703125" style="76" customWidth="1"/>
    <col min="3597" max="3597" width="14.42578125" style="76" customWidth="1"/>
    <col min="3598" max="3598" width="11" style="76" bestFit="1" customWidth="1"/>
    <col min="3599" max="3599" width="65.5703125" style="76" customWidth="1"/>
    <col min="3600" max="3600" width="20" style="76" customWidth="1"/>
    <col min="3601" max="3601" width="13.7109375" style="76" customWidth="1"/>
    <col min="3602" max="3602" width="26.28515625" style="76" customWidth="1"/>
    <col min="3603" max="3603" width="55.140625" style="76" customWidth="1"/>
    <col min="3604" max="3604" width="11.85546875" style="76" customWidth="1"/>
    <col min="3605" max="3605" width="60" style="76" customWidth="1"/>
    <col min="3606" max="3606" width="15.5703125" style="76" customWidth="1"/>
    <col min="3607" max="3607" width="22.140625" style="76" customWidth="1"/>
    <col min="3608" max="3608" width="16.7109375" style="76" customWidth="1"/>
    <col min="3609" max="3609" width="13" style="76" customWidth="1"/>
    <col min="3610" max="3610" width="12.140625" style="76" customWidth="1"/>
    <col min="3611" max="3611" width="0.140625" style="76" customWidth="1"/>
    <col min="3612" max="3612" width="18" style="76" customWidth="1"/>
    <col min="3613" max="3613" width="13.7109375" style="76" customWidth="1"/>
    <col min="3614" max="3614" width="39.28515625" style="76" customWidth="1"/>
    <col min="3615" max="3615" width="15.7109375" style="76" customWidth="1"/>
    <col min="3616" max="3616" width="11.5703125" style="76" customWidth="1"/>
    <col min="3617" max="3617" width="14.28515625" style="76" customWidth="1"/>
    <col min="3618" max="3618" width="20.28515625" style="76" customWidth="1"/>
    <col min="3619" max="3619" width="11.5703125" style="76" bestFit="1" customWidth="1"/>
    <col min="3620" max="3620" width="10.42578125" style="76" bestFit="1" customWidth="1"/>
    <col min="3621" max="3621" width="14" style="76" customWidth="1"/>
    <col min="3622" max="3623" width="9.5703125" style="76"/>
    <col min="3624" max="3624" width="10.28515625" style="76" bestFit="1" customWidth="1"/>
    <col min="3625" max="3625" width="9.5703125" style="76"/>
    <col min="3626" max="3626" width="28.28515625" style="76" customWidth="1"/>
    <col min="3627" max="3627" width="14.5703125" style="76" customWidth="1"/>
    <col min="3628" max="3628" width="11.140625" style="76" customWidth="1"/>
    <col min="3629" max="3629" width="14.140625" style="76" customWidth="1"/>
    <col min="3630" max="3630" width="9.7109375" style="76" bestFit="1" customWidth="1"/>
    <col min="3631" max="3631" width="10.28515625" style="76" bestFit="1" customWidth="1"/>
    <col min="3632" max="3632" width="12" style="76" customWidth="1"/>
    <col min="3633" max="3836" width="9.5703125" style="76"/>
    <col min="3837" max="3837" width="9.7109375" style="76" bestFit="1" customWidth="1"/>
    <col min="3838" max="3840" width="9.5703125" style="76"/>
    <col min="3841" max="3841" width="10" style="76" customWidth="1"/>
    <col min="3842" max="3842" width="82.28515625" style="76" customWidth="1"/>
    <col min="3843" max="3843" width="20.85546875" style="76" customWidth="1"/>
    <col min="3844" max="3844" width="17.7109375" style="76" customWidth="1"/>
    <col min="3845" max="3845" width="11" style="76" customWidth="1"/>
    <col min="3846" max="3846" width="22.85546875" style="76" customWidth="1"/>
    <col min="3847" max="3847" width="18.28515625" style="76" customWidth="1"/>
    <col min="3848" max="3848" width="55.7109375" style="76" customWidth="1"/>
    <col min="3849" max="3849" width="18.42578125" style="76" customWidth="1"/>
    <col min="3850" max="3850" width="14.7109375" style="76" customWidth="1"/>
    <col min="3851" max="3851" width="16.5703125" style="76" customWidth="1"/>
    <col min="3852" max="3852" width="12.5703125" style="76" customWidth="1"/>
    <col min="3853" max="3853" width="14.42578125" style="76" customWidth="1"/>
    <col min="3854" max="3854" width="11" style="76" bestFit="1" customWidth="1"/>
    <col min="3855" max="3855" width="65.5703125" style="76" customWidth="1"/>
    <col min="3856" max="3856" width="20" style="76" customWidth="1"/>
    <col min="3857" max="3857" width="13.7109375" style="76" customWidth="1"/>
    <col min="3858" max="3858" width="26.28515625" style="76" customWidth="1"/>
    <col min="3859" max="3859" width="55.140625" style="76" customWidth="1"/>
    <col min="3860" max="3860" width="11.85546875" style="76" customWidth="1"/>
    <col min="3861" max="3861" width="60" style="76" customWidth="1"/>
    <col min="3862" max="3862" width="15.5703125" style="76" customWidth="1"/>
    <col min="3863" max="3863" width="22.140625" style="76" customWidth="1"/>
    <col min="3864" max="3864" width="16.7109375" style="76" customWidth="1"/>
    <col min="3865" max="3865" width="13" style="76" customWidth="1"/>
    <col min="3866" max="3866" width="12.140625" style="76" customWidth="1"/>
    <col min="3867" max="3867" width="0.140625" style="76" customWidth="1"/>
    <col min="3868" max="3868" width="18" style="76" customWidth="1"/>
    <col min="3869" max="3869" width="13.7109375" style="76" customWidth="1"/>
    <col min="3870" max="3870" width="39.28515625" style="76" customWidth="1"/>
    <col min="3871" max="3871" width="15.7109375" style="76" customWidth="1"/>
    <col min="3872" max="3872" width="11.5703125" style="76" customWidth="1"/>
    <col min="3873" max="3873" width="14.28515625" style="76" customWidth="1"/>
    <col min="3874" max="3874" width="20.28515625" style="76" customWidth="1"/>
    <col min="3875" max="3875" width="11.5703125" style="76" bestFit="1" customWidth="1"/>
    <col min="3876" max="3876" width="10.42578125" style="76" bestFit="1" customWidth="1"/>
    <col min="3877" max="3877" width="14" style="76" customWidth="1"/>
    <col min="3878" max="3879" width="9.5703125" style="76"/>
    <col min="3880" max="3880" width="10.28515625" style="76" bestFit="1" customWidth="1"/>
    <col min="3881" max="3881" width="9.5703125" style="76"/>
    <col min="3882" max="3882" width="28.28515625" style="76" customWidth="1"/>
    <col min="3883" max="3883" width="14.5703125" style="76" customWidth="1"/>
    <col min="3884" max="3884" width="11.140625" style="76" customWidth="1"/>
    <col min="3885" max="3885" width="14.140625" style="76" customWidth="1"/>
    <col min="3886" max="3886" width="9.7109375" style="76" bestFit="1" customWidth="1"/>
    <col min="3887" max="3887" width="10.28515625" style="76" bestFit="1" customWidth="1"/>
    <col min="3888" max="3888" width="12" style="76" customWidth="1"/>
    <col min="3889" max="4092" width="9.5703125" style="76"/>
    <col min="4093" max="4093" width="9.7109375" style="76" bestFit="1" customWidth="1"/>
    <col min="4094" max="4096" width="9.5703125" style="76"/>
    <col min="4097" max="4097" width="10" style="76" customWidth="1"/>
    <col min="4098" max="4098" width="82.28515625" style="76" customWidth="1"/>
    <col min="4099" max="4099" width="20.85546875" style="76" customWidth="1"/>
    <col min="4100" max="4100" width="17.7109375" style="76" customWidth="1"/>
    <col min="4101" max="4101" width="11" style="76" customWidth="1"/>
    <col min="4102" max="4102" width="22.85546875" style="76" customWidth="1"/>
    <col min="4103" max="4103" width="18.28515625" style="76" customWidth="1"/>
    <col min="4104" max="4104" width="55.7109375" style="76" customWidth="1"/>
    <col min="4105" max="4105" width="18.42578125" style="76" customWidth="1"/>
    <col min="4106" max="4106" width="14.7109375" style="76" customWidth="1"/>
    <col min="4107" max="4107" width="16.5703125" style="76" customWidth="1"/>
    <col min="4108" max="4108" width="12.5703125" style="76" customWidth="1"/>
    <col min="4109" max="4109" width="14.42578125" style="76" customWidth="1"/>
    <col min="4110" max="4110" width="11" style="76" bestFit="1" customWidth="1"/>
    <col min="4111" max="4111" width="65.5703125" style="76" customWidth="1"/>
    <col min="4112" max="4112" width="20" style="76" customWidth="1"/>
    <col min="4113" max="4113" width="13.7109375" style="76" customWidth="1"/>
    <col min="4114" max="4114" width="26.28515625" style="76" customWidth="1"/>
    <col min="4115" max="4115" width="55.140625" style="76" customWidth="1"/>
    <col min="4116" max="4116" width="11.85546875" style="76" customWidth="1"/>
    <col min="4117" max="4117" width="60" style="76" customWidth="1"/>
    <col min="4118" max="4118" width="15.5703125" style="76" customWidth="1"/>
    <col min="4119" max="4119" width="22.140625" style="76" customWidth="1"/>
    <col min="4120" max="4120" width="16.7109375" style="76" customWidth="1"/>
    <col min="4121" max="4121" width="13" style="76" customWidth="1"/>
    <col min="4122" max="4122" width="12.140625" style="76" customWidth="1"/>
    <col min="4123" max="4123" width="0.140625" style="76" customWidth="1"/>
    <col min="4124" max="4124" width="18" style="76" customWidth="1"/>
    <col min="4125" max="4125" width="13.7109375" style="76" customWidth="1"/>
    <col min="4126" max="4126" width="39.28515625" style="76" customWidth="1"/>
    <col min="4127" max="4127" width="15.7109375" style="76" customWidth="1"/>
    <col min="4128" max="4128" width="11.5703125" style="76" customWidth="1"/>
    <col min="4129" max="4129" width="14.28515625" style="76" customWidth="1"/>
    <col min="4130" max="4130" width="20.28515625" style="76" customWidth="1"/>
    <col min="4131" max="4131" width="11.5703125" style="76" bestFit="1" customWidth="1"/>
    <col min="4132" max="4132" width="10.42578125" style="76" bestFit="1" customWidth="1"/>
    <col min="4133" max="4133" width="14" style="76" customWidth="1"/>
    <col min="4134" max="4135" width="9.5703125" style="76"/>
    <col min="4136" max="4136" width="10.28515625" style="76" bestFit="1" customWidth="1"/>
    <col min="4137" max="4137" width="9.5703125" style="76"/>
    <col min="4138" max="4138" width="28.28515625" style="76" customWidth="1"/>
    <col min="4139" max="4139" width="14.5703125" style="76" customWidth="1"/>
    <col min="4140" max="4140" width="11.140625" style="76" customWidth="1"/>
    <col min="4141" max="4141" width="14.140625" style="76" customWidth="1"/>
    <col min="4142" max="4142" width="9.7109375" style="76" bestFit="1" customWidth="1"/>
    <col min="4143" max="4143" width="10.28515625" style="76" bestFit="1" customWidth="1"/>
    <col min="4144" max="4144" width="12" style="76" customWidth="1"/>
    <col min="4145" max="4348" width="9.5703125" style="76"/>
    <col min="4349" max="4349" width="9.7109375" style="76" bestFit="1" customWidth="1"/>
    <col min="4350" max="4352" width="9.5703125" style="76"/>
    <col min="4353" max="4353" width="10" style="76" customWidth="1"/>
    <col min="4354" max="4354" width="82.28515625" style="76" customWidth="1"/>
    <col min="4355" max="4355" width="20.85546875" style="76" customWidth="1"/>
    <col min="4356" max="4356" width="17.7109375" style="76" customWidth="1"/>
    <col min="4357" max="4357" width="11" style="76" customWidth="1"/>
    <col min="4358" max="4358" width="22.85546875" style="76" customWidth="1"/>
    <col min="4359" max="4359" width="18.28515625" style="76" customWidth="1"/>
    <col min="4360" max="4360" width="55.7109375" style="76" customWidth="1"/>
    <col min="4361" max="4361" width="18.42578125" style="76" customWidth="1"/>
    <col min="4362" max="4362" width="14.7109375" style="76" customWidth="1"/>
    <col min="4363" max="4363" width="16.5703125" style="76" customWidth="1"/>
    <col min="4364" max="4364" width="12.5703125" style="76" customWidth="1"/>
    <col min="4365" max="4365" width="14.42578125" style="76" customWidth="1"/>
    <col min="4366" max="4366" width="11" style="76" bestFit="1" customWidth="1"/>
    <col min="4367" max="4367" width="65.5703125" style="76" customWidth="1"/>
    <col min="4368" max="4368" width="20" style="76" customWidth="1"/>
    <col min="4369" max="4369" width="13.7109375" style="76" customWidth="1"/>
    <col min="4370" max="4370" width="26.28515625" style="76" customWidth="1"/>
    <col min="4371" max="4371" width="55.140625" style="76" customWidth="1"/>
    <col min="4372" max="4372" width="11.85546875" style="76" customWidth="1"/>
    <col min="4373" max="4373" width="60" style="76" customWidth="1"/>
    <col min="4374" max="4374" width="15.5703125" style="76" customWidth="1"/>
    <col min="4375" max="4375" width="22.140625" style="76" customWidth="1"/>
    <col min="4376" max="4376" width="16.7109375" style="76" customWidth="1"/>
    <col min="4377" max="4377" width="13" style="76" customWidth="1"/>
    <col min="4378" max="4378" width="12.140625" style="76" customWidth="1"/>
    <col min="4379" max="4379" width="0.140625" style="76" customWidth="1"/>
    <col min="4380" max="4380" width="18" style="76" customWidth="1"/>
    <col min="4381" max="4381" width="13.7109375" style="76" customWidth="1"/>
    <col min="4382" max="4382" width="39.28515625" style="76" customWidth="1"/>
    <col min="4383" max="4383" width="15.7109375" style="76" customWidth="1"/>
    <col min="4384" max="4384" width="11.5703125" style="76" customWidth="1"/>
    <col min="4385" max="4385" width="14.28515625" style="76" customWidth="1"/>
    <col min="4386" max="4386" width="20.28515625" style="76" customWidth="1"/>
    <col min="4387" max="4387" width="11.5703125" style="76" bestFit="1" customWidth="1"/>
    <col min="4388" max="4388" width="10.42578125" style="76" bestFit="1" customWidth="1"/>
    <col min="4389" max="4389" width="14" style="76" customWidth="1"/>
    <col min="4390" max="4391" width="9.5703125" style="76"/>
    <col min="4392" max="4392" width="10.28515625" style="76" bestFit="1" customWidth="1"/>
    <col min="4393" max="4393" width="9.5703125" style="76"/>
    <col min="4394" max="4394" width="28.28515625" style="76" customWidth="1"/>
    <col min="4395" max="4395" width="14.5703125" style="76" customWidth="1"/>
    <col min="4396" max="4396" width="11.140625" style="76" customWidth="1"/>
    <col min="4397" max="4397" width="14.140625" style="76" customWidth="1"/>
    <col min="4398" max="4398" width="9.7109375" style="76" bestFit="1" customWidth="1"/>
    <col min="4399" max="4399" width="10.28515625" style="76" bestFit="1" customWidth="1"/>
    <col min="4400" max="4400" width="12" style="76" customWidth="1"/>
    <col min="4401" max="4604" width="9.5703125" style="76"/>
    <col min="4605" max="4605" width="9.7109375" style="76" bestFit="1" customWidth="1"/>
    <col min="4606" max="4608" width="9.5703125" style="76"/>
    <col min="4609" max="4609" width="10" style="76" customWidth="1"/>
    <col min="4610" max="4610" width="82.28515625" style="76" customWidth="1"/>
    <col min="4611" max="4611" width="20.85546875" style="76" customWidth="1"/>
    <col min="4612" max="4612" width="17.7109375" style="76" customWidth="1"/>
    <col min="4613" max="4613" width="11" style="76" customWidth="1"/>
    <col min="4614" max="4614" width="22.85546875" style="76" customWidth="1"/>
    <col min="4615" max="4615" width="18.28515625" style="76" customWidth="1"/>
    <col min="4616" max="4616" width="55.7109375" style="76" customWidth="1"/>
    <col min="4617" max="4617" width="18.42578125" style="76" customWidth="1"/>
    <col min="4618" max="4618" width="14.7109375" style="76" customWidth="1"/>
    <col min="4619" max="4619" width="16.5703125" style="76" customWidth="1"/>
    <col min="4620" max="4620" width="12.5703125" style="76" customWidth="1"/>
    <col min="4621" max="4621" width="14.42578125" style="76" customWidth="1"/>
    <col min="4622" max="4622" width="11" style="76" bestFit="1" customWidth="1"/>
    <col min="4623" max="4623" width="65.5703125" style="76" customWidth="1"/>
    <col min="4624" max="4624" width="20" style="76" customWidth="1"/>
    <col min="4625" max="4625" width="13.7109375" style="76" customWidth="1"/>
    <col min="4626" max="4626" width="26.28515625" style="76" customWidth="1"/>
    <col min="4627" max="4627" width="55.140625" style="76" customWidth="1"/>
    <col min="4628" max="4628" width="11.85546875" style="76" customWidth="1"/>
    <col min="4629" max="4629" width="60" style="76" customWidth="1"/>
    <col min="4630" max="4630" width="15.5703125" style="76" customWidth="1"/>
    <col min="4631" max="4631" width="22.140625" style="76" customWidth="1"/>
    <col min="4632" max="4632" width="16.7109375" style="76" customWidth="1"/>
    <col min="4633" max="4633" width="13" style="76" customWidth="1"/>
    <col min="4634" max="4634" width="12.140625" style="76" customWidth="1"/>
    <col min="4635" max="4635" width="0.140625" style="76" customWidth="1"/>
    <col min="4636" max="4636" width="18" style="76" customWidth="1"/>
    <col min="4637" max="4637" width="13.7109375" style="76" customWidth="1"/>
    <col min="4638" max="4638" width="39.28515625" style="76" customWidth="1"/>
    <col min="4639" max="4639" width="15.7109375" style="76" customWidth="1"/>
    <col min="4640" max="4640" width="11.5703125" style="76" customWidth="1"/>
    <col min="4641" max="4641" width="14.28515625" style="76" customWidth="1"/>
    <col min="4642" max="4642" width="20.28515625" style="76" customWidth="1"/>
    <col min="4643" max="4643" width="11.5703125" style="76" bestFit="1" customWidth="1"/>
    <col min="4644" max="4644" width="10.42578125" style="76" bestFit="1" customWidth="1"/>
    <col min="4645" max="4645" width="14" style="76" customWidth="1"/>
    <col min="4646" max="4647" width="9.5703125" style="76"/>
    <col min="4648" max="4648" width="10.28515625" style="76" bestFit="1" customWidth="1"/>
    <col min="4649" max="4649" width="9.5703125" style="76"/>
    <col min="4650" max="4650" width="28.28515625" style="76" customWidth="1"/>
    <col min="4651" max="4651" width="14.5703125" style="76" customWidth="1"/>
    <col min="4652" max="4652" width="11.140625" style="76" customWidth="1"/>
    <col min="4653" max="4653" width="14.140625" style="76" customWidth="1"/>
    <col min="4654" max="4654" width="9.7109375" style="76" bestFit="1" customWidth="1"/>
    <col min="4655" max="4655" width="10.28515625" style="76" bestFit="1" customWidth="1"/>
    <col min="4656" max="4656" width="12" style="76" customWidth="1"/>
    <col min="4657" max="4860" width="9.5703125" style="76"/>
    <col min="4861" max="4861" width="9.7109375" style="76" bestFit="1" customWidth="1"/>
    <col min="4862" max="4864" width="9.5703125" style="76"/>
    <col min="4865" max="4865" width="10" style="76" customWidth="1"/>
    <col min="4866" max="4866" width="82.28515625" style="76" customWidth="1"/>
    <col min="4867" max="4867" width="20.85546875" style="76" customWidth="1"/>
    <col min="4868" max="4868" width="17.7109375" style="76" customWidth="1"/>
    <col min="4869" max="4869" width="11" style="76" customWidth="1"/>
    <col min="4870" max="4870" width="22.85546875" style="76" customWidth="1"/>
    <col min="4871" max="4871" width="18.28515625" style="76" customWidth="1"/>
    <col min="4872" max="4872" width="55.7109375" style="76" customWidth="1"/>
    <col min="4873" max="4873" width="18.42578125" style="76" customWidth="1"/>
    <col min="4874" max="4874" width="14.7109375" style="76" customWidth="1"/>
    <col min="4875" max="4875" width="16.5703125" style="76" customWidth="1"/>
    <col min="4876" max="4876" width="12.5703125" style="76" customWidth="1"/>
    <col min="4877" max="4877" width="14.42578125" style="76" customWidth="1"/>
    <col min="4878" max="4878" width="11" style="76" bestFit="1" customWidth="1"/>
    <col min="4879" max="4879" width="65.5703125" style="76" customWidth="1"/>
    <col min="4880" max="4880" width="20" style="76" customWidth="1"/>
    <col min="4881" max="4881" width="13.7109375" style="76" customWidth="1"/>
    <col min="4882" max="4882" width="26.28515625" style="76" customWidth="1"/>
    <col min="4883" max="4883" width="55.140625" style="76" customWidth="1"/>
    <col min="4884" max="4884" width="11.85546875" style="76" customWidth="1"/>
    <col min="4885" max="4885" width="60" style="76" customWidth="1"/>
    <col min="4886" max="4886" width="15.5703125" style="76" customWidth="1"/>
    <col min="4887" max="4887" width="22.140625" style="76" customWidth="1"/>
    <col min="4888" max="4888" width="16.7109375" style="76" customWidth="1"/>
    <col min="4889" max="4889" width="13" style="76" customWidth="1"/>
    <col min="4890" max="4890" width="12.140625" style="76" customWidth="1"/>
    <col min="4891" max="4891" width="0.140625" style="76" customWidth="1"/>
    <col min="4892" max="4892" width="18" style="76" customWidth="1"/>
    <col min="4893" max="4893" width="13.7109375" style="76" customWidth="1"/>
    <col min="4894" max="4894" width="39.28515625" style="76" customWidth="1"/>
    <col min="4895" max="4895" width="15.7109375" style="76" customWidth="1"/>
    <col min="4896" max="4896" width="11.5703125" style="76" customWidth="1"/>
    <col min="4897" max="4897" width="14.28515625" style="76" customWidth="1"/>
    <col min="4898" max="4898" width="20.28515625" style="76" customWidth="1"/>
    <col min="4899" max="4899" width="11.5703125" style="76" bestFit="1" customWidth="1"/>
    <col min="4900" max="4900" width="10.42578125" style="76" bestFit="1" customWidth="1"/>
    <col min="4901" max="4901" width="14" style="76" customWidth="1"/>
    <col min="4902" max="4903" width="9.5703125" style="76"/>
    <col min="4904" max="4904" width="10.28515625" style="76" bestFit="1" customWidth="1"/>
    <col min="4905" max="4905" width="9.5703125" style="76"/>
    <col min="4906" max="4906" width="28.28515625" style="76" customWidth="1"/>
    <col min="4907" max="4907" width="14.5703125" style="76" customWidth="1"/>
    <col min="4908" max="4908" width="11.140625" style="76" customWidth="1"/>
    <col min="4909" max="4909" width="14.140625" style="76" customWidth="1"/>
    <col min="4910" max="4910" width="9.7109375" style="76" bestFit="1" customWidth="1"/>
    <col min="4911" max="4911" width="10.28515625" style="76" bestFit="1" customWidth="1"/>
    <col min="4912" max="4912" width="12" style="76" customWidth="1"/>
    <col min="4913" max="5116" width="9.5703125" style="76"/>
    <col min="5117" max="5117" width="9.7109375" style="76" bestFit="1" customWidth="1"/>
    <col min="5118" max="5120" width="9.5703125" style="76"/>
    <col min="5121" max="5121" width="10" style="76" customWidth="1"/>
    <col min="5122" max="5122" width="82.28515625" style="76" customWidth="1"/>
    <col min="5123" max="5123" width="20.85546875" style="76" customWidth="1"/>
    <col min="5124" max="5124" width="17.7109375" style="76" customWidth="1"/>
    <col min="5125" max="5125" width="11" style="76" customWidth="1"/>
    <col min="5126" max="5126" width="22.85546875" style="76" customWidth="1"/>
    <col min="5127" max="5127" width="18.28515625" style="76" customWidth="1"/>
    <col min="5128" max="5128" width="55.7109375" style="76" customWidth="1"/>
    <col min="5129" max="5129" width="18.42578125" style="76" customWidth="1"/>
    <col min="5130" max="5130" width="14.7109375" style="76" customWidth="1"/>
    <col min="5131" max="5131" width="16.5703125" style="76" customWidth="1"/>
    <col min="5132" max="5132" width="12.5703125" style="76" customWidth="1"/>
    <col min="5133" max="5133" width="14.42578125" style="76" customWidth="1"/>
    <col min="5134" max="5134" width="11" style="76" bestFit="1" customWidth="1"/>
    <col min="5135" max="5135" width="65.5703125" style="76" customWidth="1"/>
    <col min="5136" max="5136" width="20" style="76" customWidth="1"/>
    <col min="5137" max="5137" width="13.7109375" style="76" customWidth="1"/>
    <col min="5138" max="5138" width="26.28515625" style="76" customWidth="1"/>
    <col min="5139" max="5139" width="55.140625" style="76" customWidth="1"/>
    <col min="5140" max="5140" width="11.85546875" style="76" customWidth="1"/>
    <col min="5141" max="5141" width="60" style="76" customWidth="1"/>
    <col min="5142" max="5142" width="15.5703125" style="76" customWidth="1"/>
    <col min="5143" max="5143" width="22.140625" style="76" customWidth="1"/>
    <col min="5144" max="5144" width="16.7109375" style="76" customWidth="1"/>
    <col min="5145" max="5145" width="13" style="76" customWidth="1"/>
    <col min="5146" max="5146" width="12.140625" style="76" customWidth="1"/>
    <col min="5147" max="5147" width="0.140625" style="76" customWidth="1"/>
    <col min="5148" max="5148" width="18" style="76" customWidth="1"/>
    <col min="5149" max="5149" width="13.7109375" style="76" customWidth="1"/>
    <col min="5150" max="5150" width="39.28515625" style="76" customWidth="1"/>
    <col min="5151" max="5151" width="15.7109375" style="76" customWidth="1"/>
    <col min="5152" max="5152" width="11.5703125" style="76" customWidth="1"/>
    <col min="5153" max="5153" width="14.28515625" style="76" customWidth="1"/>
    <col min="5154" max="5154" width="20.28515625" style="76" customWidth="1"/>
    <col min="5155" max="5155" width="11.5703125" style="76" bestFit="1" customWidth="1"/>
    <col min="5156" max="5156" width="10.42578125" style="76" bestFit="1" customWidth="1"/>
    <col min="5157" max="5157" width="14" style="76" customWidth="1"/>
    <col min="5158" max="5159" width="9.5703125" style="76"/>
    <col min="5160" max="5160" width="10.28515625" style="76" bestFit="1" customWidth="1"/>
    <col min="5161" max="5161" width="9.5703125" style="76"/>
    <col min="5162" max="5162" width="28.28515625" style="76" customWidth="1"/>
    <col min="5163" max="5163" width="14.5703125" style="76" customWidth="1"/>
    <col min="5164" max="5164" width="11.140625" style="76" customWidth="1"/>
    <col min="5165" max="5165" width="14.140625" style="76" customWidth="1"/>
    <col min="5166" max="5166" width="9.7109375" style="76" bestFit="1" customWidth="1"/>
    <col min="5167" max="5167" width="10.28515625" style="76" bestFit="1" customWidth="1"/>
    <col min="5168" max="5168" width="12" style="76" customWidth="1"/>
    <col min="5169" max="5372" width="9.5703125" style="76"/>
    <col min="5373" max="5373" width="9.7109375" style="76" bestFit="1" customWidth="1"/>
    <col min="5374" max="5376" width="9.5703125" style="76"/>
    <col min="5377" max="5377" width="10" style="76" customWidth="1"/>
    <col min="5378" max="5378" width="82.28515625" style="76" customWidth="1"/>
    <col min="5379" max="5379" width="20.85546875" style="76" customWidth="1"/>
    <col min="5380" max="5380" width="17.7109375" style="76" customWidth="1"/>
    <col min="5381" max="5381" width="11" style="76" customWidth="1"/>
    <col min="5382" max="5382" width="22.85546875" style="76" customWidth="1"/>
    <col min="5383" max="5383" width="18.28515625" style="76" customWidth="1"/>
    <col min="5384" max="5384" width="55.7109375" style="76" customWidth="1"/>
    <col min="5385" max="5385" width="18.42578125" style="76" customWidth="1"/>
    <col min="5386" max="5386" width="14.7109375" style="76" customWidth="1"/>
    <col min="5387" max="5387" width="16.5703125" style="76" customWidth="1"/>
    <col min="5388" max="5388" width="12.5703125" style="76" customWidth="1"/>
    <col min="5389" max="5389" width="14.42578125" style="76" customWidth="1"/>
    <col min="5390" max="5390" width="11" style="76" bestFit="1" customWidth="1"/>
    <col min="5391" max="5391" width="65.5703125" style="76" customWidth="1"/>
    <col min="5392" max="5392" width="20" style="76" customWidth="1"/>
    <col min="5393" max="5393" width="13.7109375" style="76" customWidth="1"/>
    <col min="5394" max="5394" width="26.28515625" style="76" customWidth="1"/>
    <col min="5395" max="5395" width="55.140625" style="76" customWidth="1"/>
    <col min="5396" max="5396" width="11.85546875" style="76" customWidth="1"/>
    <col min="5397" max="5397" width="60" style="76" customWidth="1"/>
    <col min="5398" max="5398" width="15.5703125" style="76" customWidth="1"/>
    <col min="5399" max="5399" width="22.140625" style="76" customWidth="1"/>
    <col min="5400" max="5400" width="16.7109375" style="76" customWidth="1"/>
    <col min="5401" max="5401" width="13" style="76" customWidth="1"/>
    <col min="5402" max="5402" width="12.140625" style="76" customWidth="1"/>
    <col min="5403" max="5403" width="0.140625" style="76" customWidth="1"/>
    <col min="5404" max="5404" width="18" style="76" customWidth="1"/>
    <col min="5405" max="5405" width="13.7109375" style="76" customWidth="1"/>
    <col min="5406" max="5406" width="39.28515625" style="76" customWidth="1"/>
    <col min="5407" max="5407" width="15.7109375" style="76" customWidth="1"/>
    <col min="5408" max="5408" width="11.5703125" style="76" customWidth="1"/>
    <col min="5409" max="5409" width="14.28515625" style="76" customWidth="1"/>
    <col min="5410" max="5410" width="20.28515625" style="76" customWidth="1"/>
    <col min="5411" max="5411" width="11.5703125" style="76" bestFit="1" customWidth="1"/>
    <col min="5412" max="5412" width="10.42578125" style="76" bestFit="1" customWidth="1"/>
    <col min="5413" max="5413" width="14" style="76" customWidth="1"/>
    <col min="5414" max="5415" width="9.5703125" style="76"/>
    <col min="5416" max="5416" width="10.28515625" style="76" bestFit="1" customWidth="1"/>
    <col min="5417" max="5417" width="9.5703125" style="76"/>
    <col min="5418" max="5418" width="28.28515625" style="76" customWidth="1"/>
    <col min="5419" max="5419" width="14.5703125" style="76" customWidth="1"/>
    <col min="5420" max="5420" width="11.140625" style="76" customWidth="1"/>
    <col min="5421" max="5421" width="14.140625" style="76" customWidth="1"/>
    <col min="5422" max="5422" width="9.7109375" style="76" bestFit="1" customWidth="1"/>
    <col min="5423" max="5423" width="10.28515625" style="76" bestFit="1" customWidth="1"/>
    <col min="5424" max="5424" width="12" style="76" customWidth="1"/>
    <col min="5425" max="5628" width="9.5703125" style="76"/>
    <col min="5629" max="5629" width="9.7109375" style="76" bestFit="1" customWidth="1"/>
    <col min="5630" max="5632" width="9.5703125" style="76"/>
    <col min="5633" max="5633" width="10" style="76" customWidth="1"/>
    <col min="5634" max="5634" width="82.28515625" style="76" customWidth="1"/>
    <col min="5635" max="5635" width="20.85546875" style="76" customWidth="1"/>
    <col min="5636" max="5636" width="17.7109375" style="76" customWidth="1"/>
    <col min="5637" max="5637" width="11" style="76" customWidth="1"/>
    <col min="5638" max="5638" width="22.85546875" style="76" customWidth="1"/>
    <col min="5639" max="5639" width="18.28515625" style="76" customWidth="1"/>
    <col min="5640" max="5640" width="55.7109375" style="76" customWidth="1"/>
    <col min="5641" max="5641" width="18.42578125" style="76" customWidth="1"/>
    <col min="5642" max="5642" width="14.7109375" style="76" customWidth="1"/>
    <col min="5643" max="5643" width="16.5703125" style="76" customWidth="1"/>
    <col min="5644" max="5644" width="12.5703125" style="76" customWidth="1"/>
    <col min="5645" max="5645" width="14.42578125" style="76" customWidth="1"/>
    <col min="5646" max="5646" width="11" style="76" bestFit="1" customWidth="1"/>
    <col min="5647" max="5647" width="65.5703125" style="76" customWidth="1"/>
    <col min="5648" max="5648" width="20" style="76" customWidth="1"/>
    <col min="5649" max="5649" width="13.7109375" style="76" customWidth="1"/>
    <col min="5650" max="5650" width="26.28515625" style="76" customWidth="1"/>
    <col min="5651" max="5651" width="55.140625" style="76" customWidth="1"/>
    <col min="5652" max="5652" width="11.85546875" style="76" customWidth="1"/>
    <col min="5653" max="5653" width="60" style="76" customWidth="1"/>
    <col min="5654" max="5654" width="15.5703125" style="76" customWidth="1"/>
    <col min="5655" max="5655" width="22.140625" style="76" customWidth="1"/>
    <col min="5656" max="5656" width="16.7109375" style="76" customWidth="1"/>
    <col min="5657" max="5657" width="13" style="76" customWidth="1"/>
    <col min="5658" max="5658" width="12.140625" style="76" customWidth="1"/>
    <col min="5659" max="5659" width="0.140625" style="76" customWidth="1"/>
    <col min="5660" max="5660" width="18" style="76" customWidth="1"/>
    <col min="5661" max="5661" width="13.7109375" style="76" customWidth="1"/>
    <col min="5662" max="5662" width="39.28515625" style="76" customWidth="1"/>
    <col min="5663" max="5663" width="15.7109375" style="76" customWidth="1"/>
    <col min="5664" max="5664" width="11.5703125" style="76" customWidth="1"/>
    <col min="5665" max="5665" width="14.28515625" style="76" customWidth="1"/>
    <col min="5666" max="5666" width="20.28515625" style="76" customWidth="1"/>
    <col min="5667" max="5667" width="11.5703125" style="76" bestFit="1" customWidth="1"/>
    <col min="5668" max="5668" width="10.42578125" style="76" bestFit="1" customWidth="1"/>
    <col min="5669" max="5669" width="14" style="76" customWidth="1"/>
    <col min="5670" max="5671" width="9.5703125" style="76"/>
    <col min="5672" max="5672" width="10.28515625" style="76" bestFit="1" customWidth="1"/>
    <col min="5673" max="5673" width="9.5703125" style="76"/>
    <col min="5674" max="5674" width="28.28515625" style="76" customWidth="1"/>
    <col min="5675" max="5675" width="14.5703125" style="76" customWidth="1"/>
    <col min="5676" max="5676" width="11.140625" style="76" customWidth="1"/>
    <col min="5677" max="5677" width="14.140625" style="76" customWidth="1"/>
    <col min="5678" max="5678" width="9.7109375" style="76" bestFit="1" customWidth="1"/>
    <col min="5679" max="5679" width="10.28515625" style="76" bestFit="1" customWidth="1"/>
    <col min="5680" max="5680" width="12" style="76" customWidth="1"/>
    <col min="5681" max="5884" width="9.5703125" style="76"/>
    <col min="5885" max="5885" width="9.7109375" style="76" bestFit="1" customWidth="1"/>
    <col min="5886" max="5888" width="9.5703125" style="76"/>
    <col min="5889" max="5889" width="10" style="76" customWidth="1"/>
    <col min="5890" max="5890" width="82.28515625" style="76" customWidth="1"/>
    <col min="5891" max="5891" width="20.85546875" style="76" customWidth="1"/>
    <col min="5892" max="5892" width="17.7109375" style="76" customWidth="1"/>
    <col min="5893" max="5893" width="11" style="76" customWidth="1"/>
    <col min="5894" max="5894" width="22.85546875" style="76" customWidth="1"/>
    <col min="5895" max="5895" width="18.28515625" style="76" customWidth="1"/>
    <col min="5896" max="5896" width="55.7109375" style="76" customWidth="1"/>
    <col min="5897" max="5897" width="18.42578125" style="76" customWidth="1"/>
    <col min="5898" max="5898" width="14.7109375" style="76" customWidth="1"/>
    <col min="5899" max="5899" width="16.5703125" style="76" customWidth="1"/>
    <col min="5900" max="5900" width="12.5703125" style="76" customWidth="1"/>
    <col min="5901" max="5901" width="14.42578125" style="76" customWidth="1"/>
    <col min="5902" max="5902" width="11" style="76" bestFit="1" customWidth="1"/>
    <col min="5903" max="5903" width="65.5703125" style="76" customWidth="1"/>
    <col min="5904" max="5904" width="20" style="76" customWidth="1"/>
    <col min="5905" max="5905" width="13.7109375" style="76" customWidth="1"/>
    <col min="5906" max="5906" width="26.28515625" style="76" customWidth="1"/>
    <col min="5907" max="5907" width="55.140625" style="76" customWidth="1"/>
    <col min="5908" max="5908" width="11.85546875" style="76" customWidth="1"/>
    <col min="5909" max="5909" width="60" style="76" customWidth="1"/>
    <col min="5910" max="5910" width="15.5703125" style="76" customWidth="1"/>
    <col min="5911" max="5911" width="22.140625" style="76" customWidth="1"/>
    <col min="5912" max="5912" width="16.7109375" style="76" customWidth="1"/>
    <col min="5913" max="5913" width="13" style="76" customWidth="1"/>
    <col min="5914" max="5914" width="12.140625" style="76" customWidth="1"/>
    <col min="5915" max="5915" width="0.140625" style="76" customWidth="1"/>
    <col min="5916" max="5916" width="18" style="76" customWidth="1"/>
    <col min="5917" max="5917" width="13.7109375" style="76" customWidth="1"/>
    <col min="5918" max="5918" width="39.28515625" style="76" customWidth="1"/>
    <col min="5919" max="5919" width="15.7109375" style="76" customWidth="1"/>
    <col min="5920" max="5920" width="11.5703125" style="76" customWidth="1"/>
    <col min="5921" max="5921" width="14.28515625" style="76" customWidth="1"/>
    <col min="5922" max="5922" width="20.28515625" style="76" customWidth="1"/>
    <col min="5923" max="5923" width="11.5703125" style="76" bestFit="1" customWidth="1"/>
    <col min="5924" max="5924" width="10.42578125" style="76" bestFit="1" customWidth="1"/>
    <col min="5925" max="5925" width="14" style="76" customWidth="1"/>
    <col min="5926" max="5927" width="9.5703125" style="76"/>
    <col min="5928" max="5928" width="10.28515625" style="76" bestFit="1" customWidth="1"/>
    <col min="5929" max="5929" width="9.5703125" style="76"/>
    <col min="5930" max="5930" width="28.28515625" style="76" customWidth="1"/>
    <col min="5931" max="5931" width="14.5703125" style="76" customWidth="1"/>
    <col min="5932" max="5932" width="11.140625" style="76" customWidth="1"/>
    <col min="5933" max="5933" width="14.140625" style="76" customWidth="1"/>
    <col min="5934" max="5934" width="9.7109375" style="76" bestFit="1" customWidth="1"/>
    <col min="5935" max="5935" width="10.28515625" style="76" bestFit="1" customWidth="1"/>
    <col min="5936" max="5936" width="12" style="76" customWidth="1"/>
    <col min="5937" max="6140" width="9.5703125" style="76"/>
    <col min="6141" max="6141" width="9.7109375" style="76" bestFit="1" customWidth="1"/>
    <col min="6142" max="6144" width="9.5703125" style="76"/>
    <col min="6145" max="6145" width="10" style="76" customWidth="1"/>
    <col min="6146" max="6146" width="82.28515625" style="76" customWidth="1"/>
    <col min="6147" max="6147" width="20.85546875" style="76" customWidth="1"/>
    <col min="6148" max="6148" width="17.7109375" style="76" customWidth="1"/>
    <col min="6149" max="6149" width="11" style="76" customWidth="1"/>
    <col min="6150" max="6150" width="22.85546875" style="76" customWidth="1"/>
    <col min="6151" max="6151" width="18.28515625" style="76" customWidth="1"/>
    <col min="6152" max="6152" width="55.7109375" style="76" customWidth="1"/>
    <col min="6153" max="6153" width="18.42578125" style="76" customWidth="1"/>
    <col min="6154" max="6154" width="14.7109375" style="76" customWidth="1"/>
    <col min="6155" max="6155" width="16.5703125" style="76" customWidth="1"/>
    <col min="6156" max="6156" width="12.5703125" style="76" customWidth="1"/>
    <col min="6157" max="6157" width="14.42578125" style="76" customWidth="1"/>
    <col min="6158" max="6158" width="11" style="76" bestFit="1" customWidth="1"/>
    <col min="6159" max="6159" width="65.5703125" style="76" customWidth="1"/>
    <col min="6160" max="6160" width="20" style="76" customWidth="1"/>
    <col min="6161" max="6161" width="13.7109375" style="76" customWidth="1"/>
    <col min="6162" max="6162" width="26.28515625" style="76" customWidth="1"/>
    <col min="6163" max="6163" width="55.140625" style="76" customWidth="1"/>
    <col min="6164" max="6164" width="11.85546875" style="76" customWidth="1"/>
    <col min="6165" max="6165" width="60" style="76" customWidth="1"/>
    <col min="6166" max="6166" width="15.5703125" style="76" customWidth="1"/>
    <col min="6167" max="6167" width="22.140625" style="76" customWidth="1"/>
    <col min="6168" max="6168" width="16.7109375" style="76" customWidth="1"/>
    <col min="6169" max="6169" width="13" style="76" customWidth="1"/>
    <col min="6170" max="6170" width="12.140625" style="76" customWidth="1"/>
    <col min="6171" max="6171" width="0.140625" style="76" customWidth="1"/>
    <col min="6172" max="6172" width="18" style="76" customWidth="1"/>
    <col min="6173" max="6173" width="13.7109375" style="76" customWidth="1"/>
    <col min="6174" max="6174" width="39.28515625" style="76" customWidth="1"/>
    <col min="6175" max="6175" width="15.7109375" style="76" customWidth="1"/>
    <col min="6176" max="6176" width="11.5703125" style="76" customWidth="1"/>
    <col min="6177" max="6177" width="14.28515625" style="76" customWidth="1"/>
    <col min="6178" max="6178" width="20.28515625" style="76" customWidth="1"/>
    <col min="6179" max="6179" width="11.5703125" style="76" bestFit="1" customWidth="1"/>
    <col min="6180" max="6180" width="10.42578125" style="76" bestFit="1" customWidth="1"/>
    <col min="6181" max="6181" width="14" style="76" customWidth="1"/>
    <col min="6182" max="6183" width="9.5703125" style="76"/>
    <col min="6184" max="6184" width="10.28515625" style="76" bestFit="1" customWidth="1"/>
    <col min="6185" max="6185" width="9.5703125" style="76"/>
    <col min="6186" max="6186" width="28.28515625" style="76" customWidth="1"/>
    <col min="6187" max="6187" width="14.5703125" style="76" customWidth="1"/>
    <col min="6188" max="6188" width="11.140625" style="76" customWidth="1"/>
    <col min="6189" max="6189" width="14.140625" style="76" customWidth="1"/>
    <col min="6190" max="6190" width="9.7109375" style="76" bestFit="1" customWidth="1"/>
    <col min="6191" max="6191" width="10.28515625" style="76" bestFit="1" customWidth="1"/>
    <col min="6192" max="6192" width="12" style="76" customWidth="1"/>
    <col min="6193" max="6396" width="9.5703125" style="76"/>
    <col min="6397" max="6397" width="9.7109375" style="76" bestFit="1" customWidth="1"/>
    <col min="6398" max="6400" width="9.5703125" style="76"/>
    <col min="6401" max="6401" width="10" style="76" customWidth="1"/>
    <col min="6402" max="6402" width="82.28515625" style="76" customWidth="1"/>
    <col min="6403" max="6403" width="20.85546875" style="76" customWidth="1"/>
    <col min="6404" max="6404" width="17.7109375" style="76" customWidth="1"/>
    <col min="6405" max="6405" width="11" style="76" customWidth="1"/>
    <col min="6406" max="6406" width="22.85546875" style="76" customWidth="1"/>
    <col min="6407" max="6407" width="18.28515625" style="76" customWidth="1"/>
    <col min="6408" max="6408" width="55.7109375" style="76" customWidth="1"/>
    <col min="6409" max="6409" width="18.42578125" style="76" customWidth="1"/>
    <col min="6410" max="6410" width="14.7109375" style="76" customWidth="1"/>
    <col min="6411" max="6411" width="16.5703125" style="76" customWidth="1"/>
    <col min="6412" max="6412" width="12.5703125" style="76" customWidth="1"/>
    <col min="6413" max="6413" width="14.42578125" style="76" customWidth="1"/>
    <col min="6414" max="6414" width="11" style="76" bestFit="1" customWidth="1"/>
    <col min="6415" max="6415" width="65.5703125" style="76" customWidth="1"/>
    <col min="6416" max="6416" width="20" style="76" customWidth="1"/>
    <col min="6417" max="6417" width="13.7109375" style="76" customWidth="1"/>
    <col min="6418" max="6418" width="26.28515625" style="76" customWidth="1"/>
    <col min="6419" max="6419" width="55.140625" style="76" customWidth="1"/>
    <col min="6420" max="6420" width="11.85546875" style="76" customWidth="1"/>
    <col min="6421" max="6421" width="60" style="76" customWidth="1"/>
    <col min="6422" max="6422" width="15.5703125" style="76" customWidth="1"/>
    <col min="6423" max="6423" width="22.140625" style="76" customWidth="1"/>
    <col min="6424" max="6424" width="16.7109375" style="76" customWidth="1"/>
    <col min="6425" max="6425" width="13" style="76" customWidth="1"/>
    <col min="6426" max="6426" width="12.140625" style="76" customWidth="1"/>
    <col min="6427" max="6427" width="0.140625" style="76" customWidth="1"/>
    <col min="6428" max="6428" width="18" style="76" customWidth="1"/>
    <col min="6429" max="6429" width="13.7109375" style="76" customWidth="1"/>
    <col min="6430" max="6430" width="39.28515625" style="76" customWidth="1"/>
    <col min="6431" max="6431" width="15.7109375" style="76" customWidth="1"/>
    <col min="6432" max="6432" width="11.5703125" style="76" customWidth="1"/>
    <col min="6433" max="6433" width="14.28515625" style="76" customWidth="1"/>
    <col min="6434" max="6434" width="20.28515625" style="76" customWidth="1"/>
    <col min="6435" max="6435" width="11.5703125" style="76" bestFit="1" customWidth="1"/>
    <col min="6436" max="6436" width="10.42578125" style="76" bestFit="1" customWidth="1"/>
    <col min="6437" max="6437" width="14" style="76" customWidth="1"/>
    <col min="6438" max="6439" width="9.5703125" style="76"/>
    <col min="6440" max="6440" width="10.28515625" style="76" bestFit="1" customWidth="1"/>
    <col min="6441" max="6441" width="9.5703125" style="76"/>
    <col min="6442" max="6442" width="28.28515625" style="76" customWidth="1"/>
    <col min="6443" max="6443" width="14.5703125" style="76" customWidth="1"/>
    <col min="6444" max="6444" width="11.140625" style="76" customWidth="1"/>
    <col min="6445" max="6445" width="14.140625" style="76" customWidth="1"/>
    <col min="6446" max="6446" width="9.7109375" style="76" bestFit="1" customWidth="1"/>
    <col min="6447" max="6447" width="10.28515625" style="76" bestFit="1" customWidth="1"/>
    <col min="6448" max="6448" width="12" style="76" customWidth="1"/>
    <col min="6449" max="6652" width="9.5703125" style="76"/>
    <col min="6653" max="6653" width="9.7109375" style="76" bestFit="1" customWidth="1"/>
    <col min="6654" max="6656" width="9.5703125" style="76"/>
    <col min="6657" max="6657" width="10" style="76" customWidth="1"/>
    <col min="6658" max="6658" width="82.28515625" style="76" customWidth="1"/>
    <col min="6659" max="6659" width="20.85546875" style="76" customWidth="1"/>
    <col min="6660" max="6660" width="17.7109375" style="76" customWidth="1"/>
    <col min="6661" max="6661" width="11" style="76" customWidth="1"/>
    <col min="6662" max="6662" width="22.85546875" style="76" customWidth="1"/>
    <col min="6663" max="6663" width="18.28515625" style="76" customWidth="1"/>
    <col min="6664" max="6664" width="55.7109375" style="76" customWidth="1"/>
    <col min="6665" max="6665" width="18.42578125" style="76" customWidth="1"/>
    <col min="6666" max="6666" width="14.7109375" style="76" customWidth="1"/>
    <col min="6667" max="6667" width="16.5703125" style="76" customWidth="1"/>
    <col min="6668" max="6668" width="12.5703125" style="76" customWidth="1"/>
    <col min="6669" max="6669" width="14.42578125" style="76" customWidth="1"/>
    <col min="6670" max="6670" width="11" style="76" bestFit="1" customWidth="1"/>
    <col min="6671" max="6671" width="65.5703125" style="76" customWidth="1"/>
    <col min="6672" max="6672" width="20" style="76" customWidth="1"/>
    <col min="6673" max="6673" width="13.7109375" style="76" customWidth="1"/>
    <col min="6674" max="6674" width="26.28515625" style="76" customWidth="1"/>
    <col min="6675" max="6675" width="55.140625" style="76" customWidth="1"/>
    <col min="6676" max="6676" width="11.85546875" style="76" customWidth="1"/>
    <col min="6677" max="6677" width="60" style="76" customWidth="1"/>
    <col min="6678" max="6678" width="15.5703125" style="76" customWidth="1"/>
    <col min="6679" max="6679" width="22.140625" style="76" customWidth="1"/>
    <col min="6680" max="6680" width="16.7109375" style="76" customWidth="1"/>
    <col min="6681" max="6681" width="13" style="76" customWidth="1"/>
    <col min="6682" max="6682" width="12.140625" style="76" customWidth="1"/>
    <col min="6683" max="6683" width="0.140625" style="76" customWidth="1"/>
    <col min="6684" max="6684" width="18" style="76" customWidth="1"/>
    <col min="6685" max="6685" width="13.7109375" style="76" customWidth="1"/>
    <col min="6686" max="6686" width="39.28515625" style="76" customWidth="1"/>
    <col min="6687" max="6687" width="15.7109375" style="76" customWidth="1"/>
    <col min="6688" max="6688" width="11.5703125" style="76" customWidth="1"/>
    <col min="6689" max="6689" width="14.28515625" style="76" customWidth="1"/>
    <col min="6690" max="6690" width="20.28515625" style="76" customWidth="1"/>
    <col min="6691" max="6691" width="11.5703125" style="76" bestFit="1" customWidth="1"/>
    <col min="6692" max="6692" width="10.42578125" style="76" bestFit="1" customWidth="1"/>
    <col min="6693" max="6693" width="14" style="76" customWidth="1"/>
    <col min="6694" max="6695" width="9.5703125" style="76"/>
    <col min="6696" max="6696" width="10.28515625" style="76" bestFit="1" customWidth="1"/>
    <col min="6697" max="6697" width="9.5703125" style="76"/>
    <col min="6698" max="6698" width="28.28515625" style="76" customWidth="1"/>
    <col min="6699" max="6699" width="14.5703125" style="76" customWidth="1"/>
    <col min="6700" max="6700" width="11.140625" style="76" customWidth="1"/>
    <col min="6701" max="6701" width="14.140625" style="76" customWidth="1"/>
    <col min="6702" max="6702" width="9.7109375" style="76" bestFit="1" customWidth="1"/>
    <col min="6703" max="6703" width="10.28515625" style="76" bestFit="1" customWidth="1"/>
    <col min="6704" max="6704" width="12" style="76" customWidth="1"/>
    <col min="6705" max="6908" width="9.5703125" style="76"/>
    <col min="6909" max="6909" width="9.7109375" style="76" bestFit="1" customWidth="1"/>
    <col min="6910" max="6912" width="9.5703125" style="76"/>
    <col min="6913" max="6913" width="10" style="76" customWidth="1"/>
    <col min="6914" max="6914" width="82.28515625" style="76" customWidth="1"/>
    <col min="6915" max="6915" width="20.85546875" style="76" customWidth="1"/>
    <col min="6916" max="6916" width="17.7109375" style="76" customWidth="1"/>
    <col min="6917" max="6917" width="11" style="76" customWidth="1"/>
    <col min="6918" max="6918" width="22.85546875" style="76" customWidth="1"/>
    <col min="6919" max="6919" width="18.28515625" style="76" customWidth="1"/>
    <col min="6920" max="6920" width="55.7109375" style="76" customWidth="1"/>
    <col min="6921" max="6921" width="18.42578125" style="76" customWidth="1"/>
    <col min="6922" max="6922" width="14.7109375" style="76" customWidth="1"/>
    <col min="6923" max="6923" width="16.5703125" style="76" customWidth="1"/>
    <col min="6924" max="6924" width="12.5703125" style="76" customWidth="1"/>
    <col min="6925" max="6925" width="14.42578125" style="76" customWidth="1"/>
    <col min="6926" max="6926" width="11" style="76" bestFit="1" customWidth="1"/>
    <col min="6927" max="6927" width="65.5703125" style="76" customWidth="1"/>
    <col min="6928" max="6928" width="20" style="76" customWidth="1"/>
    <col min="6929" max="6929" width="13.7109375" style="76" customWidth="1"/>
    <col min="6930" max="6930" width="26.28515625" style="76" customWidth="1"/>
    <col min="6931" max="6931" width="55.140625" style="76" customWidth="1"/>
    <col min="6932" max="6932" width="11.85546875" style="76" customWidth="1"/>
    <col min="6933" max="6933" width="60" style="76" customWidth="1"/>
    <col min="6934" max="6934" width="15.5703125" style="76" customWidth="1"/>
    <col min="6935" max="6935" width="22.140625" style="76" customWidth="1"/>
    <col min="6936" max="6936" width="16.7109375" style="76" customWidth="1"/>
    <col min="6937" max="6937" width="13" style="76" customWidth="1"/>
    <col min="6938" max="6938" width="12.140625" style="76" customWidth="1"/>
    <col min="6939" max="6939" width="0.140625" style="76" customWidth="1"/>
    <col min="6940" max="6940" width="18" style="76" customWidth="1"/>
    <col min="6941" max="6941" width="13.7109375" style="76" customWidth="1"/>
    <col min="6942" max="6942" width="39.28515625" style="76" customWidth="1"/>
    <col min="6943" max="6943" width="15.7109375" style="76" customWidth="1"/>
    <col min="6944" max="6944" width="11.5703125" style="76" customWidth="1"/>
    <col min="6945" max="6945" width="14.28515625" style="76" customWidth="1"/>
    <col min="6946" max="6946" width="20.28515625" style="76" customWidth="1"/>
    <col min="6947" max="6947" width="11.5703125" style="76" bestFit="1" customWidth="1"/>
    <col min="6948" max="6948" width="10.42578125" style="76" bestFit="1" customWidth="1"/>
    <col min="6949" max="6949" width="14" style="76" customWidth="1"/>
    <col min="6950" max="6951" width="9.5703125" style="76"/>
    <col min="6952" max="6952" width="10.28515625" style="76" bestFit="1" customWidth="1"/>
    <col min="6953" max="6953" width="9.5703125" style="76"/>
    <col min="6954" max="6954" width="28.28515625" style="76" customWidth="1"/>
    <col min="6955" max="6955" width="14.5703125" style="76" customWidth="1"/>
    <col min="6956" max="6956" width="11.140625" style="76" customWidth="1"/>
    <col min="6957" max="6957" width="14.140625" style="76" customWidth="1"/>
    <col min="6958" max="6958" width="9.7109375" style="76" bestFit="1" customWidth="1"/>
    <col min="6959" max="6959" width="10.28515625" style="76" bestFit="1" customWidth="1"/>
    <col min="6960" max="6960" width="12" style="76" customWidth="1"/>
    <col min="6961" max="7164" width="9.5703125" style="76"/>
    <col min="7165" max="7165" width="9.7109375" style="76" bestFit="1" customWidth="1"/>
    <col min="7166" max="7168" width="9.5703125" style="76"/>
    <col min="7169" max="7169" width="10" style="76" customWidth="1"/>
    <col min="7170" max="7170" width="82.28515625" style="76" customWidth="1"/>
    <col min="7171" max="7171" width="20.85546875" style="76" customWidth="1"/>
    <col min="7172" max="7172" width="17.7109375" style="76" customWidth="1"/>
    <col min="7173" max="7173" width="11" style="76" customWidth="1"/>
    <col min="7174" max="7174" width="22.85546875" style="76" customWidth="1"/>
    <col min="7175" max="7175" width="18.28515625" style="76" customWidth="1"/>
    <col min="7176" max="7176" width="55.7109375" style="76" customWidth="1"/>
    <col min="7177" max="7177" width="18.42578125" style="76" customWidth="1"/>
    <col min="7178" max="7178" width="14.7109375" style="76" customWidth="1"/>
    <col min="7179" max="7179" width="16.5703125" style="76" customWidth="1"/>
    <col min="7180" max="7180" width="12.5703125" style="76" customWidth="1"/>
    <col min="7181" max="7181" width="14.42578125" style="76" customWidth="1"/>
    <col min="7182" max="7182" width="11" style="76" bestFit="1" customWidth="1"/>
    <col min="7183" max="7183" width="65.5703125" style="76" customWidth="1"/>
    <col min="7184" max="7184" width="20" style="76" customWidth="1"/>
    <col min="7185" max="7185" width="13.7109375" style="76" customWidth="1"/>
    <col min="7186" max="7186" width="26.28515625" style="76" customWidth="1"/>
    <col min="7187" max="7187" width="55.140625" style="76" customWidth="1"/>
    <col min="7188" max="7188" width="11.85546875" style="76" customWidth="1"/>
    <col min="7189" max="7189" width="60" style="76" customWidth="1"/>
    <col min="7190" max="7190" width="15.5703125" style="76" customWidth="1"/>
    <col min="7191" max="7191" width="22.140625" style="76" customWidth="1"/>
    <col min="7192" max="7192" width="16.7109375" style="76" customWidth="1"/>
    <col min="7193" max="7193" width="13" style="76" customWidth="1"/>
    <col min="7194" max="7194" width="12.140625" style="76" customWidth="1"/>
    <col min="7195" max="7195" width="0.140625" style="76" customWidth="1"/>
    <col min="7196" max="7196" width="18" style="76" customWidth="1"/>
    <col min="7197" max="7197" width="13.7109375" style="76" customWidth="1"/>
    <col min="7198" max="7198" width="39.28515625" style="76" customWidth="1"/>
    <col min="7199" max="7199" width="15.7109375" style="76" customWidth="1"/>
    <col min="7200" max="7200" width="11.5703125" style="76" customWidth="1"/>
    <col min="7201" max="7201" width="14.28515625" style="76" customWidth="1"/>
    <col min="7202" max="7202" width="20.28515625" style="76" customWidth="1"/>
    <col min="7203" max="7203" width="11.5703125" style="76" bestFit="1" customWidth="1"/>
    <col min="7204" max="7204" width="10.42578125" style="76" bestFit="1" customWidth="1"/>
    <col min="7205" max="7205" width="14" style="76" customWidth="1"/>
    <col min="7206" max="7207" width="9.5703125" style="76"/>
    <col min="7208" max="7208" width="10.28515625" style="76" bestFit="1" customWidth="1"/>
    <col min="7209" max="7209" width="9.5703125" style="76"/>
    <col min="7210" max="7210" width="28.28515625" style="76" customWidth="1"/>
    <col min="7211" max="7211" width="14.5703125" style="76" customWidth="1"/>
    <col min="7212" max="7212" width="11.140625" style="76" customWidth="1"/>
    <col min="7213" max="7213" width="14.140625" style="76" customWidth="1"/>
    <col min="7214" max="7214" width="9.7109375" style="76" bestFit="1" customWidth="1"/>
    <col min="7215" max="7215" width="10.28515625" style="76" bestFit="1" customWidth="1"/>
    <col min="7216" max="7216" width="12" style="76" customWidth="1"/>
    <col min="7217" max="7420" width="9.5703125" style="76"/>
    <col min="7421" max="7421" width="9.7109375" style="76" bestFit="1" customWidth="1"/>
    <col min="7422" max="7424" width="9.5703125" style="76"/>
    <col min="7425" max="7425" width="10" style="76" customWidth="1"/>
    <col min="7426" max="7426" width="82.28515625" style="76" customWidth="1"/>
    <col min="7427" max="7427" width="20.85546875" style="76" customWidth="1"/>
    <col min="7428" max="7428" width="17.7109375" style="76" customWidth="1"/>
    <col min="7429" max="7429" width="11" style="76" customWidth="1"/>
    <col min="7430" max="7430" width="22.85546875" style="76" customWidth="1"/>
    <col min="7431" max="7431" width="18.28515625" style="76" customWidth="1"/>
    <col min="7432" max="7432" width="55.7109375" style="76" customWidth="1"/>
    <col min="7433" max="7433" width="18.42578125" style="76" customWidth="1"/>
    <col min="7434" max="7434" width="14.7109375" style="76" customWidth="1"/>
    <col min="7435" max="7435" width="16.5703125" style="76" customWidth="1"/>
    <col min="7436" max="7436" width="12.5703125" style="76" customWidth="1"/>
    <col min="7437" max="7437" width="14.42578125" style="76" customWidth="1"/>
    <col min="7438" max="7438" width="11" style="76" bestFit="1" customWidth="1"/>
    <col min="7439" max="7439" width="65.5703125" style="76" customWidth="1"/>
    <col min="7440" max="7440" width="20" style="76" customWidth="1"/>
    <col min="7441" max="7441" width="13.7109375" style="76" customWidth="1"/>
    <col min="7442" max="7442" width="26.28515625" style="76" customWidth="1"/>
    <col min="7443" max="7443" width="55.140625" style="76" customWidth="1"/>
    <col min="7444" max="7444" width="11.85546875" style="76" customWidth="1"/>
    <col min="7445" max="7445" width="60" style="76" customWidth="1"/>
    <col min="7446" max="7446" width="15.5703125" style="76" customWidth="1"/>
    <col min="7447" max="7447" width="22.140625" style="76" customWidth="1"/>
    <col min="7448" max="7448" width="16.7109375" style="76" customWidth="1"/>
    <col min="7449" max="7449" width="13" style="76" customWidth="1"/>
    <col min="7450" max="7450" width="12.140625" style="76" customWidth="1"/>
    <col min="7451" max="7451" width="0.140625" style="76" customWidth="1"/>
    <col min="7452" max="7452" width="18" style="76" customWidth="1"/>
    <col min="7453" max="7453" width="13.7109375" style="76" customWidth="1"/>
    <col min="7454" max="7454" width="39.28515625" style="76" customWidth="1"/>
    <col min="7455" max="7455" width="15.7109375" style="76" customWidth="1"/>
    <col min="7456" max="7456" width="11.5703125" style="76" customWidth="1"/>
    <col min="7457" max="7457" width="14.28515625" style="76" customWidth="1"/>
    <col min="7458" max="7458" width="20.28515625" style="76" customWidth="1"/>
    <col min="7459" max="7459" width="11.5703125" style="76" bestFit="1" customWidth="1"/>
    <col min="7460" max="7460" width="10.42578125" style="76" bestFit="1" customWidth="1"/>
    <col min="7461" max="7461" width="14" style="76" customWidth="1"/>
    <col min="7462" max="7463" width="9.5703125" style="76"/>
    <col min="7464" max="7464" width="10.28515625" style="76" bestFit="1" customWidth="1"/>
    <col min="7465" max="7465" width="9.5703125" style="76"/>
    <col min="7466" max="7466" width="28.28515625" style="76" customWidth="1"/>
    <col min="7467" max="7467" width="14.5703125" style="76" customWidth="1"/>
    <col min="7468" max="7468" width="11.140625" style="76" customWidth="1"/>
    <col min="7469" max="7469" width="14.140625" style="76" customWidth="1"/>
    <col min="7470" max="7470" width="9.7109375" style="76" bestFit="1" customWidth="1"/>
    <col min="7471" max="7471" width="10.28515625" style="76" bestFit="1" customWidth="1"/>
    <col min="7472" max="7472" width="12" style="76" customWidth="1"/>
    <col min="7473" max="7676" width="9.5703125" style="76"/>
    <col min="7677" max="7677" width="9.7109375" style="76" bestFit="1" customWidth="1"/>
    <col min="7678" max="7680" width="9.5703125" style="76"/>
    <col min="7681" max="7681" width="10" style="76" customWidth="1"/>
    <col min="7682" max="7682" width="82.28515625" style="76" customWidth="1"/>
    <col min="7683" max="7683" width="20.85546875" style="76" customWidth="1"/>
    <col min="7684" max="7684" width="17.7109375" style="76" customWidth="1"/>
    <col min="7685" max="7685" width="11" style="76" customWidth="1"/>
    <col min="7686" max="7686" width="22.85546875" style="76" customWidth="1"/>
    <col min="7687" max="7687" width="18.28515625" style="76" customWidth="1"/>
    <col min="7688" max="7688" width="55.7109375" style="76" customWidth="1"/>
    <col min="7689" max="7689" width="18.42578125" style="76" customWidth="1"/>
    <col min="7690" max="7690" width="14.7109375" style="76" customWidth="1"/>
    <col min="7691" max="7691" width="16.5703125" style="76" customWidth="1"/>
    <col min="7692" max="7692" width="12.5703125" style="76" customWidth="1"/>
    <col min="7693" max="7693" width="14.42578125" style="76" customWidth="1"/>
    <col min="7694" max="7694" width="11" style="76" bestFit="1" customWidth="1"/>
    <col min="7695" max="7695" width="65.5703125" style="76" customWidth="1"/>
    <col min="7696" max="7696" width="20" style="76" customWidth="1"/>
    <col min="7697" max="7697" width="13.7109375" style="76" customWidth="1"/>
    <col min="7698" max="7698" width="26.28515625" style="76" customWidth="1"/>
    <col min="7699" max="7699" width="55.140625" style="76" customWidth="1"/>
    <col min="7700" max="7700" width="11.85546875" style="76" customWidth="1"/>
    <col min="7701" max="7701" width="60" style="76" customWidth="1"/>
    <col min="7702" max="7702" width="15.5703125" style="76" customWidth="1"/>
    <col min="7703" max="7703" width="22.140625" style="76" customWidth="1"/>
    <col min="7704" max="7704" width="16.7109375" style="76" customWidth="1"/>
    <col min="7705" max="7705" width="13" style="76" customWidth="1"/>
    <col min="7706" max="7706" width="12.140625" style="76" customWidth="1"/>
    <col min="7707" max="7707" width="0.140625" style="76" customWidth="1"/>
    <col min="7708" max="7708" width="18" style="76" customWidth="1"/>
    <col min="7709" max="7709" width="13.7109375" style="76" customWidth="1"/>
    <col min="7710" max="7710" width="39.28515625" style="76" customWidth="1"/>
    <col min="7711" max="7711" width="15.7109375" style="76" customWidth="1"/>
    <col min="7712" max="7712" width="11.5703125" style="76" customWidth="1"/>
    <col min="7713" max="7713" width="14.28515625" style="76" customWidth="1"/>
    <col min="7714" max="7714" width="20.28515625" style="76" customWidth="1"/>
    <col min="7715" max="7715" width="11.5703125" style="76" bestFit="1" customWidth="1"/>
    <col min="7716" max="7716" width="10.42578125" style="76" bestFit="1" customWidth="1"/>
    <col min="7717" max="7717" width="14" style="76" customWidth="1"/>
    <col min="7718" max="7719" width="9.5703125" style="76"/>
    <col min="7720" max="7720" width="10.28515625" style="76" bestFit="1" customWidth="1"/>
    <col min="7721" max="7721" width="9.5703125" style="76"/>
    <col min="7722" max="7722" width="28.28515625" style="76" customWidth="1"/>
    <col min="7723" max="7723" width="14.5703125" style="76" customWidth="1"/>
    <col min="7724" max="7724" width="11.140625" style="76" customWidth="1"/>
    <col min="7725" max="7725" width="14.140625" style="76" customWidth="1"/>
    <col min="7726" max="7726" width="9.7109375" style="76" bestFit="1" customWidth="1"/>
    <col min="7727" max="7727" width="10.28515625" style="76" bestFit="1" customWidth="1"/>
    <col min="7728" max="7728" width="12" style="76" customWidth="1"/>
    <col min="7729" max="7932" width="9.5703125" style="76"/>
    <col min="7933" max="7933" width="9.7109375" style="76" bestFit="1" customWidth="1"/>
    <col min="7934" max="7936" width="9.5703125" style="76"/>
    <col min="7937" max="7937" width="10" style="76" customWidth="1"/>
    <col min="7938" max="7938" width="82.28515625" style="76" customWidth="1"/>
    <col min="7939" max="7939" width="20.85546875" style="76" customWidth="1"/>
    <col min="7940" max="7940" width="17.7109375" style="76" customWidth="1"/>
    <col min="7941" max="7941" width="11" style="76" customWidth="1"/>
    <col min="7942" max="7942" width="22.85546875" style="76" customWidth="1"/>
    <col min="7943" max="7943" width="18.28515625" style="76" customWidth="1"/>
    <col min="7944" max="7944" width="55.7109375" style="76" customWidth="1"/>
    <col min="7945" max="7945" width="18.42578125" style="76" customWidth="1"/>
    <col min="7946" max="7946" width="14.7109375" style="76" customWidth="1"/>
    <col min="7947" max="7947" width="16.5703125" style="76" customWidth="1"/>
    <col min="7948" max="7948" width="12.5703125" style="76" customWidth="1"/>
    <col min="7949" max="7949" width="14.42578125" style="76" customWidth="1"/>
    <col min="7950" max="7950" width="11" style="76" bestFit="1" customWidth="1"/>
    <col min="7951" max="7951" width="65.5703125" style="76" customWidth="1"/>
    <col min="7952" max="7952" width="20" style="76" customWidth="1"/>
    <col min="7953" max="7953" width="13.7109375" style="76" customWidth="1"/>
    <col min="7954" max="7954" width="26.28515625" style="76" customWidth="1"/>
    <col min="7955" max="7955" width="55.140625" style="76" customWidth="1"/>
    <col min="7956" max="7956" width="11.85546875" style="76" customWidth="1"/>
    <col min="7957" max="7957" width="60" style="76" customWidth="1"/>
    <col min="7958" max="7958" width="15.5703125" style="76" customWidth="1"/>
    <col min="7959" max="7959" width="22.140625" style="76" customWidth="1"/>
    <col min="7960" max="7960" width="16.7109375" style="76" customWidth="1"/>
    <col min="7961" max="7961" width="13" style="76" customWidth="1"/>
    <col min="7962" max="7962" width="12.140625" style="76" customWidth="1"/>
    <col min="7963" max="7963" width="0.140625" style="76" customWidth="1"/>
    <col min="7964" max="7964" width="18" style="76" customWidth="1"/>
    <col min="7965" max="7965" width="13.7109375" style="76" customWidth="1"/>
    <col min="7966" max="7966" width="39.28515625" style="76" customWidth="1"/>
    <col min="7967" max="7967" width="15.7109375" style="76" customWidth="1"/>
    <col min="7968" max="7968" width="11.5703125" style="76" customWidth="1"/>
    <col min="7969" max="7969" width="14.28515625" style="76" customWidth="1"/>
    <col min="7970" max="7970" width="20.28515625" style="76" customWidth="1"/>
    <col min="7971" max="7971" width="11.5703125" style="76" bestFit="1" customWidth="1"/>
    <col min="7972" max="7972" width="10.42578125" style="76" bestFit="1" customWidth="1"/>
    <col min="7973" max="7973" width="14" style="76" customWidth="1"/>
    <col min="7974" max="7975" width="9.5703125" style="76"/>
    <col min="7976" max="7976" width="10.28515625" style="76" bestFit="1" customWidth="1"/>
    <col min="7977" max="7977" width="9.5703125" style="76"/>
    <col min="7978" max="7978" width="28.28515625" style="76" customWidth="1"/>
    <col min="7979" max="7979" width="14.5703125" style="76" customWidth="1"/>
    <col min="7980" max="7980" width="11.140625" style="76" customWidth="1"/>
    <col min="7981" max="7981" width="14.140625" style="76" customWidth="1"/>
    <col min="7982" max="7982" width="9.7109375" style="76" bestFit="1" customWidth="1"/>
    <col min="7983" max="7983" width="10.28515625" style="76" bestFit="1" customWidth="1"/>
    <col min="7984" max="7984" width="12" style="76" customWidth="1"/>
    <col min="7985" max="8188" width="9.5703125" style="76"/>
    <col min="8189" max="8189" width="9.7109375" style="76" bestFit="1" customWidth="1"/>
    <col min="8190" max="8192" width="9.5703125" style="76"/>
    <col min="8193" max="8193" width="10" style="76" customWidth="1"/>
    <col min="8194" max="8194" width="82.28515625" style="76" customWidth="1"/>
    <col min="8195" max="8195" width="20.85546875" style="76" customWidth="1"/>
    <col min="8196" max="8196" width="17.7109375" style="76" customWidth="1"/>
    <col min="8197" max="8197" width="11" style="76" customWidth="1"/>
    <col min="8198" max="8198" width="22.85546875" style="76" customWidth="1"/>
    <col min="8199" max="8199" width="18.28515625" style="76" customWidth="1"/>
    <col min="8200" max="8200" width="55.7109375" style="76" customWidth="1"/>
    <col min="8201" max="8201" width="18.42578125" style="76" customWidth="1"/>
    <col min="8202" max="8202" width="14.7109375" style="76" customWidth="1"/>
    <col min="8203" max="8203" width="16.5703125" style="76" customWidth="1"/>
    <col min="8204" max="8204" width="12.5703125" style="76" customWidth="1"/>
    <col min="8205" max="8205" width="14.42578125" style="76" customWidth="1"/>
    <col min="8206" max="8206" width="11" style="76" bestFit="1" customWidth="1"/>
    <col min="8207" max="8207" width="65.5703125" style="76" customWidth="1"/>
    <col min="8208" max="8208" width="20" style="76" customWidth="1"/>
    <col min="8209" max="8209" width="13.7109375" style="76" customWidth="1"/>
    <col min="8210" max="8210" width="26.28515625" style="76" customWidth="1"/>
    <col min="8211" max="8211" width="55.140625" style="76" customWidth="1"/>
    <col min="8212" max="8212" width="11.85546875" style="76" customWidth="1"/>
    <col min="8213" max="8213" width="60" style="76" customWidth="1"/>
    <col min="8214" max="8214" width="15.5703125" style="76" customWidth="1"/>
    <col min="8215" max="8215" width="22.140625" style="76" customWidth="1"/>
    <col min="8216" max="8216" width="16.7109375" style="76" customWidth="1"/>
    <col min="8217" max="8217" width="13" style="76" customWidth="1"/>
    <col min="8218" max="8218" width="12.140625" style="76" customWidth="1"/>
    <col min="8219" max="8219" width="0.140625" style="76" customWidth="1"/>
    <col min="8220" max="8220" width="18" style="76" customWidth="1"/>
    <col min="8221" max="8221" width="13.7109375" style="76" customWidth="1"/>
    <col min="8222" max="8222" width="39.28515625" style="76" customWidth="1"/>
    <col min="8223" max="8223" width="15.7109375" style="76" customWidth="1"/>
    <col min="8224" max="8224" width="11.5703125" style="76" customWidth="1"/>
    <col min="8225" max="8225" width="14.28515625" style="76" customWidth="1"/>
    <col min="8226" max="8226" width="20.28515625" style="76" customWidth="1"/>
    <col min="8227" max="8227" width="11.5703125" style="76" bestFit="1" customWidth="1"/>
    <col min="8228" max="8228" width="10.42578125" style="76" bestFit="1" customWidth="1"/>
    <col min="8229" max="8229" width="14" style="76" customWidth="1"/>
    <col min="8230" max="8231" width="9.5703125" style="76"/>
    <col min="8232" max="8232" width="10.28515625" style="76" bestFit="1" customWidth="1"/>
    <col min="8233" max="8233" width="9.5703125" style="76"/>
    <col min="8234" max="8234" width="28.28515625" style="76" customWidth="1"/>
    <col min="8235" max="8235" width="14.5703125" style="76" customWidth="1"/>
    <col min="8236" max="8236" width="11.140625" style="76" customWidth="1"/>
    <col min="8237" max="8237" width="14.140625" style="76" customWidth="1"/>
    <col min="8238" max="8238" width="9.7109375" style="76" bestFit="1" customWidth="1"/>
    <col min="8239" max="8239" width="10.28515625" style="76" bestFit="1" customWidth="1"/>
    <col min="8240" max="8240" width="12" style="76" customWidth="1"/>
    <col min="8241" max="8444" width="9.5703125" style="76"/>
    <col min="8445" max="8445" width="9.7109375" style="76" bestFit="1" customWidth="1"/>
    <col min="8446" max="8448" width="9.5703125" style="76"/>
    <col min="8449" max="8449" width="10" style="76" customWidth="1"/>
    <col min="8450" max="8450" width="82.28515625" style="76" customWidth="1"/>
    <col min="8451" max="8451" width="20.85546875" style="76" customWidth="1"/>
    <col min="8452" max="8452" width="17.7109375" style="76" customWidth="1"/>
    <col min="8453" max="8453" width="11" style="76" customWidth="1"/>
    <col min="8454" max="8454" width="22.85546875" style="76" customWidth="1"/>
    <col min="8455" max="8455" width="18.28515625" style="76" customWidth="1"/>
    <col min="8456" max="8456" width="55.7109375" style="76" customWidth="1"/>
    <col min="8457" max="8457" width="18.42578125" style="76" customWidth="1"/>
    <col min="8458" max="8458" width="14.7109375" style="76" customWidth="1"/>
    <col min="8459" max="8459" width="16.5703125" style="76" customWidth="1"/>
    <col min="8460" max="8460" width="12.5703125" style="76" customWidth="1"/>
    <col min="8461" max="8461" width="14.42578125" style="76" customWidth="1"/>
    <col min="8462" max="8462" width="11" style="76" bestFit="1" customWidth="1"/>
    <col min="8463" max="8463" width="65.5703125" style="76" customWidth="1"/>
    <col min="8464" max="8464" width="20" style="76" customWidth="1"/>
    <col min="8465" max="8465" width="13.7109375" style="76" customWidth="1"/>
    <col min="8466" max="8466" width="26.28515625" style="76" customWidth="1"/>
    <col min="8467" max="8467" width="55.140625" style="76" customWidth="1"/>
    <col min="8468" max="8468" width="11.85546875" style="76" customWidth="1"/>
    <col min="8469" max="8469" width="60" style="76" customWidth="1"/>
    <col min="8470" max="8470" width="15.5703125" style="76" customWidth="1"/>
    <col min="8471" max="8471" width="22.140625" style="76" customWidth="1"/>
    <col min="8472" max="8472" width="16.7109375" style="76" customWidth="1"/>
    <col min="8473" max="8473" width="13" style="76" customWidth="1"/>
    <col min="8474" max="8474" width="12.140625" style="76" customWidth="1"/>
    <col min="8475" max="8475" width="0.140625" style="76" customWidth="1"/>
    <col min="8476" max="8476" width="18" style="76" customWidth="1"/>
    <col min="8477" max="8477" width="13.7109375" style="76" customWidth="1"/>
    <col min="8478" max="8478" width="39.28515625" style="76" customWidth="1"/>
    <col min="8479" max="8479" width="15.7109375" style="76" customWidth="1"/>
    <col min="8480" max="8480" width="11.5703125" style="76" customWidth="1"/>
    <col min="8481" max="8481" width="14.28515625" style="76" customWidth="1"/>
    <col min="8482" max="8482" width="20.28515625" style="76" customWidth="1"/>
    <col min="8483" max="8483" width="11.5703125" style="76" bestFit="1" customWidth="1"/>
    <col min="8484" max="8484" width="10.42578125" style="76" bestFit="1" customWidth="1"/>
    <col min="8485" max="8485" width="14" style="76" customWidth="1"/>
    <col min="8486" max="8487" width="9.5703125" style="76"/>
    <col min="8488" max="8488" width="10.28515625" style="76" bestFit="1" customWidth="1"/>
    <col min="8489" max="8489" width="9.5703125" style="76"/>
    <col min="8490" max="8490" width="28.28515625" style="76" customWidth="1"/>
    <col min="8491" max="8491" width="14.5703125" style="76" customWidth="1"/>
    <col min="8492" max="8492" width="11.140625" style="76" customWidth="1"/>
    <col min="8493" max="8493" width="14.140625" style="76" customWidth="1"/>
    <col min="8494" max="8494" width="9.7109375" style="76" bestFit="1" customWidth="1"/>
    <col min="8495" max="8495" width="10.28515625" style="76" bestFit="1" customWidth="1"/>
    <col min="8496" max="8496" width="12" style="76" customWidth="1"/>
    <col min="8497" max="8700" width="9.5703125" style="76"/>
    <col min="8701" max="8701" width="9.7109375" style="76" bestFit="1" customWidth="1"/>
    <col min="8702" max="8704" width="9.5703125" style="76"/>
    <col min="8705" max="8705" width="10" style="76" customWidth="1"/>
    <col min="8706" max="8706" width="82.28515625" style="76" customWidth="1"/>
    <col min="8707" max="8707" width="20.85546875" style="76" customWidth="1"/>
    <col min="8708" max="8708" width="17.7109375" style="76" customWidth="1"/>
    <col min="8709" max="8709" width="11" style="76" customWidth="1"/>
    <col min="8710" max="8710" width="22.85546875" style="76" customWidth="1"/>
    <col min="8711" max="8711" width="18.28515625" style="76" customWidth="1"/>
    <col min="8712" max="8712" width="55.7109375" style="76" customWidth="1"/>
    <col min="8713" max="8713" width="18.42578125" style="76" customWidth="1"/>
    <col min="8714" max="8714" width="14.7109375" style="76" customWidth="1"/>
    <col min="8715" max="8715" width="16.5703125" style="76" customWidth="1"/>
    <col min="8716" max="8716" width="12.5703125" style="76" customWidth="1"/>
    <col min="8717" max="8717" width="14.42578125" style="76" customWidth="1"/>
    <col min="8718" max="8718" width="11" style="76" bestFit="1" customWidth="1"/>
    <col min="8719" max="8719" width="65.5703125" style="76" customWidth="1"/>
    <col min="8720" max="8720" width="20" style="76" customWidth="1"/>
    <col min="8721" max="8721" width="13.7109375" style="76" customWidth="1"/>
    <col min="8722" max="8722" width="26.28515625" style="76" customWidth="1"/>
    <col min="8723" max="8723" width="55.140625" style="76" customWidth="1"/>
    <col min="8724" max="8724" width="11.85546875" style="76" customWidth="1"/>
    <col min="8725" max="8725" width="60" style="76" customWidth="1"/>
    <col min="8726" max="8726" width="15.5703125" style="76" customWidth="1"/>
    <col min="8727" max="8727" width="22.140625" style="76" customWidth="1"/>
    <col min="8728" max="8728" width="16.7109375" style="76" customWidth="1"/>
    <col min="8729" max="8729" width="13" style="76" customWidth="1"/>
    <col min="8730" max="8730" width="12.140625" style="76" customWidth="1"/>
    <col min="8731" max="8731" width="0.140625" style="76" customWidth="1"/>
    <col min="8732" max="8732" width="18" style="76" customWidth="1"/>
    <col min="8733" max="8733" width="13.7109375" style="76" customWidth="1"/>
    <col min="8734" max="8734" width="39.28515625" style="76" customWidth="1"/>
    <col min="8735" max="8735" width="15.7109375" style="76" customWidth="1"/>
    <col min="8736" max="8736" width="11.5703125" style="76" customWidth="1"/>
    <col min="8737" max="8737" width="14.28515625" style="76" customWidth="1"/>
    <col min="8738" max="8738" width="20.28515625" style="76" customWidth="1"/>
    <col min="8739" max="8739" width="11.5703125" style="76" bestFit="1" customWidth="1"/>
    <col min="8740" max="8740" width="10.42578125" style="76" bestFit="1" customWidth="1"/>
    <col min="8741" max="8741" width="14" style="76" customWidth="1"/>
    <col min="8742" max="8743" width="9.5703125" style="76"/>
    <col min="8744" max="8744" width="10.28515625" style="76" bestFit="1" customWidth="1"/>
    <col min="8745" max="8745" width="9.5703125" style="76"/>
    <col min="8746" max="8746" width="28.28515625" style="76" customWidth="1"/>
    <col min="8747" max="8747" width="14.5703125" style="76" customWidth="1"/>
    <col min="8748" max="8748" width="11.140625" style="76" customWidth="1"/>
    <col min="8749" max="8749" width="14.140625" style="76" customWidth="1"/>
    <col min="8750" max="8750" width="9.7109375" style="76" bestFit="1" customWidth="1"/>
    <col min="8751" max="8751" width="10.28515625" style="76" bestFit="1" customWidth="1"/>
    <col min="8752" max="8752" width="12" style="76" customWidth="1"/>
    <col min="8753" max="8956" width="9.5703125" style="76"/>
    <col min="8957" max="8957" width="9.7109375" style="76" bestFit="1" customWidth="1"/>
    <col min="8958" max="8960" width="9.5703125" style="76"/>
    <col min="8961" max="8961" width="10" style="76" customWidth="1"/>
    <col min="8962" max="8962" width="82.28515625" style="76" customWidth="1"/>
    <col min="8963" max="8963" width="20.85546875" style="76" customWidth="1"/>
    <col min="8964" max="8964" width="17.7109375" style="76" customWidth="1"/>
    <col min="8965" max="8965" width="11" style="76" customWidth="1"/>
    <col min="8966" max="8966" width="22.85546875" style="76" customWidth="1"/>
    <col min="8967" max="8967" width="18.28515625" style="76" customWidth="1"/>
    <col min="8968" max="8968" width="55.7109375" style="76" customWidth="1"/>
    <col min="8969" max="8969" width="18.42578125" style="76" customWidth="1"/>
    <col min="8970" max="8970" width="14.7109375" style="76" customWidth="1"/>
    <col min="8971" max="8971" width="16.5703125" style="76" customWidth="1"/>
    <col min="8972" max="8972" width="12.5703125" style="76" customWidth="1"/>
    <col min="8973" max="8973" width="14.42578125" style="76" customWidth="1"/>
    <col min="8974" max="8974" width="11" style="76" bestFit="1" customWidth="1"/>
    <col min="8975" max="8975" width="65.5703125" style="76" customWidth="1"/>
    <col min="8976" max="8976" width="20" style="76" customWidth="1"/>
    <col min="8977" max="8977" width="13.7109375" style="76" customWidth="1"/>
    <col min="8978" max="8978" width="26.28515625" style="76" customWidth="1"/>
    <col min="8979" max="8979" width="55.140625" style="76" customWidth="1"/>
    <col min="8980" max="8980" width="11.85546875" style="76" customWidth="1"/>
    <col min="8981" max="8981" width="60" style="76" customWidth="1"/>
    <col min="8982" max="8982" width="15.5703125" style="76" customWidth="1"/>
    <col min="8983" max="8983" width="22.140625" style="76" customWidth="1"/>
    <col min="8984" max="8984" width="16.7109375" style="76" customWidth="1"/>
    <col min="8985" max="8985" width="13" style="76" customWidth="1"/>
    <col min="8986" max="8986" width="12.140625" style="76" customWidth="1"/>
    <col min="8987" max="8987" width="0.140625" style="76" customWidth="1"/>
    <col min="8988" max="8988" width="18" style="76" customWidth="1"/>
    <col min="8989" max="8989" width="13.7109375" style="76" customWidth="1"/>
    <col min="8990" max="8990" width="39.28515625" style="76" customWidth="1"/>
    <col min="8991" max="8991" width="15.7109375" style="76" customWidth="1"/>
    <col min="8992" max="8992" width="11.5703125" style="76" customWidth="1"/>
    <col min="8993" max="8993" width="14.28515625" style="76" customWidth="1"/>
    <col min="8994" max="8994" width="20.28515625" style="76" customWidth="1"/>
    <col min="8995" max="8995" width="11.5703125" style="76" bestFit="1" customWidth="1"/>
    <col min="8996" max="8996" width="10.42578125" style="76" bestFit="1" customWidth="1"/>
    <col min="8997" max="8997" width="14" style="76" customWidth="1"/>
    <col min="8998" max="8999" width="9.5703125" style="76"/>
    <col min="9000" max="9000" width="10.28515625" style="76" bestFit="1" customWidth="1"/>
    <col min="9001" max="9001" width="9.5703125" style="76"/>
    <col min="9002" max="9002" width="28.28515625" style="76" customWidth="1"/>
    <col min="9003" max="9003" width="14.5703125" style="76" customWidth="1"/>
    <col min="9004" max="9004" width="11.140625" style="76" customWidth="1"/>
    <col min="9005" max="9005" width="14.140625" style="76" customWidth="1"/>
    <col min="9006" max="9006" width="9.7109375" style="76" bestFit="1" customWidth="1"/>
    <col min="9007" max="9007" width="10.28515625" style="76" bestFit="1" customWidth="1"/>
    <col min="9008" max="9008" width="12" style="76" customWidth="1"/>
    <col min="9009" max="9212" width="9.5703125" style="76"/>
    <col min="9213" max="9213" width="9.7109375" style="76" bestFit="1" customWidth="1"/>
    <col min="9214" max="9216" width="9.5703125" style="76"/>
    <col min="9217" max="9217" width="10" style="76" customWidth="1"/>
    <col min="9218" max="9218" width="82.28515625" style="76" customWidth="1"/>
    <col min="9219" max="9219" width="20.85546875" style="76" customWidth="1"/>
    <col min="9220" max="9220" width="17.7109375" style="76" customWidth="1"/>
    <col min="9221" max="9221" width="11" style="76" customWidth="1"/>
    <col min="9222" max="9222" width="22.85546875" style="76" customWidth="1"/>
    <col min="9223" max="9223" width="18.28515625" style="76" customWidth="1"/>
    <col min="9224" max="9224" width="55.7109375" style="76" customWidth="1"/>
    <col min="9225" max="9225" width="18.42578125" style="76" customWidth="1"/>
    <col min="9226" max="9226" width="14.7109375" style="76" customWidth="1"/>
    <col min="9227" max="9227" width="16.5703125" style="76" customWidth="1"/>
    <col min="9228" max="9228" width="12.5703125" style="76" customWidth="1"/>
    <col min="9229" max="9229" width="14.42578125" style="76" customWidth="1"/>
    <col min="9230" max="9230" width="11" style="76" bestFit="1" customWidth="1"/>
    <col min="9231" max="9231" width="65.5703125" style="76" customWidth="1"/>
    <col min="9232" max="9232" width="20" style="76" customWidth="1"/>
    <col min="9233" max="9233" width="13.7109375" style="76" customWidth="1"/>
    <col min="9234" max="9234" width="26.28515625" style="76" customWidth="1"/>
    <col min="9235" max="9235" width="55.140625" style="76" customWidth="1"/>
    <col min="9236" max="9236" width="11.85546875" style="76" customWidth="1"/>
    <col min="9237" max="9237" width="60" style="76" customWidth="1"/>
    <col min="9238" max="9238" width="15.5703125" style="76" customWidth="1"/>
    <col min="9239" max="9239" width="22.140625" style="76" customWidth="1"/>
    <col min="9240" max="9240" width="16.7109375" style="76" customWidth="1"/>
    <col min="9241" max="9241" width="13" style="76" customWidth="1"/>
    <col min="9242" max="9242" width="12.140625" style="76" customWidth="1"/>
    <col min="9243" max="9243" width="0.140625" style="76" customWidth="1"/>
    <col min="9244" max="9244" width="18" style="76" customWidth="1"/>
    <col min="9245" max="9245" width="13.7109375" style="76" customWidth="1"/>
    <col min="9246" max="9246" width="39.28515625" style="76" customWidth="1"/>
    <col min="9247" max="9247" width="15.7109375" style="76" customWidth="1"/>
    <col min="9248" max="9248" width="11.5703125" style="76" customWidth="1"/>
    <col min="9249" max="9249" width="14.28515625" style="76" customWidth="1"/>
    <col min="9250" max="9250" width="20.28515625" style="76" customWidth="1"/>
    <col min="9251" max="9251" width="11.5703125" style="76" bestFit="1" customWidth="1"/>
    <col min="9252" max="9252" width="10.42578125" style="76" bestFit="1" customWidth="1"/>
    <col min="9253" max="9253" width="14" style="76" customWidth="1"/>
    <col min="9254" max="9255" width="9.5703125" style="76"/>
    <col min="9256" max="9256" width="10.28515625" style="76" bestFit="1" customWidth="1"/>
    <col min="9257" max="9257" width="9.5703125" style="76"/>
    <col min="9258" max="9258" width="28.28515625" style="76" customWidth="1"/>
    <col min="9259" max="9259" width="14.5703125" style="76" customWidth="1"/>
    <col min="9260" max="9260" width="11.140625" style="76" customWidth="1"/>
    <col min="9261" max="9261" width="14.140625" style="76" customWidth="1"/>
    <col min="9262" max="9262" width="9.7109375" style="76" bestFit="1" customWidth="1"/>
    <col min="9263" max="9263" width="10.28515625" style="76" bestFit="1" customWidth="1"/>
    <col min="9264" max="9264" width="12" style="76" customWidth="1"/>
    <col min="9265" max="9468" width="9.5703125" style="76"/>
    <col min="9469" max="9469" width="9.7109375" style="76" bestFit="1" customWidth="1"/>
    <col min="9470" max="9472" width="9.5703125" style="76"/>
    <col min="9473" max="9473" width="10" style="76" customWidth="1"/>
    <col min="9474" max="9474" width="82.28515625" style="76" customWidth="1"/>
    <col min="9475" max="9475" width="20.85546875" style="76" customWidth="1"/>
    <col min="9476" max="9476" width="17.7109375" style="76" customWidth="1"/>
    <col min="9477" max="9477" width="11" style="76" customWidth="1"/>
    <col min="9478" max="9478" width="22.85546875" style="76" customWidth="1"/>
    <col min="9479" max="9479" width="18.28515625" style="76" customWidth="1"/>
    <col min="9480" max="9480" width="55.7109375" style="76" customWidth="1"/>
    <col min="9481" max="9481" width="18.42578125" style="76" customWidth="1"/>
    <col min="9482" max="9482" width="14.7109375" style="76" customWidth="1"/>
    <col min="9483" max="9483" width="16.5703125" style="76" customWidth="1"/>
    <col min="9484" max="9484" width="12.5703125" style="76" customWidth="1"/>
    <col min="9485" max="9485" width="14.42578125" style="76" customWidth="1"/>
    <col min="9486" max="9486" width="11" style="76" bestFit="1" customWidth="1"/>
    <col min="9487" max="9487" width="65.5703125" style="76" customWidth="1"/>
    <col min="9488" max="9488" width="20" style="76" customWidth="1"/>
    <col min="9489" max="9489" width="13.7109375" style="76" customWidth="1"/>
    <col min="9490" max="9490" width="26.28515625" style="76" customWidth="1"/>
    <col min="9491" max="9491" width="55.140625" style="76" customWidth="1"/>
    <col min="9492" max="9492" width="11.85546875" style="76" customWidth="1"/>
    <col min="9493" max="9493" width="60" style="76" customWidth="1"/>
    <col min="9494" max="9494" width="15.5703125" style="76" customWidth="1"/>
    <col min="9495" max="9495" width="22.140625" style="76" customWidth="1"/>
    <col min="9496" max="9496" width="16.7109375" style="76" customWidth="1"/>
    <col min="9497" max="9497" width="13" style="76" customWidth="1"/>
    <col min="9498" max="9498" width="12.140625" style="76" customWidth="1"/>
    <col min="9499" max="9499" width="0.140625" style="76" customWidth="1"/>
    <col min="9500" max="9500" width="18" style="76" customWidth="1"/>
    <col min="9501" max="9501" width="13.7109375" style="76" customWidth="1"/>
    <col min="9502" max="9502" width="39.28515625" style="76" customWidth="1"/>
    <col min="9503" max="9503" width="15.7109375" style="76" customWidth="1"/>
    <col min="9504" max="9504" width="11.5703125" style="76" customWidth="1"/>
    <col min="9505" max="9505" width="14.28515625" style="76" customWidth="1"/>
    <col min="9506" max="9506" width="20.28515625" style="76" customWidth="1"/>
    <col min="9507" max="9507" width="11.5703125" style="76" bestFit="1" customWidth="1"/>
    <col min="9508" max="9508" width="10.42578125" style="76" bestFit="1" customWidth="1"/>
    <col min="9509" max="9509" width="14" style="76" customWidth="1"/>
    <col min="9510" max="9511" width="9.5703125" style="76"/>
    <col min="9512" max="9512" width="10.28515625" style="76" bestFit="1" customWidth="1"/>
    <col min="9513" max="9513" width="9.5703125" style="76"/>
    <col min="9514" max="9514" width="28.28515625" style="76" customWidth="1"/>
    <col min="9515" max="9515" width="14.5703125" style="76" customWidth="1"/>
    <col min="9516" max="9516" width="11.140625" style="76" customWidth="1"/>
    <col min="9517" max="9517" width="14.140625" style="76" customWidth="1"/>
    <col min="9518" max="9518" width="9.7109375" style="76" bestFit="1" customWidth="1"/>
    <col min="9519" max="9519" width="10.28515625" style="76" bestFit="1" customWidth="1"/>
    <col min="9520" max="9520" width="12" style="76" customWidth="1"/>
    <col min="9521" max="9724" width="9.5703125" style="76"/>
    <col min="9725" max="9725" width="9.7109375" style="76" bestFit="1" customWidth="1"/>
    <col min="9726" max="9728" width="9.5703125" style="76"/>
    <col min="9729" max="9729" width="10" style="76" customWidth="1"/>
    <col min="9730" max="9730" width="82.28515625" style="76" customWidth="1"/>
    <col min="9731" max="9731" width="20.85546875" style="76" customWidth="1"/>
    <col min="9732" max="9732" width="17.7109375" style="76" customWidth="1"/>
    <col min="9733" max="9733" width="11" style="76" customWidth="1"/>
    <col min="9734" max="9734" width="22.85546875" style="76" customWidth="1"/>
    <col min="9735" max="9735" width="18.28515625" style="76" customWidth="1"/>
    <col min="9736" max="9736" width="55.7109375" style="76" customWidth="1"/>
    <col min="9737" max="9737" width="18.42578125" style="76" customWidth="1"/>
    <col min="9738" max="9738" width="14.7109375" style="76" customWidth="1"/>
    <col min="9739" max="9739" width="16.5703125" style="76" customWidth="1"/>
    <col min="9740" max="9740" width="12.5703125" style="76" customWidth="1"/>
    <col min="9741" max="9741" width="14.42578125" style="76" customWidth="1"/>
    <col min="9742" max="9742" width="11" style="76" bestFit="1" customWidth="1"/>
    <col min="9743" max="9743" width="65.5703125" style="76" customWidth="1"/>
    <col min="9744" max="9744" width="20" style="76" customWidth="1"/>
    <col min="9745" max="9745" width="13.7109375" style="76" customWidth="1"/>
    <col min="9746" max="9746" width="26.28515625" style="76" customWidth="1"/>
    <col min="9747" max="9747" width="55.140625" style="76" customWidth="1"/>
    <col min="9748" max="9748" width="11.85546875" style="76" customWidth="1"/>
    <col min="9749" max="9749" width="60" style="76" customWidth="1"/>
    <col min="9750" max="9750" width="15.5703125" style="76" customWidth="1"/>
    <col min="9751" max="9751" width="22.140625" style="76" customWidth="1"/>
    <col min="9752" max="9752" width="16.7109375" style="76" customWidth="1"/>
    <col min="9753" max="9753" width="13" style="76" customWidth="1"/>
    <col min="9754" max="9754" width="12.140625" style="76" customWidth="1"/>
    <col min="9755" max="9755" width="0.140625" style="76" customWidth="1"/>
    <col min="9756" max="9756" width="18" style="76" customWidth="1"/>
    <col min="9757" max="9757" width="13.7109375" style="76" customWidth="1"/>
    <col min="9758" max="9758" width="39.28515625" style="76" customWidth="1"/>
    <col min="9759" max="9759" width="15.7109375" style="76" customWidth="1"/>
    <col min="9760" max="9760" width="11.5703125" style="76" customWidth="1"/>
    <col min="9761" max="9761" width="14.28515625" style="76" customWidth="1"/>
    <col min="9762" max="9762" width="20.28515625" style="76" customWidth="1"/>
    <col min="9763" max="9763" width="11.5703125" style="76" bestFit="1" customWidth="1"/>
    <col min="9764" max="9764" width="10.42578125" style="76" bestFit="1" customWidth="1"/>
    <col min="9765" max="9765" width="14" style="76" customWidth="1"/>
    <col min="9766" max="9767" width="9.5703125" style="76"/>
    <col min="9768" max="9768" width="10.28515625" style="76" bestFit="1" customWidth="1"/>
    <col min="9769" max="9769" width="9.5703125" style="76"/>
    <col min="9770" max="9770" width="28.28515625" style="76" customWidth="1"/>
    <col min="9771" max="9771" width="14.5703125" style="76" customWidth="1"/>
    <col min="9772" max="9772" width="11.140625" style="76" customWidth="1"/>
    <col min="9773" max="9773" width="14.140625" style="76" customWidth="1"/>
    <col min="9774" max="9774" width="9.7109375" style="76" bestFit="1" customWidth="1"/>
    <col min="9775" max="9775" width="10.28515625" style="76" bestFit="1" customWidth="1"/>
    <col min="9776" max="9776" width="12" style="76" customWidth="1"/>
    <col min="9777" max="9980" width="9.5703125" style="76"/>
    <col min="9981" max="9981" width="9.7109375" style="76" bestFit="1" customWidth="1"/>
    <col min="9982" max="9984" width="9.5703125" style="76"/>
    <col min="9985" max="9985" width="10" style="76" customWidth="1"/>
    <col min="9986" max="9986" width="82.28515625" style="76" customWidth="1"/>
    <col min="9987" max="9987" width="20.85546875" style="76" customWidth="1"/>
    <col min="9988" max="9988" width="17.7109375" style="76" customWidth="1"/>
    <col min="9989" max="9989" width="11" style="76" customWidth="1"/>
    <col min="9990" max="9990" width="22.85546875" style="76" customWidth="1"/>
    <col min="9991" max="9991" width="18.28515625" style="76" customWidth="1"/>
    <col min="9992" max="9992" width="55.7109375" style="76" customWidth="1"/>
    <col min="9993" max="9993" width="18.42578125" style="76" customWidth="1"/>
    <col min="9994" max="9994" width="14.7109375" style="76" customWidth="1"/>
    <col min="9995" max="9995" width="16.5703125" style="76" customWidth="1"/>
    <col min="9996" max="9996" width="12.5703125" style="76" customWidth="1"/>
    <col min="9997" max="9997" width="14.42578125" style="76" customWidth="1"/>
    <col min="9998" max="9998" width="11" style="76" bestFit="1" customWidth="1"/>
    <col min="9999" max="9999" width="65.5703125" style="76" customWidth="1"/>
    <col min="10000" max="10000" width="20" style="76" customWidth="1"/>
    <col min="10001" max="10001" width="13.7109375" style="76" customWidth="1"/>
    <col min="10002" max="10002" width="26.28515625" style="76" customWidth="1"/>
    <col min="10003" max="10003" width="55.140625" style="76" customWidth="1"/>
    <col min="10004" max="10004" width="11.85546875" style="76" customWidth="1"/>
    <col min="10005" max="10005" width="60" style="76" customWidth="1"/>
    <col min="10006" max="10006" width="15.5703125" style="76" customWidth="1"/>
    <col min="10007" max="10007" width="22.140625" style="76" customWidth="1"/>
    <col min="10008" max="10008" width="16.7109375" style="76" customWidth="1"/>
    <col min="10009" max="10009" width="13" style="76" customWidth="1"/>
    <col min="10010" max="10010" width="12.140625" style="76" customWidth="1"/>
    <col min="10011" max="10011" width="0.140625" style="76" customWidth="1"/>
    <col min="10012" max="10012" width="18" style="76" customWidth="1"/>
    <col min="10013" max="10013" width="13.7109375" style="76" customWidth="1"/>
    <col min="10014" max="10014" width="39.28515625" style="76" customWidth="1"/>
    <col min="10015" max="10015" width="15.7109375" style="76" customWidth="1"/>
    <col min="10016" max="10016" width="11.5703125" style="76" customWidth="1"/>
    <col min="10017" max="10017" width="14.28515625" style="76" customWidth="1"/>
    <col min="10018" max="10018" width="20.28515625" style="76" customWidth="1"/>
    <col min="10019" max="10019" width="11.5703125" style="76" bestFit="1" customWidth="1"/>
    <col min="10020" max="10020" width="10.42578125" style="76" bestFit="1" customWidth="1"/>
    <col min="10021" max="10021" width="14" style="76" customWidth="1"/>
    <col min="10022" max="10023" width="9.5703125" style="76"/>
    <col min="10024" max="10024" width="10.28515625" style="76" bestFit="1" customWidth="1"/>
    <col min="10025" max="10025" width="9.5703125" style="76"/>
    <col min="10026" max="10026" width="28.28515625" style="76" customWidth="1"/>
    <col min="10027" max="10027" width="14.5703125" style="76" customWidth="1"/>
    <col min="10028" max="10028" width="11.140625" style="76" customWidth="1"/>
    <col min="10029" max="10029" width="14.140625" style="76" customWidth="1"/>
    <col min="10030" max="10030" width="9.7109375" style="76" bestFit="1" customWidth="1"/>
    <col min="10031" max="10031" width="10.28515625" style="76" bestFit="1" customWidth="1"/>
    <col min="10032" max="10032" width="12" style="76" customWidth="1"/>
    <col min="10033" max="10236" width="9.5703125" style="76"/>
    <col min="10237" max="10237" width="9.7109375" style="76" bestFit="1" customWidth="1"/>
    <col min="10238" max="10240" width="9.5703125" style="76"/>
    <col min="10241" max="10241" width="10" style="76" customWidth="1"/>
    <col min="10242" max="10242" width="82.28515625" style="76" customWidth="1"/>
    <col min="10243" max="10243" width="20.85546875" style="76" customWidth="1"/>
    <col min="10244" max="10244" width="17.7109375" style="76" customWidth="1"/>
    <col min="10245" max="10245" width="11" style="76" customWidth="1"/>
    <col min="10246" max="10246" width="22.85546875" style="76" customWidth="1"/>
    <col min="10247" max="10247" width="18.28515625" style="76" customWidth="1"/>
    <col min="10248" max="10248" width="55.7109375" style="76" customWidth="1"/>
    <col min="10249" max="10249" width="18.42578125" style="76" customWidth="1"/>
    <col min="10250" max="10250" width="14.7109375" style="76" customWidth="1"/>
    <col min="10251" max="10251" width="16.5703125" style="76" customWidth="1"/>
    <col min="10252" max="10252" width="12.5703125" style="76" customWidth="1"/>
    <col min="10253" max="10253" width="14.42578125" style="76" customWidth="1"/>
    <col min="10254" max="10254" width="11" style="76" bestFit="1" customWidth="1"/>
    <col min="10255" max="10255" width="65.5703125" style="76" customWidth="1"/>
    <col min="10256" max="10256" width="20" style="76" customWidth="1"/>
    <col min="10257" max="10257" width="13.7109375" style="76" customWidth="1"/>
    <col min="10258" max="10258" width="26.28515625" style="76" customWidth="1"/>
    <col min="10259" max="10259" width="55.140625" style="76" customWidth="1"/>
    <col min="10260" max="10260" width="11.85546875" style="76" customWidth="1"/>
    <col min="10261" max="10261" width="60" style="76" customWidth="1"/>
    <col min="10262" max="10262" width="15.5703125" style="76" customWidth="1"/>
    <col min="10263" max="10263" width="22.140625" style="76" customWidth="1"/>
    <col min="10264" max="10264" width="16.7109375" style="76" customWidth="1"/>
    <col min="10265" max="10265" width="13" style="76" customWidth="1"/>
    <col min="10266" max="10266" width="12.140625" style="76" customWidth="1"/>
    <col min="10267" max="10267" width="0.140625" style="76" customWidth="1"/>
    <col min="10268" max="10268" width="18" style="76" customWidth="1"/>
    <col min="10269" max="10269" width="13.7109375" style="76" customWidth="1"/>
    <col min="10270" max="10270" width="39.28515625" style="76" customWidth="1"/>
    <col min="10271" max="10271" width="15.7109375" style="76" customWidth="1"/>
    <col min="10272" max="10272" width="11.5703125" style="76" customWidth="1"/>
    <col min="10273" max="10273" width="14.28515625" style="76" customWidth="1"/>
    <col min="10274" max="10274" width="20.28515625" style="76" customWidth="1"/>
    <col min="10275" max="10275" width="11.5703125" style="76" bestFit="1" customWidth="1"/>
    <col min="10276" max="10276" width="10.42578125" style="76" bestFit="1" customWidth="1"/>
    <col min="10277" max="10277" width="14" style="76" customWidth="1"/>
    <col min="10278" max="10279" width="9.5703125" style="76"/>
    <col min="10280" max="10280" width="10.28515625" style="76" bestFit="1" customWidth="1"/>
    <col min="10281" max="10281" width="9.5703125" style="76"/>
    <col min="10282" max="10282" width="28.28515625" style="76" customWidth="1"/>
    <col min="10283" max="10283" width="14.5703125" style="76" customWidth="1"/>
    <col min="10284" max="10284" width="11.140625" style="76" customWidth="1"/>
    <col min="10285" max="10285" width="14.140625" style="76" customWidth="1"/>
    <col min="10286" max="10286" width="9.7109375" style="76" bestFit="1" customWidth="1"/>
    <col min="10287" max="10287" width="10.28515625" style="76" bestFit="1" customWidth="1"/>
    <col min="10288" max="10288" width="12" style="76" customWidth="1"/>
    <col min="10289" max="10492" width="9.5703125" style="76"/>
    <col min="10493" max="10493" width="9.7109375" style="76" bestFit="1" customWidth="1"/>
    <col min="10494" max="10496" width="9.5703125" style="76"/>
    <col min="10497" max="10497" width="10" style="76" customWidth="1"/>
    <col min="10498" max="10498" width="82.28515625" style="76" customWidth="1"/>
    <col min="10499" max="10499" width="20.85546875" style="76" customWidth="1"/>
    <col min="10500" max="10500" width="17.7109375" style="76" customWidth="1"/>
    <col min="10501" max="10501" width="11" style="76" customWidth="1"/>
    <col min="10502" max="10502" width="22.85546875" style="76" customWidth="1"/>
    <col min="10503" max="10503" width="18.28515625" style="76" customWidth="1"/>
    <col min="10504" max="10504" width="55.7109375" style="76" customWidth="1"/>
    <col min="10505" max="10505" width="18.42578125" style="76" customWidth="1"/>
    <col min="10506" max="10506" width="14.7109375" style="76" customWidth="1"/>
    <col min="10507" max="10507" width="16.5703125" style="76" customWidth="1"/>
    <col min="10508" max="10508" width="12.5703125" style="76" customWidth="1"/>
    <col min="10509" max="10509" width="14.42578125" style="76" customWidth="1"/>
    <col min="10510" max="10510" width="11" style="76" bestFit="1" customWidth="1"/>
    <col min="10511" max="10511" width="65.5703125" style="76" customWidth="1"/>
    <col min="10512" max="10512" width="20" style="76" customWidth="1"/>
    <col min="10513" max="10513" width="13.7109375" style="76" customWidth="1"/>
    <col min="10514" max="10514" width="26.28515625" style="76" customWidth="1"/>
    <col min="10515" max="10515" width="55.140625" style="76" customWidth="1"/>
    <col min="10516" max="10516" width="11.85546875" style="76" customWidth="1"/>
    <col min="10517" max="10517" width="60" style="76" customWidth="1"/>
    <col min="10518" max="10518" width="15.5703125" style="76" customWidth="1"/>
    <col min="10519" max="10519" width="22.140625" style="76" customWidth="1"/>
    <col min="10520" max="10520" width="16.7109375" style="76" customWidth="1"/>
    <col min="10521" max="10521" width="13" style="76" customWidth="1"/>
    <col min="10522" max="10522" width="12.140625" style="76" customWidth="1"/>
    <col min="10523" max="10523" width="0.140625" style="76" customWidth="1"/>
    <col min="10524" max="10524" width="18" style="76" customWidth="1"/>
    <col min="10525" max="10525" width="13.7109375" style="76" customWidth="1"/>
    <col min="10526" max="10526" width="39.28515625" style="76" customWidth="1"/>
    <col min="10527" max="10527" width="15.7109375" style="76" customWidth="1"/>
    <col min="10528" max="10528" width="11.5703125" style="76" customWidth="1"/>
    <col min="10529" max="10529" width="14.28515625" style="76" customWidth="1"/>
    <col min="10530" max="10530" width="20.28515625" style="76" customWidth="1"/>
    <col min="10531" max="10531" width="11.5703125" style="76" bestFit="1" customWidth="1"/>
    <col min="10532" max="10532" width="10.42578125" style="76" bestFit="1" customWidth="1"/>
    <col min="10533" max="10533" width="14" style="76" customWidth="1"/>
    <col min="10534" max="10535" width="9.5703125" style="76"/>
    <col min="10536" max="10536" width="10.28515625" style="76" bestFit="1" customWidth="1"/>
    <col min="10537" max="10537" width="9.5703125" style="76"/>
    <col min="10538" max="10538" width="28.28515625" style="76" customWidth="1"/>
    <col min="10539" max="10539" width="14.5703125" style="76" customWidth="1"/>
    <col min="10540" max="10540" width="11.140625" style="76" customWidth="1"/>
    <col min="10541" max="10541" width="14.140625" style="76" customWidth="1"/>
    <col min="10542" max="10542" width="9.7109375" style="76" bestFit="1" customWidth="1"/>
    <col min="10543" max="10543" width="10.28515625" style="76" bestFit="1" customWidth="1"/>
    <col min="10544" max="10544" width="12" style="76" customWidth="1"/>
    <col min="10545" max="10748" width="9.5703125" style="76"/>
    <col min="10749" max="10749" width="9.7109375" style="76" bestFit="1" customWidth="1"/>
    <col min="10750" max="10752" width="9.5703125" style="76"/>
    <col min="10753" max="10753" width="10" style="76" customWidth="1"/>
    <col min="10754" max="10754" width="82.28515625" style="76" customWidth="1"/>
    <col min="10755" max="10755" width="20.85546875" style="76" customWidth="1"/>
    <col min="10756" max="10756" width="17.7109375" style="76" customWidth="1"/>
    <col min="10757" max="10757" width="11" style="76" customWidth="1"/>
    <col min="10758" max="10758" width="22.85546875" style="76" customWidth="1"/>
    <col min="10759" max="10759" width="18.28515625" style="76" customWidth="1"/>
    <col min="10760" max="10760" width="55.7109375" style="76" customWidth="1"/>
    <col min="10761" max="10761" width="18.42578125" style="76" customWidth="1"/>
    <col min="10762" max="10762" width="14.7109375" style="76" customWidth="1"/>
    <col min="10763" max="10763" width="16.5703125" style="76" customWidth="1"/>
    <col min="10764" max="10764" width="12.5703125" style="76" customWidth="1"/>
    <col min="10765" max="10765" width="14.42578125" style="76" customWidth="1"/>
    <col min="10766" max="10766" width="11" style="76" bestFit="1" customWidth="1"/>
    <col min="10767" max="10767" width="65.5703125" style="76" customWidth="1"/>
    <col min="10768" max="10768" width="20" style="76" customWidth="1"/>
    <col min="10769" max="10769" width="13.7109375" style="76" customWidth="1"/>
    <col min="10770" max="10770" width="26.28515625" style="76" customWidth="1"/>
    <col min="10771" max="10771" width="55.140625" style="76" customWidth="1"/>
    <col min="10772" max="10772" width="11.85546875" style="76" customWidth="1"/>
    <col min="10773" max="10773" width="60" style="76" customWidth="1"/>
    <col min="10774" max="10774" width="15.5703125" style="76" customWidth="1"/>
    <col min="10775" max="10775" width="22.140625" style="76" customWidth="1"/>
    <col min="10776" max="10776" width="16.7109375" style="76" customWidth="1"/>
    <col min="10777" max="10777" width="13" style="76" customWidth="1"/>
    <col min="10778" max="10778" width="12.140625" style="76" customWidth="1"/>
    <col min="10779" max="10779" width="0.140625" style="76" customWidth="1"/>
    <col min="10780" max="10780" width="18" style="76" customWidth="1"/>
    <col min="10781" max="10781" width="13.7109375" style="76" customWidth="1"/>
    <col min="10782" max="10782" width="39.28515625" style="76" customWidth="1"/>
    <col min="10783" max="10783" width="15.7109375" style="76" customWidth="1"/>
    <col min="10784" max="10784" width="11.5703125" style="76" customWidth="1"/>
    <col min="10785" max="10785" width="14.28515625" style="76" customWidth="1"/>
    <col min="10786" max="10786" width="20.28515625" style="76" customWidth="1"/>
    <col min="10787" max="10787" width="11.5703125" style="76" bestFit="1" customWidth="1"/>
    <col min="10788" max="10788" width="10.42578125" style="76" bestFit="1" customWidth="1"/>
    <col min="10789" max="10789" width="14" style="76" customWidth="1"/>
    <col min="10790" max="10791" width="9.5703125" style="76"/>
    <col min="10792" max="10792" width="10.28515625" style="76" bestFit="1" customWidth="1"/>
    <col min="10793" max="10793" width="9.5703125" style="76"/>
    <col min="10794" max="10794" width="28.28515625" style="76" customWidth="1"/>
    <col min="10795" max="10795" width="14.5703125" style="76" customWidth="1"/>
    <col min="10796" max="10796" width="11.140625" style="76" customWidth="1"/>
    <col min="10797" max="10797" width="14.140625" style="76" customWidth="1"/>
    <col min="10798" max="10798" width="9.7109375" style="76" bestFit="1" customWidth="1"/>
    <col min="10799" max="10799" width="10.28515625" style="76" bestFit="1" customWidth="1"/>
    <col min="10800" max="10800" width="12" style="76" customWidth="1"/>
    <col min="10801" max="11004" width="9.5703125" style="76"/>
    <col min="11005" max="11005" width="9.7109375" style="76" bestFit="1" customWidth="1"/>
    <col min="11006" max="11008" width="9.5703125" style="76"/>
    <col min="11009" max="11009" width="10" style="76" customWidth="1"/>
    <col min="11010" max="11010" width="82.28515625" style="76" customWidth="1"/>
    <col min="11011" max="11011" width="20.85546875" style="76" customWidth="1"/>
    <col min="11012" max="11012" width="17.7109375" style="76" customWidth="1"/>
    <col min="11013" max="11013" width="11" style="76" customWidth="1"/>
    <col min="11014" max="11014" width="22.85546875" style="76" customWidth="1"/>
    <col min="11015" max="11015" width="18.28515625" style="76" customWidth="1"/>
    <col min="11016" max="11016" width="55.7109375" style="76" customWidth="1"/>
    <col min="11017" max="11017" width="18.42578125" style="76" customWidth="1"/>
    <col min="11018" max="11018" width="14.7109375" style="76" customWidth="1"/>
    <col min="11019" max="11019" width="16.5703125" style="76" customWidth="1"/>
    <col min="11020" max="11020" width="12.5703125" style="76" customWidth="1"/>
    <col min="11021" max="11021" width="14.42578125" style="76" customWidth="1"/>
    <col min="11022" max="11022" width="11" style="76" bestFit="1" customWidth="1"/>
    <col min="11023" max="11023" width="65.5703125" style="76" customWidth="1"/>
    <col min="11024" max="11024" width="20" style="76" customWidth="1"/>
    <col min="11025" max="11025" width="13.7109375" style="76" customWidth="1"/>
    <col min="11026" max="11026" width="26.28515625" style="76" customWidth="1"/>
    <col min="11027" max="11027" width="55.140625" style="76" customWidth="1"/>
    <col min="11028" max="11028" width="11.85546875" style="76" customWidth="1"/>
    <col min="11029" max="11029" width="60" style="76" customWidth="1"/>
    <col min="11030" max="11030" width="15.5703125" style="76" customWidth="1"/>
    <col min="11031" max="11031" width="22.140625" style="76" customWidth="1"/>
    <col min="11032" max="11032" width="16.7109375" style="76" customWidth="1"/>
    <col min="11033" max="11033" width="13" style="76" customWidth="1"/>
    <col min="11034" max="11034" width="12.140625" style="76" customWidth="1"/>
    <col min="11035" max="11035" width="0.140625" style="76" customWidth="1"/>
    <col min="11036" max="11036" width="18" style="76" customWidth="1"/>
    <col min="11037" max="11037" width="13.7109375" style="76" customWidth="1"/>
    <col min="11038" max="11038" width="39.28515625" style="76" customWidth="1"/>
    <col min="11039" max="11039" width="15.7109375" style="76" customWidth="1"/>
    <col min="11040" max="11040" width="11.5703125" style="76" customWidth="1"/>
    <col min="11041" max="11041" width="14.28515625" style="76" customWidth="1"/>
    <col min="11042" max="11042" width="20.28515625" style="76" customWidth="1"/>
    <col min="11043" max="11043" width="11.5703125" style="76" bestFit="1" customWidth="1"/>
    <col min="11044" max="11044" width="10.42578125" style="76" bestFit="1" customWidth="1"/>
    <col min="11045" max="11045" width="14" style="76" customWidth="1"/>
    <col min="11046" max="11047" width="9.5703125" style="76"/>
    <col min="11048" max="11048" width="10.28515625" style="76" bestFit="1" customWidth="1"/>
    <col min="11049" max="11049" width="9.5703125" style="76"/>
    <col min="11050" max="11050" width="28.28515625" style="76" customWidth="1"/>
    <col min="11051" max="11051" width="14.5703125" style="76" customWidth="1"/>
    <col min="11052" max="11052" width="11.140625" style="76" customWidth="1"/>
    <col min="11053" max="11053" width="14.140625" style="76" customWidth="1"/>
    <col min="11054" max="11054" width="9.7109375" style="76" bestFit="1" customWidth="1"/>
    <col min="11055" max="11055" width="10.28515625" style="76" bestFit="1" customWidth="1"/>
    <col min="11056" max="11056" width="12" style="76" customWidth="1"/>
    <col min="11057" max="11260" width="9.5703125" style="76"/>
    <col min="11261" max="11261" width="9.7109375" style="76" bestFit="1" customWidth="1"/>
    <col min="11262" max="11264" width="9.5703125" style="76"/>
    <col min="11265" max="11265" width="10" style="76" customWidth="1"/>
    <col min="11266" max="11266" width="82.28515625" style="76" customWidth="1"/>
    <col min="11267" max="11267" width="20.85546875" style="76" customWidth="1"/>
    <col min="11268" max="11268" width="17.7109375" style="76" customWidth="1"/>
    <col min="11269" max="11269" width="11" style="76" customWidth="1"/>
    <col min="11270" max="11270" width="22.85546875" style="76" customWidth="1"/>
    <col min="11271" max="11271" width="18.28515625" style="76" customWidth="1"/>
    <col min="11272" max="11272" width="55.7109375" style="76" customWidth="1"/>
    <col min="11273" max="11273" width="18.42578125" style="76" customWidth="1"/>
    <col min="11274" max="11274" width="14.7109375" style="76" customWidth="1"/>
    <col min="11275" max="11275" width="16.5703125" style="76" customWidth="1"/>
    <col min="11276" max="11276" width="12.5703125" style="76" customWidth="1"/>
    <col min="11277" max="11277" width="14.42578125" style="76" customWidth="1"/>
    <col min="11278" max="11278" width="11" style="76" bestFit="1" customWidth="1"/>
    <col min="11279" max="11279" width="65.5703125" style="76" customWidth="1"/>
    <col min="11280" max="11280" width="20" style="76" customWidth="1"/>
    <col min="11281" max="11281" width="13.7109375" style="76" customWidth="1"/>
    <col min="11282" max="11282" width="26.28515625" style="76" customWidth="1"/>
    <col min="11283" max="11283" width="55.140625" style="76" customWidth="1"/>
    <col min="11284" max="11284" width="11.85546875" style="76" customWidth="1"/>
    <col min="11285" max="11285" width="60" style="76" customWidth="1"/>
    <col min="11286" max="11286" width="15.5703125" style="76" customWidth="1"/>
    <col min="11287" max="11287" width="22.140625" style="76" customWidth="1"/>
    <col min="11288" max="11288" width="16.7109375" style="76" customWidth="1"/>
    <col min="11289" max="11289" width="13" style="76" customWidth="1"/>
    <col min="11290" max="11290" width="12.140625" style="76" customWidth="1"/>
    <col min="11291" max="11291" width="0.140625" style="76" customWidth="1"/>
    <col min="11292" max="11292" width="18" style="76" customWidth="1"/>
    <col min="11293" max="11293" width="13.7109375" style="76" customWidth="1"/>
    <col min="11294" max="11294" width="39.28515625" style="76" customWidth="1"/>
    <col min="11295" max="11295" width="15.7109375" style="76" customWidth="1"/>
    <col min="11296" max="11296" width="11.5703125" style="76" customWidth="1"/>
    <col min="11297" max="11297" width="14.28515625" style="76" customWidth="1"/>
    <col min="11298" max="11298" width="20.28515625" style="76" customWidth="1"/>
    <col min="11299" max="11299" width="11.5703125" style="76" bestFit="1" customWidth="1"/>
    <col min="11300" max="11300" width="10.42578125" style="76" bestFit="1" customWidth="1"/>
    <col min="11301" max="11301" width="14" style="76" customWidth="1"/>
    <col min="11302" max="11303" width="9.5703125" style="76"/>
    <col min="11304" max="11304" width="10.28515625" style="76" bestFit="1" customWidth="1"/>
    <col min="11305" max="11305" width="9.5703125" style="76"/>
    <col min="11306" max="11306" width="28.28515625" style="76" customWidth="1"/>
    <col min="11307" max="11307" width="14.5703125" style="76" customWidth="1"/>
    <col min="11308" max="11308" width="11.140625" style="76" customWidth="1"/>
    <col min="11309" max="11309" width="14.140625" style="76" customWidth="1"/>
    <col min="11310" max="11310" width="9.7109375" style="76" bestFit="1" customWidth="1"/>
    <col min="11311" max="11311" width="10.28515625" style="76" bestFit="1" customWidth="1"/>
    <col min="11312" max="11312" width="12" style="76" customWidth="1"/>
    <col min="11313" max="11516" width="9.5703125" style="76"/>
    <col min="11517" max="11517" width="9.7109375" style="76" bestFit="1" customWidth="1"/>
    <col min="11518" max="11520" width="9.5703125" style="76"/>
    <col min="11521" max="11521" width="10" style="76" customWidth="1"/>
    <col min="11522" max="11522" width="82.28515625" style="76" customWidth="1"/>
    <col min="11523" max="11523" width="20.85546875" style="76" customWidth="1"/>
    <col min="11524" max="11524" width="17.7109375" style="76" customWidth="1"/>
    <col min="11525" max="11525" width="11" style="76" customWidth="1"/>
    <col min="11526" max="11526" width="22.85546875" style="76" customWidth="1"/>
    <col min="11527" max="11527" width="18.28515625" style="76" customWidth="1"/>
    <col min="11528" max="11528" width="55.7109375" style="76" customWidth="1"/>
    <col min="11529" max="11529" width="18.42578125" style="76" customWidth="1"/>
    <col min="11530" max="11530" width="14.7109375" style="76" customWidth="1"/>
    <col min="11531" max="11531" width="16.5703125" style="76" customWidth="1"/>
    <col min="11532" max="11532" width="12.5703125" style="76" customWidth="1"/>
    <col min="11533" max="11533" width="14.42578125" style="76" customWidth="1"/>
    <col min="11534" max="11534" width="11" style="76" bestFit="1" customWidth="1"/>
    <col min="11535" max="11535" width="65.5703125" style="76" customWidth="1"/>
    <col min="11536" max="11536" width="20" style="76" customWidth="1"/>
    <col min="11537" max="11537" width="13.7109375" style="76" customWidth="1"/>
    <col min="11538" max="11538" width="26.28515625" style="76" customWidth="1"/>
    <col min="11539" max="11539" width="55.140625" style="76" customWidth="1"/>
    <col min="11540" max="11540" width="11.85546875" style="76" customWidth="1"/>
    <col min="11541" max="11541" width="60" style="76" customWidth="1"/>
    <col min="11542" max="11542" width="15.5703125" style="76" customWidth="1"/>
    <col min="11543" max="11543" width="22.140625" style="76" customWidth="1"/>
    <col min="11544" max="11544" width="16.7109375" style="76" customWidth="1"/>
    <col min="11545" max="11545" width="13" style="76" customWidth="1"/>
    <col min="11546" max="11546" width="12.140625" style="76" customWidth="1"/>
    <col min="11547" max="11547" width="0.140625" style="76" customWidth="1"/>
    <col min="11548" max="11548" width="18" style="76" customWidth="1"/>
    <col min="11549" max="11549" width="13.7109375" style="76" customWidth="1"/>
    <col min="11550" max="11550" width="39.28515625" style="76" customWidth="1"/>
    <col min="11551" max="11551" width="15.7109375" style="76" customWidth="1"/>
    <col min="11552" max="11552" width="11.5703125" style="76" customWidth="1"/>
    <col min="11553" max="11553" width="14.28515625" style="76" customWidth="1"/>
    <col min="11554" max="11554" width="20.28515625" style="76" customWidth="1"/>
    <col min="11555" max="11555" width="11.5703125" style="76" bestFit="1" customWidth="1"/>
    <col min="11556" max="11556" width="10.42578125" style="76" bestFit="1" customWidth="1"/>
    <col min="11557" max="11557" width="14" style="76" customWidth="1"/>
    <col min="11558" max="11559" width="9.5703125" style="76"/>
    <col min="11560" max="11560" width="10.28515625" style="76" bestFit="1" customWidth="1"/>
    <col min="11561" max="11561" width="9.5703125" style="76"/>
    <col min="11562" max="11562" width="28.28515625" style="76" customWidth="1"/>
    <col min="11563" max="11563" width="14.5703125" style="76" customWidth="1"/>
    <col min="11564" max="11564" width="11.140625" style="76" customWidth="1"/>
    <col min="11565" max="11565" width="14.140625" style="76" customWidth="1"/>
    <col min="11566" max="11566" width="9.7109375" style="76" bestFit="1" customWidth="1"/>
    <col min="11567" max="11567" width="10.28515625" style="76" bestFit="1" customWidth="1"/>
    <col min="11568" max="11568" width="12" style="76" customWidth="1"/>
    <col min="11569" max="11772" width="9.5703125" style="76"/>
    <col min="11773" max="11773" width="9.7109375" style="76" bestFit="1" customWidth="1"/>
    <col min="11774" max="11776" width="9.5703125" style="76"/>
    <col min="11777" max="11777" width="10" style="76" customWidth="1"/>
    <col min="11778" max="11778" width="82.28515625" style="76" customWidth="1"/>
    <col min="11779" max="11779" width="20.85546875" style="76" customWidth="1"/>
    <col min="11780" max="11780" width="17.7109375" style="76" customWidth="1"/>
    <col min="11781" max="11781" width="11" style="76" customWidth="1"/>
    <col min="11782" max="11782" width="22.85546875" style="76" customWidth="1"/>
    <col min="11783" max="11783" width="18.28515625" style="76" customWidth="1"/>
    <col min="11784" max="11784" width="55.7109375" style="76" customWidth="1"/>
    <col min="11785" max="11785" width="18.42578125" style="76" customWidth="1"/>
    <col min="11786" max="11786" width="14.7109375" style="76" customWidth="1"/>
    <col min="11787" max="11787" width="16.5703125" style="76" customWidth="1"/>
    <col min="11788" max="11788" width="12.5703125" style="76" customWidth="1"/>
    <col min="11789" max="11789" width="14.42578125" style="76" customWidth="1"/>
    <col min="11790" max="11790" width="11" style="76" bestFit="1" customWidth="1"/>
    <col min="11791" max="11791" width="65.5703125" style="76" customWidth="1"/>
    <col min="11792" max="11792" width="20" style="76" customWidth="1"/>
    <col min="11793" max="11793" width="13.7109375" style="76" customWidth="1"/>
    <col min="11794" max="11794" width="26.28515625" style="76" customWidth="1"/>
    <col min="11795" max="11795" width="55.140625" style="76" customWidth="1"/>
    <col min="11796" max="11796" width="11.85546875" style="76" customWidth="1"/>
    <col min="11797" max="11797" width="60" style="76" customWidth="1"/>
    <col min="11798" max="11798" width="15.5703125" style="76" customWidth="1"/>
    <col min="11799" max="11799" width="22.140625" style="76" customWidth="1"/>
    <col min="11800" max="11800" width="16.7109375" style="76" customWidth="1"/>
    <col min="11801" max="11801" width="13" style="76" customWidth="1"/>
    <col min="11802" max="11802" width="12.140625" style="76" customWidth="1"/>
    <col min="11803" max="11803" width="0.140625" style="76" customWidth="1"/>
    <col min="11804" max="11804" width="18" style="76" customWidth="1"/>
    <col min="11805" max="11805" width="13.7109375" style="76" customWidth="1"/>
    <col min="11806" max="11806" width="39.28515625" style="76" customWidth="1"/>
    <col min="11807" max="11807" width="15.7109375" style="76" customWidth="1"/>
    <col min="11808" max="11808" width="11.5703125" style="76" customWidth="1"/>
    <col min="11809" max="11809" width="14.28515625" style="76" customWidth="1"/>
    <col min="11810" max="11810" width="20.28515625" style="76" customWidth="1"/>
    <col min="11811" max="11811" width="11.5703125" style="76" bestFit="1" customWidth="1"/>
    <col min="11812" max="11812" width="10.42578125" style="76" bestFit="1" customWidth="1"/>
    <col min="11813" max="11813" width="14" style="76" customWidth="1"/>
    <col min="11814" max="11815" width="9.5703125" style="76"/>
    <col min="11816" max="11816" width="10.28515625" style="76" bestFit="1" customWidth="1"/>
    <col min="11817" max="11817" width="9.5703125" style="76"/>
    <col min="11818" max="11818" width="28.28515625" style="76" customWidth="1"/>
    <col min="11819" max="11819" width="14.5703125" style="76" customWidth="1"/>
    <col min="11820" max="11820" width="11.140625" style="76" customWidth="1"/>
    <col min="11821" max="11821" width="14.140625" style="76" customWidth="1"/>
    <col min="11822" max="11822" width="9.7109375" style="76" bestFit="1" customWidth="1"/>
    <col min="11823" max="11823" width="10.28515625" style="76" bestFit="1" customWidth="1"/>
    <col min="11824" max="11824" width="12" style="76" customWidth="1"/>
    <col min="11825" max="12028" width="9.5703125" style="76"/>
    <col min="12029" max="12029" width="9.7109375" style="76" bestFit="1" customWidth="1"/>
    <col min="12030" max="12032" width="9.5703125" style="76"/>
    <col min="12033" max="12033" width="10" style="76" customWidth="1"/>
    <col min="12034" max="12034" width="82.28515625" style="76" customWidth="1"/>
    <col min="12035" max="12035" width="20.85546875" style="76" customWidth="1"/>
    <col min="12036" max="12036" width="17.7109375" style="76" customWidth="1"/>
    <col min="12037" max="12037" width="11" style="76" customWidth="1"/>
    <col min="12038" max="12038" width="22.85546875" style="76" customWidth="1"/>
    <col min="12039" max="12039" width="18.28515625" style="76" customWidth="1"/>
    <col min="12040" max="12040" width="55.7109375" style="76" customWidth="1"/>
    <col min="12041" max="12041" width="18.42578125" style="76" customWidth="1"/>
    <col min="12042" max="12042" width="14.7109375" style="76" customWidth="1"/>
    <col min="12043" max="12043" width="16.5703125" style="76" customWidth="1"/>
    <col min="12044" max="12044" width="12.5703125" style="76" customWidth="1"/>
    <col min="12045" max="12045" width="14.42578125" style="76" customWidth="1"/>
    <col min="12046" max="12046" width="11" style="76" bestFit="1" customWidth="1"/>
    <col min="12047" max="12047" width="65.5703125" style="76" customWidth="1"/>
    <col min="12048" max="12048" width="20" style="76" customWidth="1"/>
    <col min="12049" max="12049" width="13.7109375" style="76" customWidth="1"/>
    <col min="12050" max="12050" width="26.28515625" style="76" customWidth="1"/>
    <col min="12051" max="12051" width="55.140625" style="76" customWidth="1"/>
    <col min="12052" max="12052" width="11.85546875" style="76" customWidth="1"/>
    <col min="12053" max="12053" width="60" style="76" customWidth="1"/>
    <col min="12054" max="12054" width="15.5703125" style="76" customWidth="1"/>
    <col min="12055" max="12055" width="22.140625" style="76" customWidth="1"/>
    <col min="12056" max="12056" width="16.7109375" style="76" customWidth="1"/>
    <col min="12057" max="12057" width="13" style="76" customWidth="1"/>
    <col min="12058" max="12058" width="12.140625" style="76" customWidth="1"/>
    <col min="12059" max="12059" width="0.140625" style="76" customWidth="1"/>
    <col min="12060" max="12060" width="18" style="76" customWidth="1"/>
    <col min="12061" max="12061" width="13.7109375" style="76" customWidth="1"/>
    <col min="12062" max="12062" width="39.28515625" style="76" customWidth="1"/>
    <col min="12063" max="12063" width="15.7109375" style="76" customWidth="1"/>
    <col min="12064" max="12064" width="11.5703125" style="76" customWidth="1"/>
    <col min="12065" max="12065" width="14.28515625" style="76" customWidth="1"/>
    <col min="12066" max="12066" width="20.28515625" style="76" customWidth="1"/>
    <col min="12067" max="12067" width="11.5703125" style="76" bestFit="1" customWidth="1"/>
    <col min="12068" max="12068" width="10.42578125" style="76" bestFit="1" customWidth="1"/>
    <col min="12069" max="12069" width="14" style="76" customWidth="1"/>
    <col min="12070" max="12071" width="9.5703125" style="76"/>
    <col min="12072" max="12072" width="10.28515625" style="76" bestFit="1" customWidth="1"/>
    <col min="12073" max="12073" width="9.5703125" style="76"/>
    <col min="12074" max="12074" width="28.28515625" style="76" customWidth="1"/>
    <col min="12075" max="12075" width="14.5703125" style="76" customWidth="1"/>
    <col min="12076" max="12076" width="11.140625" style="76" customWidth="1"/>
    <col min="12077" max="12077" width="14.140625" style="76" customWidth="1"/>
    <col min="12078" max="12078" width="9.7109375" style="76" bestFit="1" customWidth="1"/>
    <col min="12079" max="12079" width="10.28515625" style="76" bestFit="1" customWidth="1"/>
    <col min="12080" max="12080" width="12" style="76" customWidth="1"/>
    <col min="12081" max="12284" width="9.5703125" style="76"/>
    <col min="12285" max="12285" width="9.7109375" style="76" bestFit="1" customWidth="1"/>
    <col min="12286" max="12288" width="9.5703125" style="76"/>
    <col min="12289" max="12289" width="10" style="76" customWidth="1"/>
    <col min="12290" max="12290" width="82.28515625" style="76" customWidth="1"/>
    <col min="12291" max="12291" width="20.85546875" style="76" customWidth="1"/>
    <col min="12292" max="12292" width="17.7109375" style="76" customWidth="1"/>
    <col min="12293" max="12293" width="11" style="76" customWidth="1"/>
    <col min="12294" max="12294" width="22.85546875" style="76" customWidth="1"/>
    <col min="12295" max="12295" width="18.28515625" style="76" customWidth="1"/>
    <col min="12296" max="12296" width="55.7109375" style="76" customWidth="1"/>
    <col min="12297" max="12297" width="18.42578125" style="76" customWidth="1"/>
    <col min="12298" max="12298" width="14.7109375" style="76" customWidth="1"/>
    <col min="12299" max="12299" width="16.5703125" style="76" customWidth="1"/>
    <col min="12300" max="12300" width="12.5703125" style="76" customWidth="1"/>
    <col min="12301" max="12301" width="14.42578125" style="76" customWidth="1"/>
    <col min="12302" max="12302" width="11" style="76" bestFit="1" customWidth="1"/>
    <col min="12303" max="12303" width="65.5703125" style="76" customWidth="1"/>
    <col min="12304" max="12304" width="20" style="76" customWidth="1"/>
    <col min="12305" max="12305" width="13.7109375" style="76" customWidth="1"/>
    <col min="12306" max="12306" width="26.28515625" style="76" customWidth="1"/>
    <col min="12307" max="12307" width="55.140625" style="76" customWidth="1"/>
    <col min="12308" max="12308" width="11.85546875" style="76" customWidth="1"/>
    <col min="12309" max="12309" width="60" style="76" customWidth="1"/>
    <col min="12310" max="12310" width="15.5703125" style="76" customWidth="1"/>
    <col min="12311" max="12311" width="22.140625" style="76" customWidth="1"/>
    <col min="12312" max="12312" width="16.7109375" style="76" customWidth="1"/>
    <col min="12313" max="12313" width="13" style="76" customWidth="1"/>
    <col min="12314" max="12314" width="12.140625" style="76" customWidth="1"/>
    <col min="12315" max="12315" width="0.140625" style="76" customWidth="1"/>
    <col min="12316" max="12316" width="18" style="76" customWidth="1"/>
    <col min="12317" max="12317" width="13.7109375" style="76" customWidth="1"/>
    <col min="12318" max="12318" width="39.28515625" style="76" customWidth="1"/>
    <col min="12319" max="12319" width="15.7109375" style="76" customWidth="1"/>
    <col min="12320" max="12320" width="11.5703125" style="76" customWidth="1"/>
    <col min="12321" max="12321" width="14.28515625" style="76" customWidth="1"/>
    <col min="12322" max="12322" width="20.28515625" style="76" customWidth="1"/>
    <col min="12323" max="12323" width="11.5703125" style="76" bestFit="1" customWidth="1"/>
    <col min="12324" max="12324" width="10.42578125" style="76" bestFit="1" customWidth="1"/>
    <col min="12325" max="12325" width="14" style="76" customWidth="1"/>
    <col min="12326" max="12327" width="9.5703125" style="76"/>
    <col min="12328" max="12328" width="10.28515625" style="76" bestFit="1" customWidth="1"/>
    <col min="12329" max="12329" width="9.5703125" style="76"/>
    <col min="12330" max="12330" width="28.28515625" style="76" customWidth="1"/>
    <col min="12331" max="12331" width="14.5703125" style="76" customWidth="1"/>
    <col min="12332" max="12332" width="11.140625" style="76" customWidth="1"/>
    <col min="12333" max="12333" width="14.140625" style="76" customWidth="1"/>
    <col min="12334" max="12334" width="9.7109375" style="76" bestFit="1" customWidth="1"/>
    <col min="12335" max="12335" width="10.28515625" style="76" bestFit="1" customWidth="1"/>
    <col min="12336" max="12336" width="12" style="76" customWidth="1"/>
    <col min="12337" max="12540" width="9.5703125" style="76"/>
    <col min="12541" max="12541" width="9.7109375" style="76" bestFit="1" customWidth="1"/>
    <col min="12542" max="12544" width="9.5703125" style="76"/>
    <col min="12545" max="12545" width="10" style="76" customWidth="1"/>
    <col min="12546" max="12546" width="82.28515625" style="76" customWidth="1"/>
    <col min="12547" max="12547" width="20.85546875" style="76" customWidth="1"/>
    <col min="12548" max="12548" width="17.7109375" style="76" customWidth="1"/>
    <col min="12549" max="12549" width="11" style="76" customWidth="1"/>
    <col min="12550" max="12550" width="22.85546875" style="76" customWidth="1"/>
    <col min="12551" max="12551" width="18.28515625" style="76" customWidth="1"/>
    <col min="12552" max="12552" width="55.7109375" style="76" customWidth="1"/>
    <col min="12553" max="12553" width="18.42578125" style="76" customWidth="1"/>
    <col min="12554" max="12554" width="14.7109375" style="76" customWidth="1"/>
    <col min="12555" max="12555" width="16.5703125" style="76" customWidth="1"/>
    <col min="12556" max="12556" width="12.5703125" style="76" customWidth="1"/>
    <col min="12557" max="12557" width="14.42578125" style="76" customWidth="1"/>
    <col min="12558" max="12558" width="11" style="76" bestFit="1" customWidth="1"/>
    <col min="12559" max="12559" width="65.5703125" style="76" customWidth="1"/>
    <col min="12560" max="12560" width="20" style="76" customWidth="1"/>
    <col min="12561" max="12561" width="13.7109375" style="76" customWidth="1"/>
    <col min="12562" max="12562" width="26.28515625" style="76" customWidth="1"/>
    <col min="12563" max="12563" width="55.140625" style="76" customWidth="1"/>
    <col min="12564" max="12564" width="11.85546875" style="76" customWidth="1"/>
    <col min="12565" max="12565" width="60" style="76" customWidth="1"/>
    <col min="12566" max="12566" width="15.5703125" style="76" customWidth="1"/>
    <col min="12567" max="12567" width="22.140625" style="76" customWidth="1"/>
    <col min="12568" max="12568" width="16.7109375" style="76" customWidth="1"/>
    <col min="12569" max="12569" width="13" style="76" customWidth="1"/>
    <col min="12570" max="12570" width="12.140625" style="76" customWidth="1"/>
    <col min="12571" max="12571" width="0.140625" style="76" customWidth="1"/>
    <col min="12572" max="12572" width="18" style="76" customWidth="1"/>
    <col min="12573" max="12573" width="13.7109375" style="76" customWidth="1"/>
    <col min="12574" max="12574" width="39.28515625" style="76" customWidth="1"/>
    <col min="12575" max="12575" width="15.7109375" style="76" customWidth="1"/>
    <col min="12576" max="12576" width="11.5703125" style="76" customWidth="1"/>
    <col min="12577" max="12577" width="14.28515625" style="76" customWidth="1"/>
    <col min="12578" max="12578" width="20.28515625" style="76" customWidth="1"/>
    <col min="12579" max="12579" width="11.5703125" style="76" bestFit="1" customWidth="1"/>
    <col min="12580" max="12580" width="10.42578125" style="76" bestFit="1" customWidth="1"/>
    <col min="12581" max="12581" width="14" style="76" customWidth="1"/>
    <col min="12582" max="12583" width="9.5703125" style="76"/>
    <col min="12584" max="12584" width="10.28515625" style="76" bestFit="1" customWidth="1"/>
    <col min="12585" max="12585" width="9.5703125" style="76"/>
    <col min="12586" max="12586" width="28.28515625" style="76" customWidth="1"/>
    <col min="12587" max="12587" width="14.5703125" style="76" customWidth="1"/>
    <col min="12588" max="12588" width="11.140625" style="76" customWidth="1"/>
    <col min="12589" max="12589" width="14.140625" style="76" customWidth="1"/>
    <col min="12590" max="12590" width="9.7109375" style="76" bestFit="1" customWidth="1"/>
    <col min="12591" max="12591" width="10.28515625" style="76" bestFit="1" customWidth="1"/>
    <col min="12592" max="12592" width="12" style="76" customWidth="1"/>
    <col min="12593" max="12796" width="9.5703125" style="76"/>
    <col min="12797" max="12797" width="9.7109375" style="76" bestFit="1" customWidth="1"/>
    <col min="12798" max="12800" width="9.5703125" style="76"/>
    <col min="12801" max="12801" width="10" style="76" customWidth="1"/>
    <col min="12802" max="12802" width="82.28515625" style="76" customWidth="1"/>
    <col min="12803" max="12803" width="20.85546875" style="76" customWidth="1"/>
    <col min="12804" max="12804" width="17.7109375" style="76" customWidth="1"/>
    <col min="12805" max="12805" width="11" style="76" customWidth="1"/>
    <col min="12806" max="12806" width="22.85546875" style="76" customWidth="1"/>
    <col min="12807" max="12807" width="18.28515625" style="76" customWidth="1"/>
    <col min="12808" max="12808" width="55.7109375" style="76" customWidth="1"/>
    <col min="12809" max="12809" width="18.42578125" style="76" customWidth="1"/>
    <col min="12810" max="12810" width="14.7109375" style="76" customWidth="1"/>
    <col min="12811" max="12811" width="16.5703125" style="76" customWidth="1"/>
    <col min="12812" max="12812" width="12.5703125" style="76" customWidth="1"/>
    <col min="12813" max="12813" width="14.42578125" style="76" customWidth="1"/>
    <col min="12814" max="12814" width="11" style="76" bestFit="1" customWidth="1"/>
    <col min="12815" max="12815" width="65.5703125" style="76" customWidth="1"/>
    <col min="12816" max="12816" width="20" style="76" customWidth="1"/>
    <col min="12817" max="12817" width="13.7109375" style="76" customWidth="1"/>
    <col min="12818" max="12818" width="26.28515625" style="76" customWidth="1"/>
    <col min="12819" max="12819" width="55.140625" style="76" customWidth="1"/>
    <col min="12820" max="12820" width="11.85546875" style="76" customWidth="1"/>
    <col min="12821" max="12821" width="60" style="76" customWidth="1"/>
    <col min="12822" max="12822" width="15.5703125" style="76" customWidth="1"/>
    <col min="12823" max="12823" width="22.140625" style="76" customWidth="1"/>
    <col min="12824" max="12824" width="16.7109375" style="76" customWidth="1"/>
    <col min="12825" max="12825" width="13" style="76" customWidth="1"/>
    <col min="12826" max="12826" width="12.140625" style="76" customWidth="1"/>
    <col min="12827" max="12827" width="0.140625" style="76" customWidth="1"/>
    <col min="12828" max="12828" width="18" style="76" customWidth="1"/>
    <col min="12829" max="12829" width="13.7109375" style="76" customWidth="1"/>
    <col min="12830" max="12830" width="39.28515625" style="76" customWidth="1"/>
    <col min="12831" max="12831" width="15.7109375" style="76" customWidth="1"/>
    <col min="12832" max="12832" width="11.5703125" style="76" customWidth="1"/>
    <col min="12833" max="12833" width="14.28515625" style="76" customWidth="1"/>
    <col min="12834" max="12834" width="20.28515625" style="76" customWidth="1"/>
    <col min="12835" max="12835" width="11.5703125" style="76" bestFit="1" customWidth="1"/>
    <col min="12836" max="12836" width="10.42578125" style="76" bestFit="1" customWidth="1"/>
    <col min="12837" max="12837" width="14" style="76" customWidth="1"/>
    <col min="12838" max="12839" width="9.5703125" style="76"/>
    <col min="12840" max="12840" width="10.28515625" style="76" bestFit="1" customWidth="1"/>
    <col min="12841" max="12841" width="9.5703125" style="76"/>
    <col min="12842" max="12842" width="28.28515625" style="76" customWidth="1"/>
    <col min="12843" max="12843" width="14.5703125" style="76" customWidth="1"/>
    <col min="12844" max="12844" width="11.140625" style="76" customWidth="1"/>
    <col min="12845" max="12845" width="14.140625" style="76" customWidth="1"/>
    <col min="12846" max="12846" width="9.7109375" style="76" bestFit="1" customWidth="1"/>
    <col min="12847" max="12847" width="10.28515625" style="76" bestFit="1" customWidth="1"/>
    <col min="12848" max="12848" width="12" style="76" customWidth="1"/>
    <col min="12849" max="13052" width="9.5703125" style="76"/>
    <col min="13053" max="13053" width="9.7109375" style="76" bestFit="1" customWidth="1"/>
    <col min="13054" max="13056" width="9.5703125" style="76"/>
    <col min="13057" max="13057" width="10" style="76" customWidth="1"/>
    <col min="13058" max="13058" width="82.28515625" style="76" customWidth="1"/>
    <col min="13059" max="13059" width="20.85546875" style="76" customWidth="1"/>
    <col min="13060" max="13060" width="17.7109375" style="76" customWidth="1"/>
    <col min="13061" max="13061" width="11" style="76" customWidth="1"/>
    <col min="13062" max="13062" width="22.85546875" style="76" customWidth="1"/>
    <col min="13063" max="13063" width="18.28515625" style="76" customWidth="1"/>
    <col min="13064" max="13064" width="55.7109375" style="76" customWidth="1"/>
    <col min="13065" max="13065" width="18.42578125" style="76" customWidth="1"/>
    <col min="13066" max="13066" width="14.7109375" style="76" customWidth="1"/>
    <col min="13067" max="13067" width="16.5703125" style="76" customWidth="1"/>
    <col min="13068" max="13068" width="12.5703125" style="76" customWidth="1"/>
    <col min="13069" max="13069" width="14.42578125" style="76" customWidth="1"/>
    <col min="13070" max="13070" width="11" style="76" bestFit="1" customWidth="1"/>
    <col min="13071" max="13071" width="65.5703125" style="76" customWidth="1"/>
    <col min="13072" max="13072" width="20" style="76" customWidth="1"/>
    <col min="13073" max="13073" width="13.7109375" style="76" customWidth="1"/>
    <col min="13074" max="13074" width="26.28515625" style="76" customWidth="1"/>
    <col min="13075" max="13075" width="55.140625" style="76" customWidth="1"/>
    <col min="13076" max="13076" width="11.85546875" style="76" customWidth="1"/>
    <col min="13077" max="13077" width="60" style="76" customWidth="1"/>
    <col min="13078" max="13078" width="15.5703125" style="76" customWidth="1"/>
    <col min="13079" max="13079" width="22.140625" style="76" customWidth="1"/>
    <col min="13080" max="13080" width="16.7109375" style="76" customWidth="1"/>
    <col min="13081" max="13081" width="13" style="76" customWidth="1"/>
    <col min="13082" max="13082" width="12.140625" style="76" customWidth="1"/>
    <col min="13083" max="13083" width="0.140625" style="76" customWidth="1"/>
    <col min="13084" max="13084" width="18" style="76" customWidth="1"/>
    <col min="13085" max="13085" width="13.7109375" style="76" customWidth="1"/>
    <col min="13086" max="13086" width="39.28515625" style="76" customWidth="1"/>
    <col min="13087" max="13087" width="15.7109375" style="76" customWidth="1"/>
    <col min="13088" max="13088" width="11.5703125" style="76" customWidth="1"/>
    <col min="13089" max="13089" width="14.28515625" style="76" customWidth="1"/>
    <col min="13090" max="13090" width="20.28515625" style="76" customWidth="1"/>
    <col min="13091" max="13091" width="11.5703125" style="76" bestFit="1" customWidth="1"/>
    <col min="13092" max="13092" width="10.42578125" style="76" bestFit="1" customWidth="1"/>
    <col min="13093" max="13093" width="14" style="76" customWidth="1"/>
    <col min="13094" max="13095" width="9.5703125" style="76"/>
    <col min="13096" max="13096" width="10.28515625" style="76" bestFit="1" customWidth="1"/>
    <col min="13097" max="13097" width="9.5703125" style="76"/>
    <col min="13098" max="13098" width="28.28515625" style="76" customWidth="1"/>
    <col min="13099" max="13099" width="14.5703125" style="76" customWidth="1"/>
    <col min="13100" max="13100" width="11.140625" style="76" customWidth="1"/>
    <col min="13101" max="13101" width="14.140625" style="76" customWidth="1"/>
    <col min="13102" max="13102" width="9.7109375" style="76" bestFit="1" customWidth="1"/>
    <col min="13103" max="13103" width="10.28515625" style="76" bestFit="1" customWidth="1"/>
    <col min="13104" max="13104" width="12" style="76" customWidth="1"/>
    <col min="13105" max="13308" width="9.5703125" style="76"/>
    <col min="13309" max="13309" width="9.7109375" style="76" bestFit="1" customWidth="1"/>
    <col min="13310" max="13312" width="9.5703125" style="76"/>
    <col min="13313" max="13313" width="10" style="76" customWidth="1"/>
    <col min="13314" max="13314" width="82.28515625" style="76" customWidth="1"/>
    <col min="13315" max="13315" width="20.85546875" style="76" customWidth="1"/>
    <col min="13316" max="13316" width="17.7109375" style="76" customWidth="1"/>
    <col min="13317" max="13317" width="11" style="76" customWidth="1"/>
    <col min="13318" max="13318" width="22.85546875" style="76" customWidth="1"/>
    <col min="13319" max="13319" width="18.28515625" style="76" customWidth="1"/>
    <col min="13320" max="13320" width="55.7109375" style="76" customWidth="1"/>
    <col min="13321" max="13321" width="18.42578125" style="76" customWidth="1"/>
    <col min="13322" max="13322" width="14.7109375" style="76" customWidth="1"/>
    <col min="13323" max="13323" width="16.5703125" style="76" customWidth="1"/>
    <col min="13324" max="13324" width="12.5703125" style="76" customWidth="1"/>
    <col min="13325" max="13325" width="14.42578125" style="76" customWidth="1"/>
    <col min="13326" max="13326" width="11" style="76" bestFit="1" customWidth="1"/>
    <col min="13327" max="13327" width="65.5703125" style="76" customWidth="1"/>
    <col min="13328" max="13328" width="20" style="76" customWidth="1"/>
    <col min="13329" max="13329" width="13.7109375" style="76" customWidth="1"/>
    <col min="13330" max="13330" width="26.28515625" style="76" customWidth="1"/>
    <col min="13331" max="13331" width="55.140625" style="76" customWidth="1"/>
    <col min="13332" max="13332" width="11.85546875" style="76" customWidth="1"/>
    <col min="13333" max="13333" width="60" style="76" customWidth="1"/>
    <col min="13334" max="13334" width="15.5703125" style="76" customWidth="1"/>
    <col min="13335" max="13335" width="22.140625" style="76" customWidth="1"/>
    <col min="13336" max="13336" width="16.7109375" style="76" customWidth="1"/>
    <col min="13337" max="13337" width="13" style="76" customWidth="1"/>
    <col min="13338" max="13338" width="12.140625" style="76" customWidth="1"/>
    <col min="13339" max="13339" width="0.140625" style="76" customWidth="1"/>
    <col min="13340" max="13340" width="18" style="76" customWidth="1"/>
    <col min="13341" max="13341" width="13.7109375" style="76" customWidth="1"/>
    <col min="13342" max="13342" width="39.28515625" style="76" customWidth="1"/>
    <col min="13343" max="13343" width="15.7109375" style="76" customWidth="1"/>
    <col min="13344" max="13344" width="11.5703125" style="76" customWidth="1"/>
    <col min="13345" max="13345" width="14.28515625" style="76" customWidth="1"/>
    <col min="13346" max="13346" width="20.28515625" style="76" customWidth="1"/>
    <col min="13347" max="13347" width="11.5703125" style="76" bestFit="1" customWidth="1"/>
    <col min="13348" max="13348" width="10.42578125" style="76" bestFit="1" customWidth="1"/>
    <col min="13349" max="13349" width="14" style="76" customWidth="1"/>
    <col min="13350" max="13351" width="9.5703125" style="76"/>
    <col min="13352" max="13352" width="10.28515625" style="76" bestFit="1" customWidth="1"/>
    <col min="13353" max="13353" width="9.5703125" style="76"/>
    <col min="13354" max="13354" width="28.28515625" style="76" customWidth="1"/>
    <col min="13355" max="13355" width="14.5703125" style="76" customWidth="1"/>
    <col min="13356" max="13356" width="11.140625" style="76" customWidth="1"/>
    <col min="13357" max="13357" width="14.140625" style="76" customWidth="1"/>
    <col min="13358" max="13358" width="9.7109375" style="76" bestFit="1" customWidth="1"/>
    <col min="13359" max="13359" width="10.28515625" style="76" bestFit="1" customWidth="1"/>
    <col min="13360" max="13360" width="12" style="76" customWidth="1"/>
    <col min="13361" max="13564" width="9.5703125" style="76"/>
    <col min="13565" max="13565" width="9.7109375" style="76" bestFit="1" customWidth="1"/>
    <col min="13566" max="13568" width="9.5703125" style="76"/>
    <col min="13569" max="13569" width="10" style="76" customWidth="1"/>
    <col min="13570" max="13570" width="82.28515625" style="76" customWidth="1"/>
    <col min="13571" max="13571" width="20.85546875" style="76" customWidth="1"/>
    <col min="13572" max="13572" width="17.7109375" style="76" customWidth="1"/>
    <col min="13573" max="13573" width="11" style="76" customWidth="1"/>
    <col min="13574" max="13574" width="22.85546875" style="76" customWidth="1"/>
    <col min="13575" max="13575" width="18.28515625" style="76" customWidth="1"/>
    <col min="13576" max="13576" width="55.7109375" style="76" customWidth="1"/>
    <col min="13577" max="13577" width="18.42578125" style="76" customWidth="1"/>
    <col min="13578" max="13578" width="14.7109375" style="76" customWidth="1"/>
    <col min="13579" max="13579" width="16.5703125" style="76" customWidth="1"/>
    <col min="13580" max="13580" width="12.5703125" style="76" customWidth="1"/>
    <col min="13581" max="13581" width="14.42578125" style="76" customWidth="1"/>
    <col min="13582" max="13582" width="11" style="76" bestFit="1" customWidth="1"/>
    <col min="13583" max="13583" width="65.5703125" style="76" customWidth="1"/>
    <col min="13584" max="13584" width="20" style="76" customWidth="1"/>
    <col min="13585" max="13585" width="13.7109375" style="76" customWidth="1"/>
    <col min="13586" max="13586" width="26.28515625" style="76" customWidth="1"/>
    <col min="13587" max="13587" width="55.140625" style="76" customWidth="1"/>
    <col min="13588" max="13588" width="11.85546875" style="76" customWidth="1"/>
    <col min="13589" max="13589" width="60" style="76" customWidth="1"/>
    <col min="13590" max="13590" width="15.5703125" style="76" customWidth="1"/>
    <col min="13591" max="13591" width="22.140625" style="76" customWidth="1"/>
    <col min="13592" max="13592" width="16.7109375" style="76" customWidth="1"/>
    <col min="13593" max="13593" width="13" style="76" customWidth="1"/>
    <col min="13594" max="13594" width="12.140625" style="76" customWidth="1"/>
    <col min="13595" max="13595" width="0.140625" style="76" customWidth="1"/>
    <col min="13596" max="13596" width="18" style="76" customWidth="1"/>
    <col min="13597" max="13597" width="13.7109375" style="76" customWidth="1"/>
    <col min="13598" max="13598" width="39.28515625" style="76" customWidth="1"/>
    <col min="13599" max="13599" width="15.7109375" style="76" customWidth="1"/>
    <col min="13600" max="13600" width="11.5703125" style="76" customWidth="1"/>
    <col min="13601" max="13601" width="14.28515625" style="76" customWidth="1"/>
    <col min="13602" max="13602" width="20.28515625" style="76" customWidth="1"/>
    <col min="13603" max="13603" width="11.5703125" style="76" bestFit="1" customWidth="1"/>
    <col min="13604" max="13604" width="10.42578125" style="76" bestFit="1" customWidth="1"/>
    <col min="13605" max="13605" width="14" style="76" customWidth="1"/>
    <col min="13606" max="13607" width="9.5703125" style="76"/>
    <col min="13608" max="13608" width="10.28515625" style="76" bestFit="1" customWidth="1"/>
    <col min="13609" max="13609" width="9.5703125" style="76"/>
    <col min="13610" max="13610" width="28.28515625" style="76" customWidth="1"/>
    <col min="13611" max="13611" width="14.5703125" style="76" customWidth="1"/>
    <col min="13612" max="13612" width="11.140625" style="76" customWidth="1"/>
    <col min="13613" max="13613" width="14.140625" style="76" customWidth="1"/>
    <col min="13614" max="13614" width="9.7109375" style="76" bestFit="1" customWidth="1"/>
    <col min="13615" max="13615" width="10.28515625" style="76" bestFit="1" customWidth="1"/>
    <col min="13616" max="13616" width="12" style="76" customWidth="1"/>
    <col min="13617" max="13820" width="9.5703125" style="76"/>
    <col min="13821" max="13821" width="9.7109375" style="76" bestFit="1" customWidth="1"/>
    <col min="13822" max="13824" width="9.5703125" style="76"/>
    <col min="13825" max="13825" width="10" style="76" customWidth="1"/>
    <col min="13826" max="13826" width="82.28515625" style="76" customWidth="1"/>
    <col min="13827" max="13827" width="20.85546875" style="76" customWidth="1"/>
    <col min="13828" max="13828" width="17.7109375" style="76" customWidth="1"/>
    <col min="13829" max="13829" width="11" style="76" customWidth="1"/>
    <col min="13830" max="13830" width="22.85546875" style="76" customWidth="1"/>
    <col min="13831" max="13831" width="18.28515625" style="76" customWidth="1"/>
    <col min="13832" max="13832" width="55.7109375" style="76" customWidth="1"/>
    <col min="13833" max="13833" width="18.42578125" style="76" customWidth="1"/>
    <col min="13834" max="13834" width="14.7109375" style="76" customWidth="1"/>
    <col min="13835" max="13835" width="16.5703125" style="76" customWidth="1"/>
    <col min="13836" max="13836" width="12.5703125" style="76" customWidth="1"/>
    <col min="13837" max="13837" width="14.42578125" style="76" customWidth="1"/>
    <col min="13838" max="13838" width="11" style="76" bestFit="1" customWidth="1"/>
    <col min="13839" max="13839" width="65.5703125" style="76" customWidth="1"/>
    <col min="13840" max="13840" width="20" style="76" customWidth="1"/>
    <col min="13841" max="13841" width="13.7109375" style="76" customWidth="1"/>
    <col min="13842" max="13842" width="26.28515625" style="76" customWidth="1"/>
    <col min="13843" max="13843" width="55.140625" style="76" customWidth="1"/>
    <col min="13844" max="13844" width="11.85546875" style="76" customWidth="1"/>
    <col min="13845" max="13845" width="60" style="76" customWidth="1"/>
    <col min="13846" max="13846" width="15.5703125" style="76" customWidth="1"/>
    <col min="13847" max="13847" width="22.140625" style="76" customWidth="1"/>
    <col min="13848" max="13848" width="16.7109375" style="76" customWidth="1"/>
    <col min="13849" max="13849" width="13" style="76" customWidth="1"/>
    <col min="13850" max="13850" width="12.140625" style="76" customWidth="1"/>
    <col min="13851" max="13851" width="0.140625" style="76" customWidth="1"/>
    <col min="13852" max="13852" width="18" style="76" customWidth="1"/>
    <col min="13853" max="13853" width="13.7109375" style="76" customWidth="1"/>
    <col min="13854" max="13854" width="39.28515625" style="76" customWidth="1"/>
    <col min="13855" max="13855" width="15.7109375" style="76" customWidth="1"/>
    <col min="13856" max="13856" width="11.5703125" style="76" customWidth="1"/>
    <col min="13857" max="13857" width="14.28515625" style="76" customWidth="1"/>
    <col min="13858" max="13858" width="20.28515625" style="76" customWidth="1"/>
    <col min="13859" max="13859" width="11.5703125" style="76" bestFit="1" customWidth="1"/>
    <col min="13860" max="13860" width="10.42578125" style="76" bestFit="1" customWidth="1"/>
    <col min="13861" max="13861" width="14" style="76" customWidth="1"/>
    <col min="13862" max="13863" width="9.5703125" style="76"/>
    <col min="13864" max="13864" width="10.28515625" style="76" bestFit="1" customWidth="1"/>
    <col min="13865" max="13865" width="9.5703125" style="76"/>
    <col min="13866" max="13866" width="28.28515625" style="76" customWidth="1"/>
    <col min="13867" max="13867" width="14.5703125" style="76" customWidth="1"/>
    <col min="13868" max="13868" width="11.140625" style="76" customWidth="1"/>
    <col min="13869" max="13869" width="14.140625" style="76" customWidth="1"/>
    <col min="13870" max="13870" width="9.7109375" style="76" bestFit="1" customWidth="1"/>
    <col min="13871" max="13871" width="10.28515625" style="76" bestFit="1" customWidth="1"/>
    <col min="13872" max="13872" width="12" style="76" customWidth="1"/>
    <col min="13873" max="14076" width="9.5703125" style="76"/>
    <col min="14077" max="14077" width="9.7109375" style="76" bestFit="1" customWidth="1"/>
    <col min="14078" max="14080" width="9.5703125" style="76"/>
    <col min="14081" max="14081" width="10" style="76" customWidth="1"/>
    <col min="14082" max="14082" width="82.28515625" style="76" customWidth="1"/>
    <col min="14083" max="14083" width="20.85546875" style="76" customWidth="1"/>
    <col min="14084" max="14084" width="17.7109375" style="76" customWidth="1"/>
    <col min="14085" max="14085" width="11" style="76" customWidth="1"/>
    <col min="14086" max="14086" width="22.85546875" style="76" customWidth="1"/>
    <col min="14087" max="14087" width="18.28515625" style="76" customWidth="1"/>
    <col min="14088" max="14088" width="55.7109375" style="76" customWidth="1"/>
    <col min="14089" max="14089" width="18.42578125" style="76" customWidth="1"/>
    <col min="14090" max="14090" width="14.7109375" style="76" customWidth="1"/>
    <col min="14091" max="14091" width="16.5703125" style="76" customWidth="1"/>
    <col min="14092" max="14092" width="12.5703125" style="76" customWidth="1"/>
    <col min="14093" max="14093" width="14.42578125" style="76" customWidth="1"/>
    <col min="14094" max="14094" width="11" style="76" bestFit="1" customWidth="1"/>
    <col min="14095" max="14095" width="65.5703125" style="76" customWidth="1"/>
    <col min="14096" max="14096" width="20" style="76" customWidth="1"/>
    <col min="14097" max="14097" width="13.7109375" style="76" customWidth="1"/>
    <col min="14098" max="14098" width="26.28515625" style="76" customWidth="1"/>
    <col min="14099" max="14099" width="55.140625" style="76" customWidth="1"/>
    <col min="14100" max="14100" width="11.85546875" style="76" customWidth="1"/>
    <col min="14101" max="14101" width="60" style="76" customWidth="1"/>
    <col min="14102" max="14102" width="15.5703125" style="76" customWidth="1"/>
    <col min="14103" max="14103" width="22.140625" style="76" customWidth="1"/>
    <col min="14104" max="14104" width="16.7109375" style="76" customWidth="1"/>
    <col min="14105" max="14105" width="13" style="76" customWidth="1"/>
    <col min="14106" max="14106" width="12.140625" style="76" customWidth="1"/>
    <col min="14107" max="14107" width="0.140625" style="76" customWidth="1"/>
    <col min="14108" max="14108" width="18" style="76" customWidth="1"/>
    <col min="14109" max="14109" width="13.7109375" style="76" customWidth="1"/>
    <col min="14110" max="14110" width="39.28515625" style="76" customWidth="1"/>
    <col min="14111" max="14111" width="15.7109375" style="76" customWidth="1"/>
    <col min="14112" max="14112" width="11.5703125" style="76" customWidth="1"/>
    <col min="14113" max="14113" width="14.28515625" style="76" customWidth="1"/>
    <col min="14114" max="14114" width="20.28515625" style="76" customWidth="1"/>
    <col min="14115" max="14115" width="11.5703125" style="76" bestFit="1" customWidth="1"/>
    <col min="14116" max="14116" width="10.42578125" style="76" bestFit="1" customWidth="1"/>
    <col min="14117" max="14117" width="14" style="76" customWidth="1"/>
    <col min="14118" max="14119" width="9.5703125" style="76"/>
    <col min="14120" max="14120" width="10.28515625" style="76" bestFit="1" customWidth="1"/>
    <col min="14121" max="14121" width="9.5703125" style="76"/>
    <col min="14122" max="14122" width="28.28515625" style="76" customWidth="1"/>
    <col min="14123" max="14123" width="14.5703125" style="76" customWidth="1"/>
    <col min="14124" max="14124" width="11.140625" style="76" customWidth="1"/>
    <col min="14125" max="14125" width="14.140625" style="76" customWidth="1"/>
    <col min="14126" max="14126" width="9.7109375" style="76" bestFit="1" customWidth="1"/>
    <col min="14127" max="14127" width="10.28515625" style="76" bestFit="1" customWidth="1"/>
    <col min="14128" max="14128" width="12" style="76" customWidth="1"/>
    <col min="14129" max="14332" width="9.5703125" style="76"/>
    <col min="14333" max="14333" width="9.7109375" style="76" bestFit="1" customWidth="1"/>
    <col min="14334" max="14336" width="9.5703125" style="76"/>
    <col min="14337" max="14337" width="10" style="76" customWidth="1"/>
    <col min="14338" max="14338" width="82.28515625" style="76" customWidth="1"/>
    <col min="14339" max="14339" width="20.85546875" style="76" customWidth="1"/>
    <col min="14340" max="14340" width="17.7109375" style="76" customWidth="1"/>
    <col min="14341" max="14341" width="11" style="76" customWidth="1"/>
    <col min="14342" max="14342" width="22.85546875" style="76" customWidth="1"/>
    <col min="14343" max="14343" width="18.28515625" style="76" customWidth="1"/>
    <col min="14344" max="14344" width="55.7109375" style="76" customWidth="1"/>
    <col min="14345" max="14345" width="18.42578125" style="76" customWidth="1"/>
    <col min="14346" max="14346" width="14.7109375" style="76" customWidth="1"/>
    <col min="14347" max="14347" width="16.5703125" style="76" customWidth="1"/>
    <col min="14348" max="14348" width="12.5703125" style="76" customWidth="1"/>
    <col min="14349" max="14349" width="14.42578125" style="76" customWidth="1"/>
    <col min="14350" max="14350" width="11" style="76" bestFit="1" customWidth="1"/>
    <col min="14351" max="14351" width="65.5703125" style="76" customWidth="1"/>
    <col min="14352" max="14352" width="20" style="76" customWidth="1"/>
    <col min="14353" max="14353" width="13.7109375" style="76" customWidth="1"/>
    <col min="14354" max="14354" width="26.28515625" style="76" customWidth="1"/>
    <col min="14355" max="14355" width="55.140625" style="76" customWidth="1"/>
    <col min="14356" max="14356" width="11.85546875" style="76" customWidth="1"/>
    <col min="14357" max="14357" width="60" style="76" customWidth="1"/>
    <col min="14358" max="14358" width="15.5703125" style="76" customWidth="1"/>
    <col min="14359" max="14359" width="22.140625" style="76" customWidth="1"/>
    <col min="14360" max="14360" width="16.7109375" style="76" customWidth="1"/>
    <col min="14361" max="14361" width="13" style="76" customWidth="1"/>
    <col min="14362" max="14362" width="12.140625" style="76" customWidth="1"/>
    <col min="14363" max="14363" width="0.140625" style="76" customWidth="1"/>
    <col min="14364" max="14364" width="18" style="76" customWidth="1"/>
    <col min="14365" max="14365" width="13.7109375" style="76" customWidth="1"/>
    <col min="14366" max="14366" width="39.28515625" style="76" customWidth="1"/>
    <col min="14367" max="14367" width="15.7109375" style="76" customWidth="1"/>
    <col min="14368" max="14368" width="11.5703125" style="76" customWidth="1"/>
    <col min="14369" max="14369" width="14.28515625" style="76" customWidth="1"/>
    <col min="14370" max="14370" width="20.28515625" style="76" customWidth="1"/>
    <col min="14371" max="14371" width="11.5703125" style="76" bestFit="1" customWidth="1"/>
    <col min="14372" max="14372" width="10.42578125" style="76" bestFit="1" customWidth="1"/>
    <col min="14373" max="14373" width="14" style="76" customWidth="1"/>
    <col min="14374" max="14375" width="9.5703125" style="76"/>
    <col min="14376" max="14376" width="10.28515625" style="76" bestFit="1" customWidth="1"/>
    <col min="14377" max="14377" width="9.5703125" style="76"/>
    <col min="14378" max="14378" width="28.28515625" style="76" customWidth="1"/>
    <col min="14379" max="14379" width="14.5703125" style="76" customWidth="1"/>
    <col min="14380" max="14380" width="11.140625" style="76" customWidth="1"/>
    <col min="14381" max="14381" width="14.140625" style="76" customWidth="1"/>
    <col min="14382" max="14382" width="9.7109375" style="76" bestFit="1" customWidth="1"/>
    <col min="14383" max="14383" width="10.28515625" style="76" bestFit="1" customWidth="1"/>
    <col min="14384" max="14384" width="12" style="76" customWidth="1"/>
    <col min="14385" max="14588" width="9.5703125" style="76"/>
    <col min="14589" max="14589" width="9.7109375" style="76" bestFit="1" customWidth="1"/>
    <col min="14590" max="14592" width="9.5703125" style="76"/>
    <col min="14593" max="14593" width="10" style="76" customWidth="1"/>
    <col min="14594" max="14594" width="82.28515625" style="76" customWidth="1"/>
    <col min="14595" max="14595" width="20.85546875" style="76" customWidth="1"/>
    <col min="14596" max="14596" width="17.7109375" style="76" customWidth="1"/>
    <col min="14597" max="14597" width="11" style="76" customWidth="1"/>
    <col min="14598" max="14598" width="22.85546875" style="76" customWidth="1"/>
    <col min="14599" max="14599" width="18.28515625" style="76" customWidth="1"/>
    <col min="14600" max="14600" width="55.7109375" style="76" customWidth="1"/>
    <col min="14601" max="14601" width="18.42578125" style="76" customWidth="1"/>
    <col min="14602" max="14602" width="14.7109375" style="76" customWidth="1"/>
    <col min="14603" max="14603" width="16.5703125" style="76" customWidth="1"/>
    <col min="14604" max="14604" width="12.5703125" style="76" customWidth="1"/>
    <col min="14605" max="14605" width="14.42578125" style="76" customWidth="1"/>
    <col min="14606" max="14606" width="11" style="76" bestFit="1" customWidth="1"/>
    <col min="14607" max="14607" width="65.5703125" style="76" customWidth="1"/>
    <col min="14608" max="14608" width="20" style="76" customWidth="1"/>
    <col min="14609" max="14609" width="13.7109375" style="76" customWidth="1"/>
    <col min="14610" max="14610" width="26.28515625" style="76" customWidth="1"/>
    <col min="14611" max="14611" width="55.140625" style="76" customWidth="1"/>
    <col min="14612" max="14612" width="11.85546875" style="76" customWidth="1"/>
    <col min="14613" max="14613" width="60" style="76" customWidth="1"/>
    <col min="14614" max="14614" width="15.5703125" style="76" customWidth="1"/>
    <col min="14615" max="14615" width="22.140625" style="76" customWidth="1"/>
    <col min="14616" max="14616" width="16.7109375" style="76" customWidth="1"/>
    <col min="14617" max="14617" width="13" style="76" customWidth="1"/>
    <col min="14618" max="14618" width="12.140625" style="76" customWidth="1"/>
    <col min="14619" max="14619" width="0.140625" style="76" customWidth="1"/>
    <col min="14620" max="14620" width="18" style="76" customWidth="1"/>
    <col min="14621" max="14621" width="13.7109375" style="76" customWidth="1"/>
    <col min="14622" max="14622" width="39.28515625" style="76" customWidth="1"/>
    <col min="14623" max="14623" width="15.7109375" style="76" customWidth="1"/>
    <col min="14624" max="14624" width="11.5703125" style="76" customWidth="1"/>
    <col min="14625" max="14625" width="14.28515625" style="76" customWidth="1"/>
    <col min="14626" max="14626" width="20.28515625" style="76" customWidth="1"/>
    <col min="14627" max="14627" width="11.5703125" style="76" bestFit="1" customWidth="1"/>
    <col min="14628" max="14628" width="10.42578125" style="76" bestFit="1" customWidth="1"/>
    <col min="14629" max="14629" width="14" style="76" customWidth="1"/>
    <col min="14630" max="14631" width="9.5703125" style="76"/>
    <col min="14632" max="14632" width="10.28515625" style="76" bestFit="1" customWidth="1"/>
    <col min="14633" max="14633" width="9.5703125" style="76"/>
    <col min="14634" max="14634" width="28.28515625" style="76" customWidth="1"/>
    <col min="14635" max="14635" width="14.5703125" style="76" customWidth="1"/>
    <col min="14636" max="14636" width="11.140625" style="76" customWidth="1"/>
    <col min="14637" max="14637" width="14.140625" style="76" customWidth="1"/>
    <col min="14638" max="14638" width="9.7109375" style="76" bestFit="1" customWidth="1"/>
    <col min="14639" max="14639" width="10.28515625" style="76" bestFit="1" customWidth="1"/>
    <col min="14640" max="14640" width="12" style="76" customWidth="1"/>
    <col min="14641" max="14844" width="9.5703125" style="76"/>
    <col min="14845" max="14845" width="9.7109375" style="76" bestFit="1" customWidth="1"/>
    <col min="14846" max="14848" width="9.5703125" style="76"/>
    <col min="14849" max="14849" width="10" style="76" customWidth="1"/>
    <col min="14850" max="14850" width="82.28515625" style="76" customWidth="1"/>
    <col min="14851" max="14851" width="20.85546875" style="76" customWidth="1"/>
    <col min="14852" max="14852" width="17.7109375" style="76" customWidth="1"/>
    <col min="14853" max="14853" width="11" style="76" customWidth="1"/>
    <col min="14854" max="14854" width="22.85546875" style="76" customWidth="1"/>
    <col min="14855" max="14855" width="18.28515625" style="76" customWidth="1"/>
    <col min="14856" max="14856" width="55.7109375" style="76" customWidth="1"/>
    <col min="14857" max="14857" width="18.42578125" style="76" customWidth="1"/>
    <col min="14858" max="14858" width="14.7109375" style="76" customWidth="1"/>
    <col min="14859" max="14859" width="16.5703125" style="76" customWidth="1"/>
    <col min="14860" max="14860" width="12.5703125" style="76" customWidth="1"/>
    <col min="14861" max="14861" width="14.42578125" style="76" customWidth="1"/>
    <col min="14862" max="14862" width="11" style="76" bestFit="1" customWidth="1"/>
    <col min="14863" max="14863" width="65.5703125" style="76" customWidth="1"/>
    <col min="14864" max="14864" width="20" style="76" customWidth="1"/>
    <col min="14865" max="14865" width="13.7109375" style="76" customWidth="1"/>
    <col min="14866" max="14866" width="26.28515625" style="76" customWidth="1"/>
    <col min="14867" max="14867" width="55.140625" style="76" customWidth="1"/>
    <col min="14868" max="14868" width="11.85546875" style="76" customWidth="1"/>
    <col min="14869" max="14869" width="60" style="76" customWidth="1"/>
    <col min="14870" max="14870" width="15.5703125" style="76" customWidth="1"/>
    <col min="14871" max="14871" width="22.140625" style="76" customWidth="1"/>
    <col min="14872" max="14872" width="16.7109375" style="76" customWidth="1"/>
    <col min="14873" max="14873" width="13" style="76" customWidth="1"/>
    <col min="14874" max="14874" width="12.140625" style="76" customWidth="1"/>
    <col min="14875" max="14875" width="0.140625" style="76" customWidth="1"/>
    <col min="14876" max="14876" width="18" style="76" customWidth="1"/>
    <col min="14877" max="14877" width="13.7109375" style="76" customWidth="1"/>
    <col min="14878" max="14878" width="39.28515625" style="76" customWidth="1"/>
    <col min="14879" max="14879" width="15.7109375" style="76" customWidth="1"/>
    <col min="14880" max="14880" width="11.5703125" style="76" customWidth="1"/>
    <col min="14881" max="14881" width="14.28515625" style="76" customWidth="1"/>
    <col min="14882" max="14882" width="20.28515625" style="76" customWidth="1"/>
    <col min="14883" max="14883" width="11.5703125" style="76" bestFit="1" customWidth="1"/>
    <col min="14884" max="14884" width="10.42578125" style="76" bestFit="1" customWidth="1"/>
    <col min="14885" max="14885" width="14" style="76" customWidth="1"/>
    <col min="14886" max="14887" width="9.5703125" style="76"/>
    <col min="14888" max="14888" width="10.28515625" style="76" bestFit="1" customWidth="1"/>
    <col min="14889" max="14889" width="9.5703125" style="76"/>
    <col min="14890" max="14890" width="28.28515625" style="76" customWidth="1"/>
    <col min="14891" max="14891" width="14.5703125" style="76" customWidth="1"/>
    <col min="14892" max="14892" width="11.140625" style="76" customWidth="1"/>
    <col min="14893" max="14893" width="14.140625" style="76" customWidth="1"/>
    <col min="14894" max="14894" width="9.7109375" style="76" bestFit="1" customWidth="1"/>
    <col min="14895" max="14895" width="10.28515625" style="76" bestFit="1" customWidth="1"/>
    <col min="14896" max="14896" width="12" style="76" customWidth="1"/>
    <col min="14897" max="15100" width="9.5703125" style="76"/>
    <col min="15101" max="15101" width="9.7109375" style="76" bestFit="1" customWidth="1"/>
    <col min="15102" max="15104" width="9.5703125" style="76"/>
    <col min="15105" max="15105" width="10" style="76" customWidth="1"/>
    <col min="15106" max="15106" width="82.28515625" style="76" customWidth="1"/>
    <col min="15107" max="15107" width="20.85546875" style="76" customWidth="1"/>
    <col min="15108" max="15108" width="17.7109375" style="76" customWidth="1"/>
    <col min="15109" max="15109" width="11" style="76" customWidth="1"/>
    <col min="15110" max="15110" width="22.85546875" style="76" customWidth="1"/>
    <col min="15111" max="15111" width="18.28515625" style="76" customWidth="1"/>
    <col min="15112" max="15112" width="55.7109375" style="76" customWidth="1"/>
    <col min="15113" max="15113" width="18.42578125" style="76" customWidth="1"/>
    <col min="15114" max="15114" width="14.7109375" style="76" customWidth="1"/>
    <col min="15115" max="15115" width="16.5703125" style="76" customWidth="1"/>
    <col min="15116" max="15116" width="12.5703125" style="76" customWidth="1"/>
    <col min="15117" max="15117" width="14.42578125" style="76" customWidth="1"/>
    <col min="15118" max="15118" width="11" style="76" bestFit="1" customWidth="1"/>
    <col min="15119" max="15119" width="65.5703125" style="76" customWidth="1"/>
    <col min="15120" max="15120" width="20" style="76" customWidth="1"/>
    <col min="15121" max="15121" width="13.7109375" style="76" customWidth="1"/>
    <col min="15122" max="15122" width="26.28515625" style="76" customWidth="1"/>
    <col min="15123" max="15123" width="55.140625" style="76" customWidth="1"/>
    <col min="15124" max="15124" width="11.85546875" style="76" customWidth="1"/>
    <col min="15125" max="15125" width="60" style="76" customWidth="1"/>
    <col min="15126" max="15126" width="15.5703125" style="76" customWidth="1"/>
    <col min="15127" max="15127" width="22.140625" style="76" customWidth="1"/>
    <col min="15128" max="15128" width="16.7109375" style="76" customWidth="1"/>
    <col min="15129" max="15129" width="13" style="76" customWidth="1"/>
    <col min="15130" max="15130" width="12.140625" style="76" customWidth="1"/>
    <col min="15131" max="15131" width="0.140625" style="76" customWidth="1"/>
    <col min="15132" max="15132" width="18" style="76" customWidth="1"/>
    <col min="15133" max="15133" width="13.7109375" style="76" customWidth="1"/>
    <col min="15134" max="15134" width="39.28515625" style="76" customWidth="1"/>
    <col min="15135" max="15135" width="15.7109375" style="76" customWidth="1"/>
    <col min="15136" max="15136" width="11.5703125" style="76" customWidth="1"/>
    <col min="15137" max="15137" width="14.28515625" style="76" customWidth="1"/>
    <col min="15138" max="15138" width="20.28515625" style="76" customWidth="1"/>
    <col min="15139" max="15139" width="11.5703125" style="76" bestFit="1" customWidth="1"/>
    <col min="15140" max="15140" width="10.42578125" style="76" bestFit="1" customWidth="1"/>
    <col min="15141" max="15141" width="14" style="76" customWidth="1"/>
    <col min="15142" max="15143" width="9.5703125" style="76"/>
    <col min="15144" max="15144" width="10.28515625" style="76" bestFit="1" customWidth="1"/>
    <col min="15145" max="15145" width="9.5703125" style="76"/>
    <col min="15146" max="15146" width="28.28515625" style="76" customWidth="1"/>
    <col min="15147" max="15147" width="14.5703125" style="76" customWidth="1"/>
    <col min="15148" max="15148" width="11.140625" style="76" customWidth="1"/>
    <col min="15149" max="15149" width="14.140625" style="76" customWidth="1"/>
    <col min="15150" max="15150" width="9.7109375" style="76" bestFit="1" customWidth="1"/>
    <col min="15151" max="15151" width="10.28515625" style="76" bestFit="1" customWidth="1"/>
    <col min="15152" max="15152" width="12" style="76" customWidth="1"/>
    <col min="15153" max="15356" width="9.5703125" style="76"/>
    <col min="15357" max="15357" width="9.7109375" style="76" bestFit="1" customWidth="1"/>
    <col min="15358" max="15360" width="9.5703125" style="76"/>
    <col min="15361" max="15361" width="10" style="76" customWidth="1"/>
    <col min="15362" max="15362" width="82.28515625" style="76" customWidth="1"/>
    <col min="15363" max="15363" width="20.85546875" style="76" customWidth="1"/>
    <col min="15364" max="15364" width="17.7109375" style="76" customWidth="1"/>
    <col min="15365" max="15365" width="11" style="76" customWidth="1"/>
    <col min="15366" max="15366" width="22.85546875" style="76" customWidth="1"/>
    <col min="15367" max="15367" width="18.28515625" style="76" customWidth="1"/>
    <col min="15368" max="15368" width="55.7109375" style="76" customWidth="1"/>
    <col min="15369" max="15369" width="18.42578125" style="76" customWidth="1"/>
    <col min="15370" max="15370" width="14.7109375" style="76" customWidth="1"/>
    <col min="15371" max="15371" width="16.5703125" style="76" customWidth="1"/>
    <col min="15372" max="15372" width="12.5703125" style="76" customWidth="1"/>
    <col min="15373" max="15373" width="14.42578125" style="76" customWidth="1"/>
    <col min="15374" max="15374" width="11" style="76" bestFit="1" customWidth="1"/>
    <col min="15375" max="15375" width="65.5703125" style="76" customWidth="1"/>
    <col min="15376" max="15376" width="20" style="76" customWidth="1"/>
    <col min="15377" max="15377" width="13.7109375" style="76" customWidth="1"/>
    <col min="15378" max="15378" width="26.28515625" style="76" customWidth="1"/>
    <col min="15379" max="15379" width="55.140625" style="76" customWidth="1"/>
    <col min="15380" max="15380" width="11.85546875" style="76" customWidth="1"/>
    <col min="15381" max="15381" width="60" style="76" customWidth="1"/>
    <col min="15382" max="15382" width="15.5703125" style="76" customWidth="1"/>
    <col min="15383" max="15383" width="22.140625" style="76" customWidth="1"/>
    <col min="15384" max="15384" width="16.7109375" style="76" customWidth="1"/>
    <col min="15385" max="15385" width="13" style="76" customWidth="1"/>
    <col min="15386" max="15386" width="12.140625" style="76" customWidth="1"/>
    <col min="15387" max="15387" width="0.140625" style="76" customWidth="1"/>
    <col min="15388" max="15388" width="18" style="76" customWidth="1"/>
    <col min="15389" max="15389" width="13.7109375" style="76" customWidth="1"/>
    <col min="15390" max="15390" width="39.28515625" style="76" customWidth="1"/>
    <col min="15391" max="15391" width="15.7109375" style="76" customWidth="1"/>
    <col min="15392" max="15392" width="11.5703125" style="76" customWidth="1"/>
    <col min="15393" max="15393" width="14.28515625" style="76" customWidth="1"/>
    <col min="15394" max="15394" width="20.28515625" style="76" customWidth="1"/>
    <col min="15395" max="15395" width="11.5703125" style="76" bestFit="1" customWidth="1"/>
    <col min="15396" max="15396" width="10.42578125" style="76" bestFit="1" customWidth="1"/>
    <col min="15397" max="15397" width="14" style="76" customWidth="1"/>
    <col min="15398" max="15399" width="9.5703125" style="76"/>
    <col min="15400" max="15400" width="10.28515625" style="76" bestFit="1" customWidth="1"/>
    <col min="15401" max="15401" width="9.5703125" style="76"/>
    <col min="15402" max="15402" width="28.28515625" style="76" customWidth="1"/>
    <col min="15403" max="15403" width="14.5703125" style="76" customWidth="1"/>
    <col min="15404" max="15404" width="11.140625" style="76" customWidth="1"/>
    <col min="15405" max="15405" width="14.140625" style="76" customWidth="1"/>
    <col min="15406" max="15406" width="9.7109375" style="76" bestFit="1" customWidth="1"/>
    <col min="15407" max="15407" width="10.28515625" style="76" bestFit="1" customWidth="1"/>
    <col min="15408" max="15408" width="12" style="76" customWidth="1"/>
    <col min="15409" max="15612" width="9.5703125" style="76"/>
    <col min="15613" max="15613" width="9.7109375" style="76" bestFit="1" customWidth="1"/>
    <col min="15614" max="15616" width="9.5703125" style="76"/>
    <col min="15617" max="15617" width="10" style="76" customWidth="1"/>
    <col min="15618" max="15618" width="82.28515625" style="76" customWidth="1"/>
    <col min="15619" max="15619" width="20.85546875" style="76" customWidth="1"/>
    <col min="15620" max="15620" width="17.7109375" style="76" customWidth="1"/>
    <col min="15621" max="15621" width="11" style="76" customWidth="1"/>
    <col min="15622" max="15622" width="22.85546875" style="76" customWidth="1"/>
    <col min="15623" max="15623" width="18.28515625" style="76" customWidth="1"/>
    <col min="15624" max="15624" width="55.7109375" style="76" customWidth="1"/>
    <col min="15625" max="15625" width="18.42578125" style="76" customWidth="1"/>
    <col min="15626" max="15626" width="14.7109375" style="76" customWidth="1"/>
    <col min="15627" max="15627" width="16.5703125" style="76" customWidth="1"/>
    <col min="15628" max="15628" width="12.5703125" style="76" customWidth="1"/>
    <col min="15629" max="15629" width="14.42578125" style="76" customWidth="1"/>
    <col min="15630" max="15630" width="11" style="76" bestFit="1" customWidth="1"/>
    <col min="15631" max="15631" width="65.5703125" style="76" customWidth="1"/>
    <col min="15632" max="15632" width="20" style="76" customWidth="1"/>
    <col min="15633" max="15633" width="13.7109375" style="76" customWidth="1"/>
    <col min="15634" max="15634" width="26.28515625" style="76" customWidth="1"/>
    <col min="15635" max="15635" width="55.140625" style="76" customWidth="1"/>
    <col min="15636" max="15636" width="11.85546875" style="76" customWidth="1"/>
    <col min="15637" max="15637" width="60" style="76" customWidth="1"/>
    <col min="15638" max="15638" width="15.5703125" style="76" customWidth="1"/>
    <col min="15639" max="15639" width="22.140625" style="76" customWidth="1"/>
    <col min="15640" max="15640" width="16.7109375" style="76" customWidth="1"/>
    <col min="15641" max="15641" width="13" style="76" customWidth="1"/>
    <col min="15642" max="15642" width="12.140625" style="76" customWidth="1"/>
    <col min="15643" max="15643" width="0.140625" style="76" customWidth="1"/>
    <col min="15644" max="15644" width="18" style="76" customWidth="1"/>
    <col min="15645" max="15645" width="13.7109375" style="76" customWidth="1"/>
    <col min="15646" max="15646" width="39.28515625" style="76" customWidth="1"/>
    <col min="15647" max="15647" width="15.7109375" style="76" customWidth="1"/>
    <col min="15648" max="15648" width="11.5703125" style="76" customWidth="1"/>
    <col min="15649" max="15649" width="14.28515625" style="76" customWidth="1"/>
    <col min="15650" max="15650" width="20.28515625" style="76" customWidth="1"/>
    <col min="15651" max="15651" width="11.5703125" style="76" bestFit="1" customWidth="1"/>
    <col min="15652" max="15652" width="10.42578125" style="76" bestFit="1" customWidth="1"/>
    <col min="15653" max="15653" width="14" style="76" customWidth="1"/>
    <col min="15654" max="15655" width="9.5703125" style="76"/>
    <col min="15656" max="15656" width="10.28515625" style="76" bestFit="1" customWidth="1"/>
    <col min="15657" max="15657" width="9.5703125" style="76"/>
    <col min="15658" max="15658" width="28.28515625" style="76" customWidth="1"/>
    <col min="15659" max="15659" width="14.5703125" style="76" customWidth="1"/>
    <col min="15660" max="15660" width="11.140625" style="76" customWidth="1"/>
    <col min="15661" max="15661" width="14.140625" style="76" customWidth="1"/>
    <col min="15662" max="15662" width="9.7109375" style="76" bestFit="1" customWidth="1"/>
    <col min="15663" max="15663" width="10.28515625" style="76" bestFit="1" customWidth="1"/>
    <col min="15664" max="15664" width="12" style="76" customWidth="1"/>
    <col min="15665" max="15868" width="9.5703125" style="76"/>
    <col min="15869" max="15869" width="9.7109375" style="76" bestFit="1" customWidth="1"/>
    <col min="15870" max="15872" width="9.5703125" style="76"/>
    <col min="15873" max="15873" width="10" style="76" customWidth="1"/>
    <col min="15874" max="15874" width="82.28515625" style="76" customWidth="1"/>
    <col min="15875" max="15875" width="20.85546875" style="76" customWidth="1"/>
    <col min="15876" max="15876" width="17.7109375" style="76" customWidth="1"/>
    <col min="15877" max="15877" width="11" style="76" customWidth="1"/>
    <col min="15878" max="15878" width="22.85546875" style="76" customWidth="1"/>
    <col min="15879" max="15879" width="18.28515625" style="76" customWidth="1"/>
    <col min="15880" max="15880" width="55.7109375" style="76" customWidth="1"/>
    <col min="15881" max="15881" width="18.42578125" style="76" customWidth="1"/>
    <col min="15882" max="15882" width="14.7109375" style="76" customWidth="1"/>
    <col min="15883" max="15883" width="16.5703125" style="76" customWidth="1"/>
    <col min="15884" max="15884" width="12.5703125" style="76" customWidth="1"/>
    <col min="15885" max="15885" width="14.42578125" style="76" customWidth="1"/>
    <col min="15886" max="15886" width="11" style="76" bestFit="1" customWidth="1"/>
    <col min="15887" max="15887" width="65.5703125" style="76" customWidth="1"/>
    <col min="15888" max="15888" width="20" style="76" customWidth="1"/>
    <col min="15889" max="15889" width="13.7109375" style="76" customWidth="1"/>
    <col min="15890" max="15890" width="26.28515625" style="76" customWidth="1"/>
    <col min="15891" max="15891" width="55.140625" style="76" customWidth="1"/>
    <col min="15892" max="15892" width="11.85546875" style="76" customWidth="1"/>
    <col min="15893" max="15893" width="60" style="76" customWidth="1"/>
    <col min="15894" max="15894" width="15.5703125" style="76" customWidth="1"/>
    <col min="15895" max="15895" width="22.140625" style="76" customWidth="1"/>
    <col min="15896" max="15896" width="16.7109375" style="76" customWidth="1"/>
    <col min="15897" max="15897" width="13" style="76" customWidth="1"/>
    <col min="15898" max="15898" width="12.140625" style="76" customWidth="1"/>
    <col min="15899" max="15899" width="0.140625" style="76" customWidth="1"/>
    <col min="15900" max="15900" width="18" style="76" customWidth="1"/>
    <col min="15901" max="15901" width="13.7109375" style="76" customWidth="1"/>
    <col min="15902" max="15902" width="39.28515625" style="76" customWidth="1"/>
    <col min="15903" max="15903" width="15.7109375" style="76" customWidth="1"/>
    <col min="15904" max="15904" width="11.5703125" style="76" customWidth="1"/>
    <col min="15905" max="15905" width="14.28515625" style="76" customWidth="1"/>
    <col min="15906" max="15906" width="20.28515625" style="76" customWidth="1"/>
    <col min="15907" max="15907" width="11.5703125" style="76" bestFit="1" customWidth="1"/>
    <col min="15908" max="15908" width="10.42578125" style="76" bestFit="1" customWidth="1"/>
    <col min="15909" max="15909" width="14" style="76" customWidth="1"/>
    <col min="15910" max="15911" width="9.5703125" style="76"/>
    <col min="15912" max="15912" width="10.28515625" style="76" bestFit="1" customWidth="1"/>
    <col min="15913" max="15913" width="9.5703125" style="76"/>
    <col min="15914" max="15914" width="28.28515625" style="76" customWidth="1"/>
    <col min="15915" max="15915" width="14.5703125" style="76" customWidth="1"/>
    <col min="15916" max="15916" width="11.140625" style="76" customWidth="1"/>
    <col min="15917" max="15917" width="14.140625" style="76" customWidth="1"/>
    <col min="15918" max="15918" width="9.7109375" style="76" bestFit="1" customWidth="1"/>
    <col min="15919" max="15919" width="10.28515625" style="76" bestFit="1" customWidth="1"/>
    <col min="15920" max="15920" width="12" style="76" customWidth="1"/>
    <col min="15921" max="16124" width="9.5703125" style="76"/>
    <col min="16125" max="16125" width="9.7109375" style="76" bestFit="1" customWidth="1"/>
    <col min="16126" max="16128" width="9.5703125" style="76"/>
    <col min="16129" max="16129" width="10" style="76" customWidth="1"/>
    <col min="16130" max="16130" width="82.28515625" style="76" customWidth="1"/>
    <col min="16131" max="16131" width="20.85546875" style="76" customWidth="1"/>
    <col min="16132" max="16132" width="17.7109375" style="76" customWidth="1"/>
    <col min="16133" max="16133" width="11" style="76" customWidth="1"/>
    <col min="16134" max="16134" width="22.85546875" style="76" customWidth="1"/>
    <col min="16135" max="16135" width="18.28515625" style="76" customWidth="1"/>
    <col min="16136" max="16136" width="55.7109375" style="76" customWidth="1"/>
    <col min="16137" max="16137" width="18.42578125" style="76" customWidth="1"/>
    <col min="16138" max="16138" width="14.7109375" style="76" customWidth="1"/>
    <col min="16139" max="16139" width="16.5703125" style="76" customWidth="1"/>
    <col min="16140" max="16140" width="12.5703125" style="76" customWidth="1"/>
    <col min="16141" max="16141" width="14.42578125" style="76" customWidth="1"/>
    <col min="16142" max="16142" width="11" style="76" bestFit="1" customWidth="1"/>
    <col min="16143" max="16143" width="65.5703125" style="76" customWidth="1"/>
    <col min="16144" max="16144" width="20" style="76" customWidth="1"/>
    <col min="16145" max="16145" width="13.7109375" style="76" customWidth="1"/>
    <col min="16146" max="16146" width="26.28515625" style="76" customWidth="1"/>
    <col min="16147" max="16147" width="55.140625" style="76" customWidth="1"/>
    <col min="16148" max="16148" width="11.85546875" style="76" customWidth="1"/>
    <col min="16149" max="16149" width="60" style="76" customWidth="1"/>
    <col min="16150" max="16150" width="15.5703125" style="76" customWidth="1"/>
    <col min="16151" max="16151" width="22.140625" style="76" customWidth="1"/>
    <col min="16152" max="16152" width="16.7109375" style="76" customWidth="1"/>
    <col min="16153" max="16153" width="13" style="76" customWidth="1"/>
    <col min="16154" max="16154" width="12.140625" style="76" customWidth="1"/>
    <col min="16155" max="16155" width="0.140625" style="76" customWidth="1"/>
    <col min="16156" max="16156" width="18" style="76" customWidth="1"/>
    <col min="16157" max="16157" width="13.7109375" style="76" customWidth="1"/>
    <col min="16158" max="16158" width="39.28515625" style="76" customWidth="1"/>
    <col min="16159" max="16159" width="15.7109375" style="76" customWidth="1"/>
    <col min="16160" max="16160" width="11.5703125" style="76" customWidth="1"/>
    <col min="16161" max="16161" width="14.28515625" style="76" customWidth="1"/>
    <col min="16162" max="16162" width="20.28515625" style="76" customWidth="1"/>
    <col min="16163" max="16163" width="11.5703125" style="76" bestFit="1" customWidth="1"/>
    <col min="16164" max="16164" width="10.42578125" style="76" bestFit="1" customWidth="1"/>
    <col min="16165" max="16165" width="14" style="76" customWidth="1"/>
    <col min="16166" max="16167" width="9.5703125" style="76"/>
    <col min="16168" max="16168" width="10.28515625" style="76" bestFit="1" customWidth="1"/>
    <col min="16169" max="16169" width="9.5703125" style="76"/>
    <col min="16170" max="16170" width="28.28515625" style="76" customWidth="1"/>
    <col min="16171" max="16171" width="14.5703125" style="76" customWidth="1"/>
    <col min="16172" max="16172" width="11.140625" style="76" customWidth="1"/>
    <col min="16173" max="16173" width="14.140625" style="76" customWidth="1"/>
    <col min="16174" max="16174" width="9.7109375" style="76" bestFit="1" customWidth="1"/>
    <col min="16175" max="16175" width="10.28515625" style="76" bestFit="1" customWidth="1"/>
    <col min="16176" max="16176" width="12" style="76" customWidth="1"/>
    <col min="16177" max="16380" width="9.5703125" style="76"/>
    <col min="16381" max="16381" width="9.7109375" style="76" bestFit="1" customWidth="1"/>
    <col min="16382" max="16384" width="9.5703125" style="76"/>
  </cols>
  <sheetData>
    <row r="1" spans="1:37" ht="24" customHeight="1">
      <c r="A1" s="154"/>
      <c r="B1" s="155" t="s">
        <v>525</v>
      </c>
      <c r="E1" s="154" t="s">
        <v>22</v>
      </c>
      <c r="H1" s="157" t="s">
        <v>526</v>
      </c>
      <c r="O1" s="154" t="s">
        <v>526</v>
      </c>
      <c r="T1" s="160"/>
      <c r="U1" s="161" t="s">
        <v>527</v>
      </c>
      <c r="V1" s="161"/>
      <c r="W1" s="155" t="s">
        <v>22</v>
      </c>
      <c r="X1" s="160"/>
      <c r="Y1" s="160"/>
      <c r="Z1" s="160"/>
      <c r="AA1" s="160"/>
      <c r="AB1" s="160"/>
      <c r="AC1" s="160"/>
      <c r="AD1" s="160"/>
      <c r="AE1" s="160"/>
    </row>
    <row r="2" spans="1:37" ht="24" customHeight="1">
      <c r="B2" s="162" t="s">
        <v>528</v>
      </c>
      <c r="E2" s="154" t="s">
        <v>22</v>
      </c>
      <c r="H2" s="155" t="s">
        <v>529</v>
      </c>
      <c r="O2" s="155" t="s">
        <v>529</v>
      </c>
      <c r="U2" s="1007" t="s">
        <v>530</v>
      </c>
      <c r="V2" s="1008"/>
      <c r="W2" s="1008"/>
      <c r="X2" s="1008"/>
    </row>
    <row r="3" spans="1:37" ht="24" customHeight="1">
      <c r="A3" s="154" t="s">
        <v>531</v>
      </c>
      <c r="B3" s="163" t="s">
        <v>532</v>
      </c>
      <c r="C3" s="154" t="s">
        <v>533</v>
      </c>
      <c r="E3" s="154" t="s">
        <v>22</v>
      </c>
      <c r="F3" s="164" t="s">
        <v>531</v>
      </c>
      <c r="G3" s="165" t="s">
        <v>22</v>
      </c>
      <c r="H3" s="166" t="str">
        <f>B3</f>
        <v>PRS CAMPUS</v>
      </c>
      <c r="J3" s="157" t="str">
        <f>C3</f>
        <v>2019 - 20</v>
      </c>
      <c r="M3" s="154" t="s">
        <v>531</v>
      </c>
      <c r="N3" s="154" t="s">
        <v>22</v>
      </c>
      <c r="O3" s="167" t="str">
        <f>B3</f>
        <v>PRS CAMPUS</v>
      </c>
      <c r="Q3" s="167" t="str">
        <f>C3</f>
        <v>2019 - 20</v>
      </c>
      <c r="T3" s="154" t="s">
        <v>531</v>
      </c>
      <c r="U3" s="167" t="str">
        <f>+B3</f>
        <v>PRS CAMPUS</v>
      </c>
      <c r="W3" s="168" t="str">
        <f>C3</f>
        <v>2019 - 20</v>
      </c>
      <c r="AA3" s="154"/>
    </row>
    <row r="4" spans="1:37" ht="24" hidden="1" customHeight="1">
      <c r="F4" s="162" t="s">
        <v>534</v>
      </c>
      <c r="G4" s="162" t="s">
        <v>534</v>
      </c>
      <c r="H4" s="162" t="s">
        <v>534</v>
      </c>
      <c r="I4" s="162" t="s">
        <v>534</v>
      </c>
      <c r="J4" s="162" t="s">
        <v>534</v>
      </c>
      <c r="K4" s="162" t="s">
        <v>534</v>
      </c>
      <c r="M4" s="162" t="s">
        <v>534</v>
      </c>
      <c r="N4" s="162" t="s">
        <v>534</v>
      </c>
      <c r="O4" s="162" t="s">
        <v>534</v>
      </c>
      <c r="P4" s="162" t="s">
        <v>534</v>
      </c>
      <c r="Q4" s="162" t="s">
        <v>534</v>
      </c>
      <c r="R4" s="162" t="s">
        <v>534</v>
      </c>
      <c r="U4" s="154" t="s">
        <v>22</v>
      </c>
      <c r="W4" s="154" t="s">
        <v>22</v>
      </c>
      <c r="X4" s="154" t="s">
        <v>535</v>
      </c>
      <c r="Y4" s="154"/>
      <c r="AC4" s="154" t="s">
        <v>22</v>
      </c>
      <c r="AG4" s="154" t="s">
        <v>536</v>
      </c>
    </row>
    <row r="5" spans="1:37" ht="24" hidden="1" customHeight="1">
      <c r="A5" s="162" t="s">
        <v>534</v>
      </c>
      <c r="B5" s="162" t="s">
        <v>534</v>
      </c>
      <c r="C5" s="162" t="s">
        <v>534</v>
      </c>
      <c r="D5" s="162" t="s">
        <v>534</v>
      </c>
      <c r="E5" s="154" t="s">
        <v>22</v>
      </c>
      <c r="F5" s="164" t="s">
        <v>537</v>
      </c>
      <c r="G5" s="165" t="s">
        <v>22</v>
      </c>
      <c r="H5" s="169" t="s">
        <v>538</v>
      </c>
      <c r="I5" s="169" t="s">
        <v>539</v>
      </c>
      <c r="J5" s="169" t="s">
        <v>540</v>
      </c>
      <c r="K5" s="169" t="s">
        <v>541</v>
      </c>
      <c r="M5" s="155" t="s">
        <v>537</v>
      </c>
      <c r="N5" s="154" t="s">
        <v>22</v>
      </c>
      <c r="O5" s="155" t="s">
        <v>538</v>
      </c>
      <c r="P5" s="155" t="s">
        <v>539</v>
      </c>
      <c r="Q5" s="155" t="s">
        <v>540</v>
      </c>
      <c r="R5" s="155" t="s">
        <v>541</v>
      </c>
      <c r="T5" s="162"/>
      <c r="U5" s="162" t="s">
        <v>534</v>
      </c>
      <c r="V5" s="162" t="s">
        <v>534</v>
      </c>
      <c r="W5" s="162" t="s">
        <v>534</v>
      </c>
      <c r="X5" s="162" t="s">
        <v>534</v>
      </c>
      <c r="Y5" s="162" t="s">
        <v>534</v>
      </c>
      <c r="Z5" s="162" t="s">
        <v>534</v>
      </c>
      <c r="AA5" s="162" t="s">
        <v>534</v>
      </c>
      <c r="AB5" s="162" t="s">
        <v>534</v>
      </c>
      <c r="AC5" s="162" t="s">
        <v>534</v>
      </c>
      <c r="AD5" s="162" t="s">
        <v>534</v>
      </c>
      <c r="AE5" s="162" t="s">
        <v>534</v>
      </c>
    </row>
    <row r="6" spans="1:37" ht="24" customHeight="1">
      <c r="A6" s="154" t="s">
        <v>542</v>
      </c>
      <c r="B6" s="154" t="s">
        <v>538</v>
      </c>
      <c r="C6" s="154" t="s">
        <v>539</v>
      </c>
      <c r="D6" s="154" t="s">
        <v>540</v>
      </c>
      <c r="F6" s="162" t="s">
        <v>534</v>
      </c>
      <c r="G6" s="162" t="s">
        <v>534</v>
      </c>
      <c r="H6" s="162" t="s">
        <v>534</v>
      </c>
      <c r="I6" s="162" t="s">
        <v>534</v>
      </c>
      <c r="J6" s="162" t="s">
        <v>534</v>
      </c>
      <c r="K6" s="162" t="s">
        <v>534</v>
      </c>
      <c r="M6" s="162" t="s">
        <v>534</v>
      </c>
      <c r="N6" s="162" t="s">
        <v>534</v>
      </c>
      <c r="O6" s="162" t="s">
        <v>534</v>
      </c>
      <c r="P6" s="162" t="s">
        <v>534</v>
      </c>
      <c r="Q6" s="162" t="s">
        <v>534</v>
      </c>
      <c r="R6" s="162" t="s">
        <v>534</v>
      </c>
      <c r="T6" s="155" t="s">
        <v>542</v>
      </c>
      <c r="U6" s="155" t="s">
        <v>543</v>
      </c>
      <c r="V6" s="155" t="s">
        <v>544</v>
      </c>
      <c r="W6" s="155" t="s">
        <v>545</v>
      </c>
      <c r="X6" s="155" t="s">
        <v>14</v>
      </c>
      <c r="Y6" s="155" t="s">
        <v>546</v>
      </c>
      <c r="Z6" s="155" t="s">
        <v>547</v>
      </c>
      <c r="AA6" s="154" t="s">
        <v>548</v>
      </c>
      <c r="AB6" s="154" t="s">
        <v>549</v>
      </c>
      <c r="AC6" s="154" t="s">
        <v>550</v>
      </c>
      <c r="AD6" s="155" t="s">
        <v>551</v>
      </c>
    </row>
    <row r="7" spans="1:37" ht="24" customHeight="1">
      <c r="A7" s="162" t="s">
        <v>534</v>
      </c>
      <c r="B7" s="162" t="s">
        <v>534</v>
      </c>
      <c r="C7" s="162" t="s">
        <v>534</v>
      </c>
      <c r="D7" s="162" t="s">
        <v>534</v>
      </c>
      <c r="G7" s="165" t="s">
        <v>307</v>
      </c>
      <c r="H7" s="154" t="s">
        <v>552</v>
      </c>
      <c r="O7" s="154" t="s">
        <v>553</v>
      </c>
      <c r="X7" s="155" t="s">
        <v>554</v>
      </c>
      <c r="Y7" s="155" t="s">
        <v>550</v>
      </c>
      <c r="Z7" s="155" t="s">
        <v>555</v>
      </c>
      <c r="AA7" s="154" t="s">
        <v>556</v>
      </c>
      <c r="AB7" s="154" t="s">
        <v>557</v>
      </c>
      <c r="AC7" s="154" t="s">
        <v>558</v>
      </c>
    </row>
    <row r="8" spans="1:37" ht="24" customHeight="1">
      <c r="B8" s="154" t="s">
        <v>559</v>
      </c>
      <c r="H8" s="162" t="s">
        <v>534</v>
      </c>
      <c r="O8" s="162" t="s">
        <v>534</v>
      </c>
      <c r="T8" s="162" t="s">
        <v>534</v>
      </c>
      <c r="U8" s="162" t="s">
        <v>534</v>
      </c>
      <c r="V8" s="162" t="s">
        <v>534</v>
      </c>
      <c r="W8" s="162" t="s">
        <v>534</v>
      </c>
      <c r="X8" s="162" t="s">
        <v>534</v>
      </c>
      <c r="Y8" s="162" t="s">
        <v>534</v>
      </c>
      <c r="Z8" s="162" t="s">
        <v>534</v>
      </c>
      <c r="AA8" s="162" t="s">
        <v>560</v>
      </c>
      <c r="AB8" s="162" t="s">
        <v>534</v>
      </c>
      <c r="AC8" s="162" t="s">
        <v>534</v>
      </c>
      <c r="AD8" s="162" t="s">
        <v>534</v>
      </c>
      <c r="AE8" s="162" t="s">
        <v>534</v>
      </c>
      <c r="AG8" s="170" t="s">
        <v>561</v>
      </c>
      <c r="AH8" s="170" t="s">
        <v>562</v>
      </c>
      <c r="AI8" s="171" t="s">
        <v>563</v>
      </c>
      <c r="AJ8" s="171" t="s">
        <v>564</v>
      </c>
      <c r="AK8" s="171" t="s">
        <v>565</v>
      </c>
    </row>
    <row r="9" spans="1:37" ht="24" customHeight="1">
      <c r="B9" s="154" t="s">
        <v>566</v>
      </c>
      <c r="F9" s="167">
        <v>0.96</v>
      </c>
      <c r="G9" s="165" t="s">
        <v>567</v>
      </c>
      <c r="H9" s="154" t="s">
        <v>568</v>
      </c>
      <c r="I9" s="167">
        <f>(C67)</f>
        <v>5750</v>
      </c>
      <c r="J9" s="154" t="s">
        <v>567</v>
      </c>
      <c r="K9" s="167">
        <f>(F9*I9)</f>
        <v>5520</v>
      </c>
      <c r="M9" s="167">
        <v>0.5</v>
      </c>
      <c r="N9" s="154" t="s">
        <v>567</v>
      </c>
      <c r="O9" s="154" t="s">
        <v>569</v>
      </c>
      <c r="P9" s="167">
        <f>(C85)</f>
        <v>1007</v>
      </c>
      <c r="Q9" s="154" t="s">
        <v>567</v>
      </c>
      <c r="R9" s="167">
        <f>(M9*P9)</f>
        <v>503.5</v>
      </c>
      <c r="T9" s="155" t="s">
        <v>570</v>
      </c>
      <c r="U9" s="154" t="s">
        <v>571</v>
      </c>
      <c r="V9" s="154" t="s">
        <v>572</v>
      </c>
      <c r="W9" s="154" t="s">
        <v>573</v>
      </c>
      <c r="X9" s="167">
        <f>'[3]lead  charge'!D12</f>
        <v>14</v>
      </c>
      <c r="Y9" s="172">
        <v>433</v>
      </c>
      <c r="Z9" s="167">
        <f>'[3]lead  charge'!E12</f>
        <v>136.88</v>
      </c>
      <c r="AA9" s="155"/>
      <c r="AB9" s="154">
        <v>0</v>
      </c>
      <c r="AC9" s="154">
        <f>SUM(Y9+Z9+AA9+AB9)</f>
        <v>569.88</v>
      </c>
      <c r="AD9" s="154" t="s">
        <v>574</v>
      </c>
      <c r="AE9" s="173">
        <f>+AG9</f>
        <v>717.2</v>
      </c>
      <c r="AF9" s="174">
        <v>652</v>
      </c>
      <c r="AG9" s="167">
        <f>AF9*1.1</f>
        <v>717.2</v>
      </c>
      <c r="AH9" s="76">
        <f>AF9*1.2</f>
        <v>782.4</v>
      </c>
      <c r="AI9" s="76">
        <f>AF9*1.5</f>
        <v>978</v>
      </c>
      <c r="AJ9" s="76">
        <f>AF9*1.05</f>
        <v>684.6</v>
      </c>
      <c r="AK9" s="76">
        <f>AF9*1.25</f>
        <v>815</v>
      </c>
    </row>
    <row r="10" spans="1:37" ht="24" customHeight="1">
      <c r="A10" s="175">
        <v>1</v>
      </c>
      <c r="B10" s="176" t="s">
        <v>575</v>
      </c>
      <c r="C10" s="177">
        <f>AE9</f>
        <v>717.2</v>
      </c>
      <c r="D10" s="176" t="s">
        <v>576</v>
      </c>
      <c r="F10" s="167">
        <v>1</v>
      </c>
      <c r="G10" s="165" t="s">
        <v>577</v>
      </c>
      <c r="H10" s="154" t="s">
        <v>578</v>
      </c>
      <c r="I10" s="167">
        <f>(C78)</f>
        <v>1514.4</v>
      </c>
      <c r="J10" s="154" t="s">
        <v>577</v>
      </c>
      <c r="K10" s="167">
        <f>(F10*I10)</f>
        <v>1514.4</v>
      </c>
      <c r="M10" s="167">
        <v>1</v>
      </c>
      <c r="N10" s="154" t="s">
        <v>577</v>
      </c>
      <c r="O10" s="154" t="s">
        <v>578</v>
      </c>
      <c r="P10" s="167">
        <f>(C78)</f>
        <v>1514.4</v>
      </c>
      <c r="Q10" s="154" t="s">
        <v>577</v>
      </c>
      <c r="R10" s="167">
        <f>(M10*P10)</f>
        <v>1514.4</v>
      </c>
      <c r="T10" s="155" t="s">
        <v>579</v>
      </c>
      <c r="U10" s="154" t="s">
        <v>580</v>
      </c>
      <c r="V10" s="154" t="s">
        <v>572</v>
      </c>
      <c r="W10" s="154" t="str">
        <f t="shared" ref="W10:W15" si="0">+W9</f>
        <v>Madukkarai</v>
      </c>
      <c r="X10" s="167">
        <f>'[3]lead  charge'!D12</f>
        <v>14</v>
      </c>
      <c r="Y10" s="172">
        <v>624</v>
      </c>
      <c r="Z10" s="167">
        <f>Z9</f>
        <v>136.88</v>
      </c>
      <c r="AA10" s="155"/>
      <c r="AB10" s="158">
        <v>0</v>
      </c>
      <c r="AC10" s="154">
        <f t="shared" ref="AC10:AC36" si="1">SUM(Y10+Z10+AA10+AB10)</f>
        <v>760.88</v>
      </c>
      <c r="AD10" s="154" t="s">
        <v>581</v>
      </c>
      <c r="AE10" s="173">
        <f t="shared" ref="AE10:AE47" si="2">+AG10</f>
        <v>669.90000000000009</v>
      </c>
      <c r="AF10" s="174">
        <v>609</v>
      </c>
      <c r="AG10" s="167">
        <f t="shared" ref="AG10:AG47" si="3">AF10*1.1</f>
        <v>669.90000000000009</v>
      </c>
      <c r="AH10" s="76">
        <f t="shared" ref="AH10:AH47" si="4">AF10*1.2</f>
        <v>730.8</v>
      </c>
      <c r="AI10" s="76">
        <f t="shared" ref="AI10:AI47" si="5">AF10*1.5</f>
        <v>913.5</v>
      </c>
      <c r="AJ10" s="76">
        <f t="shared" ref="AJ10:AJ44" si="6">AF10*1.05</f>
        <v>639.45000000000005</v>
      </c>
      <c r="AK10" s="76">
        <f t="shared" ref="AK10:AK47" si="7">AF10*1.25</f>
        <v>761.25</v>
      </c>
    </row>
    <row r="11" spans="1:37" ht="24" customHeight="1">
      <c r="A11" s="175">
        <f t="shared" ref="A11:A35" si="8">(A10+1)</f>
        <v>2</v>
      </c>
      <c r="B11" s="176" t="s">
        <v>582</v>
      </c>
      <c r="C11" s="177">
        <f>AE10</f>
        <v>669.90000000000009</v>
      </c>
      <c r="D11" s="176">
        <f>AE9</f>
        <v>717.2</v>
      </c>
      <c r="F11" s="167">
        <v>1</v>
      </c>
      <c r="G11" s="165" t="s">
        <v>577</v>
      </c>
      <c r="H11" s="154" t="s">
        <v>583</v>
      </c>
      <c r="I11" s="167">
        <f>(C18)</f>
        <v>83.27000000000001</v>
      </c>
      <c r="J11" s="154" t="s">
        <v>577</v>
      </c>
      <c r="K11" s="167">
        <f>(F11*I11)</f>
        <v>83.27000000000001</v>
      </c>
      <c r="M11" s="167">
        <v>1</v>
      </c>
      <c r="N11" s="154" t="s">
        <v>577</v>
      </c>
      <c r="O11" s="154" t="s">
        <v>584</v>
      </c>
      <c r="P11" s="167">
        <f>(C64)</f>
        <v>184</v>
      </c>
      <c r="Q11" s="154" t="s">
        <v>577</v>
      </c>
      <c r="R11" s="167">
        <f>(M11*P11)</f>
        <v>184</v>
      </c>
      <c r="T11" s="155" t="s">
        <v>585</v>
      </c>
      <c r="U11" s="154" t="s">
        <v>586</v>
      </c>
      <c r="V11" s="154" t="s">
        <v>572</v>
      </c>
      <c r="W11" s="154" t="str">
        <f t="shared" si="0"/>
        <v>Madukkarai</v>
      </c>
      <c r="X11" s="167">
        <f>'[3]lead  charge'!D10:D10</f>
        <v>14</v>
      </c>
      <c r="Y11" s="172">
        <v>709.33</v>
      </c>
      <c r="Z11" s="167">
        <f>'[3]lead  charge'!E10</f>
        <v>136.88</v>
      </c>
      <c r="AA11" s="155"/>
      <c r="AB11" s="158">
        <v>0</v>
      </c>
      <c r="AC11" s="154">
        <f t="shared" si="1"/>
        <v>846.21</v>
      </c>
      <c r="AD11" s="154" t="s">
        <v>587</v>
      </c>
      <c r="AE11" s="173">
        <f t="shared" si="2"/>
        <v>468.6</v>
      </c>
      <c r="AF11" s="174">
        <v>426</v>
      </c>
      <c r="AG11" s="167">
        <f t="shared" si="3"/>
        <v>468.6</v>
      </c>
      <c r="AH11" s="76">
        <f t="shared" si="4"/>
        <v>511.2</v>
      </c>
      <c r="AI11" s="76">
        <f t="shared" si="5"/>
        <v>639</v>
      </c>
      <c r="AJ11" s="76">
        <f t="shared" si="6"/>
        <v>447.3</v>
      </c>
      <c r="AK11" s="76">
        <f t="shared" si="7"/>
        <v>532.5</v>
      </c>
    </row>
    <row r="12" spans="1:37" ht="24" customHeight="1">
      <c r="A12" s="175">
        <f t="shared" si="8"/>
        <v>3</v>
      </c>
      <c r="B12" s="176" t="s">
        <v>588</v>
      </c>
      <c r="C12" s="177">
        <f>AE11</f>
        <v>468.6</v>
      </c>
      <c r="D12" s="176" t="s">
        <v>576</v>
      </c>
      <c r="G12" s="165" t="s">
        <v>589</v>
      </c>
      <c r="H12" s="154" t="s">
        <v>590</v>
      </c>
      <c r="I12" s="154" t="s">
        <v>22</v>
      </c>
      <c r="J12" s="154" t="s">
        <v>589</v>
      </c>
      <c r="K12" s="167">
        <v>0</v>
      </c>
      <c r="N12" s="154" t="s">
        <v>589</v>
      </c>
      <c r="O12" s="154" t="s">
        <v>590</v>
      </c>
      <c r="P12" s="154" t="s">
        <v>22</v>
      </c>
      <c r="Q12" s="154" t="s">
        <v>589</v>
      </c>
      <c r="R12" s="167">
        <v>0</v>
      </c>
      <c r="T12" s="155" t="s">
        <v>591</v>
      </c>
      <c r="U12" s="154" t="s">
        <v>592</v>
      </c>
      <c r="V12" s="154" t="s">
        <v>572</v>
      </c>
      <c r="W12" s="154" t="str">
        <f t="shared" si="0"/>
        <v>Madukkarai</v>
      </c>
      <c r="X12" s="167">
        <f>X11</f>
        <v>14</v>
      </c>
      <c r="Y12" s="172">
        <v>931</v>
      </c>
      <c r="Z12" s="167">
        <f>Z11</f>
        <v>136.88</v>
      </c>
      <c r="AA12" s="155"/>
      <c r="AB12" s="158">
        <v>0</v>
      </c>
      <c r="AC12" s="154">
        <f t="shared" si="1"/>
        <v>1067.8800000000001</v>
      </c>
      <c r="AD12" s="154" t="s">
        <v>593</v>
      </c>
      <c r="AE12" s="173">
        <f t="shared" si="2"/>
        <v>404.8</v>
      </c>
      <c r="AF12" s="174">
        <v>368</v>
      </c>
      <c r="AG12" s="167">
        <f t="shared" si="3"/>
        <v>404.8</v>
      </c>
      <c r="AH12" s="76">
        <f t="shared" si="4"/>
        <v>441.59999999999997</v>
      </c>
      <c r="AI12" s="76">
        <f t="shared" si="5"/>
        <v>552</v>
      </c>
      <c r="AJ12" s="76">
        <f t="shared" si="6"/>
        <v>386.40000000000003</v>
      </c>
      <c r="AK12" s="76">
        <f t="shared" si="7"/>
        <v>460</v>
      </c>
    </row>
    <row r="13" spans="1:37" ht="24" customHeight="1">
      <c r="A13" s="175">
        <f t="shared" si="8"/>
        <v>4</v>
      </c>
      <c r="B13" s="176" t="s">
        <v>594</v>
      </c>
      <c r="C13" s="177">
        <f>AE12</f>
        <v>404.8</v>
      </c>
      <c r="D13" s="176" t="s">
        <v>576</v>
      </c>
      <c r="K13" s="162" t="s">
        <v>534</v>
      </c>
      <c r="R13" s="162" t="s">
        <v>534</v>
      </c>
      <c r="T13" s="155" t="s">
        <v>595</v>
      </c>
      <c r="U13" s="154" t="s">
        <v>596</v>
      </c>
      <c r="V13" s="154" t="s">
        <v>572</v>
      </c>
      <c r="W13" s="154" t="str">
        <f t="shared" si="0"/>
        <v>Madukkarai</v>
      </c>
      <c r="X13" s="167">
        <f>X11</f>
        <v>14</v>
      </c>
      <c r="Y13" s="172">
        <v>1266</v>
      </c>
      <c r="Z13" s="167">
        <f>Z12</f>
        <v>136.88</v>
      </c>
      <c r="AA13" s="155"/>
      <c r="AB13" s="158">
        <v>0</v>
      </c>
      <c r="AC13" s="154">
        <f t="shared" si="1"/>
        <v>1402.88</v>
      </c>
      <c r="AD13" s="154" t="s">
        <v>597</v>
      </c>
      <c r="AE13" s="173">
        <f t="shared" si="2"/>
        <v>574.20000000000005</v>
      </c>
      <c r="AF13" s="174">
        <v>522</v>
      </c>
      <c r="AG13" s="167">
        <f t="shared" si="3"/>
        <v>574.20000000000005</v>
      </c>
      <c r="AH13" s="76">
        <f t="shared" si="4"/>
        <v>626.4</v>
      </c>
      <c r="AI13" s="76">
        <f t="shared" si="5"/>
        <v>783</v>
      </c>
      <c r="AJ13" s="76">
        <f t="shared" si="6"/>
        <v>548.1</v>
      </c>
      <c r="AK13" s="76">
        <f t="shared" si="7"/>
        <v>652.5</v>
      </c>
    </row>
    <row r="14" spans="1:37" ht="24" customHeight="1">
      <c r="A14" s="175">
        <f t="shared" si="8"/>
        <v>5</v>
      </c>
      <c r="B14" s="176" t="s">
        <v>598</v>
      </c>
      <c r="C14" s="177">
        <f>AE13</f>
        <v>574.20000000000005</v>
      </c>
      <c r="D14" s="177">
        <f>AE14</f>
        <v>555.5</v>
      </c>
      <c r="H14" s="154" t="s">
        <v>599</v>
      </c>
      <c r="K14" s="166">
        <f>SUM(K9:K12)</f>
        <v>7117.67</v>
      </c>
      <c r="N14" s="167">
        <f>SUM(K9:K12)</f>
        <v>7117.67</v>
      </c>
      <c r="O14" s="154" t="s">
        <v>599</v>
      </c>
      <c r="R14" s="167">
        <f>SUM(R9:R12)</f>
        <v>2201.9</v>
      </c>
      <c r="T14" s="155" t="s">
        <v>600</v>
      </c>
      <c r="U14" s="154" t="s">
        <v>601</v>
      </c>
      <c r="V14" s="154" t="s">
        <v>572</v>
      </c>
      <c r="W14" s="154" t="str">
        <f t="shared" si="0"/>
        <v>Madukkarai</v>
      </c>
      <c r="X14" s="167">
        <f>X11</f>
        <v>14</v>
      </c>
      <c r="Y14" s="172">
        <v>1364</v>
      </c>
      <c r="Z14" s="167">
        <f>Z13</f>
        <v>136.88</v>
      </c>
      <c r="AA14" s="155"/>
      <c r="AB14" s="158">
        <v>0</v>
      </c>
      <c r="AC14" s="154">
        <f t="shared" si="1"/>
        <v>1500.88</v>
      </c>
      <c r="AD14" s="154" t="s">
        <v>602</v>
      </c>
      <c r="AE14" s="173">
        <f t="shared" si="2"/>
        <v>555.5</v>
      </c>
      <c r="AF14" s="174">
        <v>505</v>
      </c>
      <c r="AG14" s="167">
        <f t="shared" si="3"/>
        <v>555.5</v>
      </c>
      <c r="AH14" s="76">
        <f t="shared" si="4"/>
        <v>606</v>
      </c>
      <c r="AI14" s="76">
        <f t="shared" si="5"/>
        <v>757.5</v>
      </c>
      <c r="AJ14" s="76">
        <f t="shared" si="6"/>
        <v>530.25</v>
      </c>
      <c r="AK14" s="76">
        <f t="shared" si="7"/>
        <v>631.25</v>
      </c>
    </row>
    <row r="15" spans="1:37" ht="24" customHeight="1">
      <c r="A15" s="175">
        <f t="shared" si="8"/>
        <v>6</v>
      </c>
      <c r="B15" s="176" t="s">
        <v>603</v>
      </c>
      <c r="C15" s="177">
        <f>AE15</f>
        <v>622.6</v>
      </c>
      <c r="D15" s="176" t="s">
        <v>576</v>
      </c>
      <c r="K15" s="162" t="s">
        <v>534</v>
      </c>
      <c r="R15" s="162" t="s">
        <v>534</v>
      </c>
      <c r="T15" s="155" t="s">
        <v>604</v>
      </c>
      <c r="U15" s="154" t="s">
        <v>605</v>
      </c>
      <c r="V15" s="154" t="s">
        <v>572</v>
      </c>
      <c r="W15" s="154" t="str">
        <f t="shared" si="0"/>
        <v>Madukkarai</v>
      </c>
      <c r="X15" s="167">
        <f>X11</f>
        <v>14</v>
      </c>
      <c r="Y15" s="172">
        <v>980</v>
      </c>
      <c r="Z15" s="167">
        <f>Z14</f>
        <v>136.88</v>
      </c>
      <c r="AA15" s="155"/>
      <c r="AB15" s="158">
        <v>0</v>
      </c>
      <c r="AC15" s="154">
        <f t="shared" si="1"/>
        <v>1116.8800000000001</v>
      </c>
      <c r="AD15" s="154" t="s">
        <v>606</v>
      </c>
      <c r="AE15" s="173">
        <f t="shared" si="2"/>
        <v>622.6</v>
      </c>
      <c r="AF15" s="174">
        <v>566</v>
      </c>
      <c r="AG15" s="167">
        <f t="shared" si="3"/>
        <v>622.6</v>
      </c>
      <c r="AH15" s="76">
        <f t="shared" si="4"/>
        <v>679.19999999999993</v>
      </c>
      <c r="AI15" s="76">
        <f t="shared" si="5"/>
        <v>849</v>
      </c>
      <c r="AJ15" s="76">
        <f t="shared" si="6"/>
        <v>594.30000000000007</v>
      </c>
      <c r="AK15" s="76">
        <f t="shared" si="7"/>
        <v>707.5</v>
      </c>
    </row>
    <row r="16" spans="1:37" ht="24" customHeight="1">
      <c r="A16" s="175">
        <f t="shared" si="8"/>
        <v>7</v>
      </c>
      <c r="B16" s="176" t="s">
        <v>607</v>
      </c>
      <c r="C16" s="177">
        <f>AE19</f>
        <v>701.80000000000007</v>
      </c>
      <c r="D16" s="177">
        <f>AE20</f>
        <v>669.90000000000009</v>
      </c>
      <c r="G16" s="165" t="s">
        <v>307</v>
      </c>
      <c r="H16" s="154" t="s">
        <v>608</v>
      </c>
      <c r="N16" s="154" t="s">
        <v>307</v>
      </c>
      <c r="O16" s="154" t="s">
        <v>609</v>
      </c>
      <c r="T16" s="155" t="s">
        <v>610</v>
      </c>
      <c r="U16" s="154" t="s">
        <v>611</v>
      </c>
      <c r="V16" s="154" t="s">
        <v>572</v>
      </c>
      <c r="W16" s="154" t="s">
        <v>612</v>
      </c>
      <c r="X16" s="167">
        <f>'[3]lead  charge'!D11</f>
        <v>30</v>
      </c>
      <c r="Y16" s="178">
        <v>1250</v>
      </c>
      <c r="Z16" s="167">
        <f>'[3]lead  charge'!E11</f>
        <v>264.39999999999998</v>
      </c>
      <c r="AA16" s="155"/>
      <c r="AB16" s="158">
        <v>0</v>
      </c>
      <c r="AC16" s="154">
        <f t="shared" si="1"/>
        <v>1514.4</v>
      </c>
      <c r="AD16" s="154" t="s">
        <v>613</v>
      </c>
      <c r="AE16" s="173">
        <f t="shared" si="2"/>
        <v>603.90000000000009</v>
      </c>
      <c r="AF16" s="174">
        <v>549</v>
      </c>
      <c r="AG16" s="167">
        <f t="shared" si="3"/>
        <v>603.90000000000009</v>
      </c>
      <c r="AH16" s="76">
        <f t="shared" si="4"/>
        <v>658.8</v>
      </c>
      <c r="AI16" s="76">
        <f t="shared" si="5"/>
        <v>823.5</v>
      </c>
      <c r="AJ16" s="76">
        <f t="shared" si="6"/>
        <v>576.45000000000005</v>
      </c>
      <c r="AK16" s="76">
        <f t="shared" si="7"/>
        <v>686.25</v>
      </c>
    </row>
    <row r="17" spans="1:37" ht="24" customHeight="1">
      <c r="A17" s="175">
        <f t="shared" si="8"/>
        <v>8</v>
      </c>
      <c r="B17" s="176" t="s">
        <v>614</v>
      </c>
      <c r="C17" s="177">
        <f>AE17</f>
        <v>633.6</v>
      </c>
      <c r="D17" s="177">
        <f>AE18</f>
        <v>616</v>
      </c>
      <c r="H17" s="162" t="s">
        <v>534</v>
      </c>
      <c r="O17" s="154" t="s">
        <v>615</v>
      </c>
      <c r="T17" s="155" t="s">
        <v>616</v>
      </c>
      <c r="U17" s="154" t="s">
        <v>617</v>
      </c>
      <c r="V17" s="154" t="s">
        <v>572</v>
      </c>
      <c r="W17" s="154" t="str">
        <f>+W16</f>
        <v>Karamadai [Kannarpalayam]</v>
      </c>
      <c r="X17" s="167">
        <f>X16</f>
        <v>30</v>
      </c>
      <c r="Y17" s="178">
        <f>Y16</f>
        <v>1250</v>
      </c>
      <c r="Z17" s="167">
        <f>Z16</f>
        <v>264.39999999999998</v>
      </c>
      <c r="AA17" s="155"/>
      <c r="AB17" s="158">
        <v>0</v>
      </c>
      <c r="AC17" s="154">
        <f t="shared" si="1"/>
        <v>1514.4</v>
      </c>
      <c r="AD17" s="154" t="s">
        <v>618</v>
      </c>
      <c r="AE17" s="173">
        <f t="shared" si="2"/>
        <v>633.6</v>
      </c>
      <c r="AF17" s="174">
        <v>576</v>
      </c>
      <c r="AG17" s="167">
        <f t="shared" si="3"/>
        <v>633.6</v>
      </c>
      <c r="AH17" s="76">
        <f t="shared" si="4"/>
        <v>691.19999999999993</v>
      </c>
      <c r="AI17" s="76">
        <f t="shared" si="5"/>
        <v>864</v>
      </c>
      <c r="AJ17" s="76">
        <f t="shared" si="6"/>
        <v>604.80000000000007</v>
      </c>
      <c r="AK17" s="76">
        <f t="shared" si="7"/>
        <v>720</v>
      </c>
    </row>
    <row r="18" spans="1:37" ht="24" customHeight="1">
      <c r="A18" s="175">
        <f t="shared" si="8"/>
        <v>9</v>
      </c>
      <c r="B18" s="176" t="s">
        <v>619</v>
      </c>
      <c r="C18" s="177">
        <f>AE24</f>
        <v>83.27000000000001</v>
      </c>
      <c r="D18" s="176" t="s">
        <v>620</v>
      </c>
      <c r="F18" s="167">
        <v>0.72</v>
      </c>
      <c r="G18" s="165" t="s">
        <v>567</v>
      </c>
      <c r="H18" s="154" t="s">
        <v>568</v>
      </c>
      <c r="I18" s="167">
        <f>(C67)</f>
        <v>5750</v>
      </c>
      <c r="J18" s="154" t="s">
        <v>567</v>
      </c>
      <c r="K18" s="167">
        <f>(F18*I18)</f>
        <v>4140</v>
      </c>
      <c r="O18" s="154" t="s">
        <v>621</v>
      </c>
      <c r="T18" s="155" t="s">
        <v>622</v>
      </c>
      <c r="U18" s="154" t="s">
        <v>623</v>
      </c>
      <c r="V18" s="154" t="s">
        <v>624</v>
      </c>
      <c r="W18" s="154" t="s">
        <v>625</v>
      </c>
      <c r="X18" s="167">
        <f>'[3]lead  charge'!G10</f>
        <v>17</v>
      </c>
      <c r="Y18" s="172">
        <v>5385</v>
      </c>
      <c r="Z18" s="167">
        <f>'[3]lead  charge'!H10</f>
        <v>137.69</v>
      </c>
      <c r="AA18" s="155"/>
      <c r="AB18" s="158">
        <v>0</v>
      </c>
      <c r="AC18" s="154">
        <f t="shared" si="1"/>
        <v>5522.69</v>
      </c>
      <c r="AD18" s="154" t="s">
        <v>626</v>
      </c>
      <c r="AE18" s="173">
        <f t="shared" si="2"/>
        <v>616</v>
      </c>
      <c r="AF18" s="174">
        <v>560</v>
      </c>
      <c r="AG18" s="167">
        <f t="shared" si="3"/>
        <v>616</v>
      </c>
      <c r="AH18" s="76">
        <f t="shared" si="4"/>
        <v>672</v>
      </c>
      <c r="AI18" s="76">
        <f t="shared" si="5"/>
        <v>840</v>
      </c>
      <c r="AJ18" s="76">
        <f t="shared" si="6"/>
        <v>588</v>
      </c>
      <c r="AK18" s="76">
        <f t="shared" si="7"/>
        <v>700</v>
      </c>
    </row>
    <row r="19" spans="1:37" ht="24" customHeight="1">
      <c r="A19" s="175">
        <f t="shared" si="8"/>
        <v>10</v>
      </c>
      <c r="B19" s="176" t="s">
        <v>627</v>
      </c>
      <c r="C19" s="172">
        <f>(51.5*10%)+51.5</f>
        <v>56.65</v>
      </c>
      <c r="D19" s="176" t="s">
        <v>577</v>
      </c>
      <c r="F19" s="167">
        <v>1</v>
      </c>
      <c r="G19" s="165" t="s">
        <v>577</v>
      </c>
      <c r="H19" s="154" t="s">
        <v>578</v>
      </c>
      <c r="I19" s="167">
        <f>I36</f>
        <v>1514.4</v>
      </c>
      <c r="J19" s="154" t="s">
        <v>577</v>
      </c>
      <c r="K19" s="167">
        <f>(F19*I19)</f>
        <v>1514.4</v>
      </c>
      <c r="O19" s="154" t="s">
        <v>628</v>
      </c>
      <c r="T19" s="155" t="s">
        <v>629</v>
      </c>
      <c r="U19" s="154" t="s">
        <v>630</v>
      </c>
      <c r="V19" s="154" t="s">
        <v>577</v>
      </c>
      <c r="W19" s="167" t="str">
        <f>W18</f>
        <v>Thadagam</v>
      </c>
      <c r="X19" s="167">
        <f>'[3]lead  charge'!P10</f>
        <v>17</v>
      </c>
      <c r="Y19" s="172">
        <v>666</v>
      </c>
      <c r="Z19" s="179">
        <f>'[3]lead  charge'!Q10</f>
        <v>112</v>
      </c>
      <c r="AA19" s="155"/>
      <c r="AB19" s="158">
        <v>0</v>
      </c>
      <c r="AC19" s="154">
        <f t="shared" si="1"/>
        <v>778</v>
      </c>
      <c r="AD19" s="154" t="s">
        <v>631</v>
      </c>
      <c r="AE19" s="173">
        <f t="shared" si="2"/>
        <v>701.80000000000007</v>
      </c>
      <c r="AF19" s="174">
        <v>638</v>
      </c>
      <c r="AG19" s="167">
        <f t="shared" si="3"/>
        <v>701.80000000000007</v>
      </c>
      <c r="AH19" s="76">
        <f t="shared" si="4"/>
        <v>765.6</v>
      </c>
      <c r="AI19" s="76">
        <f t="shared" si="5"/>
        <v>957</v>
      </c>
      <c r="AJ19" s="76">
        <f t="shared" si="6"/>
        <v>669.9</v>
      </c>
      <c r="AK19" s="76">
        <f t="shared" si="7"/>
        <v>797.5</v>
      </c>
    </row>
    <row r="20" spans="1:37" ht="24" customHeight="1">
      <c r="A20" s="175">
        <f t="shared" si="8"/>
        <v>11</v>
      </c>
      <c r="B20" s="176" t="s">
        <v>632</v>
      </c>
      <c r="C20" s="172">
        <f>(103.8*10%)+103.8</f>
        <v>114.17999999999999</v>
      </c>
      <c r="D20" s="176" t="s">
        <v>577</v>
      </c>
      <c r="F20" s="167">
        <v>1</v>
      </c>
      <c r="G20" s="165" t="s">
        <v>577</v>
      </c>
      <c r="H20" s="154" t="s">
        <v>583</v>
      </c>
      <c r="I20" s="167">
        <f>(C18)</f>
        <v>83.27000000000001</v>
      </c>
      <c r="J20" s="154" t="s">
        <v>577</v>
      </c>
      <c r="K20" s="167">
        <f>(F20*I20)</f>
        <v>83.27000000000001</v>
      </c>
      <c r="O20" s="154" t="s">
        <v>633</v>
      </c>
      <c r="T20" s="155" t="s">
        <v>634</v>
      </c>
      <c r="U20" s="154" t="s">
        <v>635</v>
      </c>
      <c r="V20" s="154" t="s">
        <v>577</v>
      </c>
      <c r="W20" s="167" t="str">
        <f>W18</f>
        <v>Thadagam</v>
      </c>
      <c r="X20" s="167">
        <f>X19</f>
        <v>17</v>
      </c>
      <c r="Y20" s="172">
        <v>742</v>
      </c>
      <c r="Z20" s="167">
        <f>Z19</f>
        <v>112</v>
      </c>
      <c r="AA20" s="155"/>
      <c r="AB20" s="158">
        <v>0</v>
      </c>
      <c r="AC20" s="154">
        <f t="shared" si="1"/>
        <v>854</v>
      </c>
      <c r="AD20" s="154" t="s">
        <v>636</v>
      </c>
      <c r="AE20" s="173">
        <f t="shared" si="2"/>
        <v>669.90000000000009</v>
      </c>
      <c r="AF20" s="174">
        <v>609</v>
      </c>
      <c r="AG20" s="167">
        <f t="shared" si="3"/>
        <v>669.90000000000009</v>
      </c>
      <c r="AH20" s="76">
        <f t="shared" si="4"/>
        <v>730.8</v>
      </c>
      <c r="AI20" s="76">
        <f t="shared" si="5"/>
        <v>913.5</v>
      </c>
      <c r="AJ20" s="76">
        <f t="shared" si="6"/>
        <v>639.45000000000005</v>
      </c>
      <c r="AK20" s="76">
        <f t="shared" si="7"/>
        <v>761.25</v>
      </c>
    </row>
    <row r="21" spans="1:37" ht="24" customHeight="1">
      <c r="A21" s="175">
        <f t="shared" si="8"/>
        <v>12</v>
      </c>
      <c r="B21" s="176" t="s">
        <v>637</v>
      </c>
      <c r="C21" s="172">
        <f>(103.8*10%)+103.8</f>
        <v>114.17999999999999</v>
      </c>
      <c r="D21" s="176" t="s">
        <v>577</v>
      </c>
      <c r="G21" s="165" t="s">
        <v>589</v>
      </c>
      <c r="H21" s="154" t="s">
        <v>590</v>
      </c>
      <c r="I21" s="154" t="s">
        <v>22</v>
      </c>
      <c r="J21" s="154" t="s">
        <v>589</v>
      </c>
      <c r="K21" s="167">
        <v>0</v>
      </c>
      <c r="O21" s="162" t="s">
        <v>534</v>
      </c>
      <c r="T21" s="155" t="s">
        <v>638</v>
      </c>
      <c r="U21" s="154" t="s">
        <v>639</v>
      </c>
      <c r="V21" s="154" t="s">
        <v>624</v>
      </c>
      <c r="W21" s="154" t="s">
        <v>640</v>
      </c>
      <c r="X21" s="167">
        <f>'[3]lead  charge'!J12</f>
        <v>0</v>
      </c>
      <c r="Y21" s="172">
        <v>15487</v>
      </c>
      <c r="Z21" s="167">
        <f>'[3]lead  charge'!K11</f>
        <v>0</v>
      </c>
      <c r="AA21" s="155"/>
      <c r="AB21" s="158">
        <v>0</v>
      </c>
      <c r="AC21" s="154">
        <f t="shared" si="1"/>
        <v>15487</v>
      </c>
      <c r="AD21" s="154" t="s">
        <v>641</v>
      </c>
      <c r="AE21" s="173">
        <f t="shared" si="2"/>
        <v>551.1</v>
      </c>
      <c r="AF21" s="174">
        <v>501</v>
      </c>
      <c r="AG21" s="167">
        <f t="shared" si="3"/>
        <v>551.1</v>
      </c>
      <c r="AH21" s="76">
        <f t="shared" si="4"/>
        <v>601.19999999999993</v>
      </c>
      <c r="AI21" s="76">
        <f t="shared" si="5"/>
        <v>751.5</v>
      </c>
      <c r="AJ21" s="76">
        <f t="shared" si="6"/>
        <v>526.05000000000007</v>
      </c>
      <c r="AK21" s="76">
        <f t="shared" si="7"/>
        <v>626.25</v>
      </c>
    </row>
    <row r="22" spans="1:37" ht="24" customHeight="1">
      <c r="A22" s="175">
        <f t="shared" si="8"/>
        <v>13</v>
      </c>
      <c r="B22" s="176" t="s">
        <v>642</v>
      </c>
      <c r="C22" s="172">
        <f>(78.2*10%)+78.2</f>
        <v>86.02000000000001</v>
      </c>
      <c r="D22" s="176" t="s">
        <v>577</v>
      </c>
      <c r="K22" s="162" t="s">
        <v>534</v>
      </c>
      <c r="M22" s="167">
        <v>1</v>
      </c>
      <c r="N22" s="154" t="s">
        <v>577</v>
      </c>
      <c r="O22" s="154" t="s">
        <v>643</v>
      </c>
      <c r="P22" s="167">
        <f>C79</f>
        <v>1514.4</v>
      </c>
      <c r="Q22" s="154" t="s">
        <v>577</v>
      </c>
      <c r="R22" s="167">
        <f>(M22*P22)</f>
        <v>1514.4</v>
      </c>
      <c r="T22" s="155" t="s">
        <v>644</v>
      </c>
      <c r="U22" s="154" t="s">
        <v>645</v>
      </c>
      <c r="V22" s="154" t="s">
        <v>572</v>
      </c>
      <c r="W22" s="180" t="s">
        <v>640</v>
      </c>
      <c r="X22" s="167"/>
      <c r="Y22" s="172">
        <v>1272</v>
      </c>
      <c r="Z22" s="167"/>
      <c r="AA22" s="155"/>
      <c r="AB22" s="158">
        <v>0</v>
      </c>
      <c r="AC22" s="154">
        <f t="shared" si="1"/>
        <v>1272</v>
      </c>
      <c r="AD22" s="154" t="s">
        <v>646</v>
      </c>
      <c r="AE22" s="173">
        <f t="shared" si="2"/>
        <v>531.30000000000007</v>
      </c>
      <c r="AF22" s="174">
        <v>483</v>
      </c>
      <c r="AG22" s="167">
        <f t="shared" si="3"/>
        <v>531.30000000000007</v>
      </c>
      <c r="AH22" s="76">
        <f t="shared" si="4"/>
        <v>579.6</v>
      </c>
      <c r="AI22" s="76">
        <f t="shared" si="5"/>
        <v>724.5</v>
      </c>
      <c r="AJ22" s="76">
        <f t="shared" si="6"/>
        <v>507.15000000000003</v>
      </c>
      <c r="AK22" s="76">
        <f t="shared" si="7"/>
        <v>603.75</v>
      </c>
    </row>
    <row r="23" spans="1:37" ht="24" customHeight="1">
      <c r="A23" s="175">
        <f t="shared" si="8"/>
        <v>14</v>
      </c>
      <c r="B23" s="176" t="s">
        <v>647</v>
      </c>
      <c r="C23" s="172">
        <f>(154*10%)+154</f>
        <v>169.4</v>
      </c>
      <c r="D23" s="176" t="s">
        <v>577</v>
      </c>
      <c r="H23" s="154" t="s">
        <v>599</v>
      </c>
      <c r="K23" s="166">
        <f>SUM(K18:K21)</f>
        <v>5737.67</v>
      </c>
      <c r="M23" s="167">
        <v>1</v>
      </c>
      <c r="N23" s="154" t="s">
        <v>577</v>
      </c>
      <c r="O23" s="154" t="s">
        <v>648</v>
      </c>
      <c r="P23" s="167">
        <f>C85</f>
        <v>1007</v>
      </c>
      <c r="Q23" s="154" t="s">
        <v>577</v>
      </c>
      <c r="R23" s="167">
        <f>(M23*P23)</f>
        <v>1007</v>
      </c>
      <c r="T23" s="155" t="s">
        <v>649</v>
      </c>
      <c r="U23" s="154" t="s">
        <v>650</v>
      </c>
      <c r="V23" s="154" t="s">
        <v>572</v>
      </c>
      <c r="W23" s="180" t="s">
        <v>651</v>
      </c>
      <c r="X23" s="167">
        <f>'[3]lead  charge'!P11</f>
        <v>10</v>
      </c>
      <c r="Y23" s="172">
        <v>937</v>
      </c>
      <c r="Z23" s="167">
        <f>'[3]lead  charge'!Q11</f>
        <v>70</v>
      </c>
      <c r="AA23" s="155"/>
      <c r="AB23" s="158">
        <v>0</v>
      </c>
      <c r="AC23" s="154">
        <f t="shared" si="1"/>
        <v>1007</v>
      </c>
      <c r="AD23" s="154" t="s">
        <v>652</v>
      </c>
      <c r="AE23" s="173">
        <f t="shared" si="2"/>
        <v>552.20000000000005</v>
      </c>
      <c r="AF23" s="174">
        <v>502</v>
      </c>
      <c r="AG23" s="167">
        <f t="shared" si="3"/>
        <v>552.20000000000005</v>
      </c>
      <c r="AH23" s="76">
        <f t="shared" si="4"/>
        <v>602.4</v>
      </c>
      <c r="AI23" s="76">
        <f t="shared" si="5"/>
        <v>753</v>
      </c>
      <c r="AJ23" s="76">
        <f t="shared" si="6"/>
        <v>527.1</v>
      </c>
      <c r="AK23" s="76">
        <f t="shared" si="7"/>
        <v>627.5</v>
      </c>
    </row>
    <row r="24" spans="1:37" ht="24" customHeight="1">
      <c r="A24" s="175">
        <f t="shared" si="8"/>
        <v>15</v>
      </c>
      <c r="B24" s="176" t="s">
        <v>653</v>
      </c>
      <c r="C24" s="172">
        <f>(154*10%)+154</f>
        <v>169.4</v>
      </c>
      <c r="D24" s="176" t="s">
        <v>577</v>
      </c>
      <c r="K24" s="162" t="s">
        <v>534</v>
      </c>
      <c r="M24" s="167">
        <v>1.5</v>
      </c>
      <c r="N24" s="154" t="s">
        <v>577</v>
      </c>
      <c r="O24" s="154" t="s">
        <v>654</v>
      </c>
      <c r="P24" s="167">
        <f>C18</f>
        <v>83.27000000000001</v>
      </c>
      <c r="Q24" s="154" t="s">
        <v>577</v>
      </c>
      <c r="R24" s="167">
        <f>(M24*P24)</f>
        <v>124.90500000000002</v>
      </c>
      <c r="T24" s="155" t="s">
        <v>655</v>
      </c>
      <c r="U24" s="154" t="s">
        <v>656</v>
      </c>
      <c r="V24" s="154" t="s">
        <v>572</v>
      </c>
      <c r="W24" s="154" t="s">
        <v>657</v>
      </c>
      <c r="X24" s="76">
        <f>X25</f>
        <v>0</v>
      </c>
      <c r="Y24" s="172">
        <v>34300</v>
      </c>
      <c r="Z24" s="76">
        <f>Z25</f>
        <v>0</v>
      </c>
      <c r="AA24" s="160"/>
      <c r="AB24" s="158">
        <v>0</v>
      </c>
      <c r="AC24" s="154">
        <f t="shared" si="1"/>
        <v>34300</v>
      </c>
      <c r="AD24" s="154" t="s">
        <v>658</v>
      </c>
      <c r="AE24" s="173">
        <f t="shared" si="2"/>
        <v>83.27000000000001</v>
      </c>
      <c r="AF24" s="181">
        <v>75.7</v>
      </c>
      <c r="AG24" s="167">
        <f t="shared" si="3"/>
        <v>83.27000000000001</v>
      </c>
      <c r="AH24" s="76">
        <f t="shared" si="4"/>
        <v>90.84</v>
      </c>
      <c r="AI24" s="76">
        <f t="shared" si="5"/>
        <v>113.55000000000001</v>
      </c>
      <c r="AJ24" s="76">
        <f t="shared" si="6"/>
        <v>79.484999999999999</v>
      </c>
      <c r="AK24" s="76">
        <f t="shared" si="7"/>
        <v>94.625</v>
      </c>
    </row>
    <row r="25" spans="1:37" ht="24" customHeight="1">
      <c r="A25" s="175">
        <f t="shared" si="8"/>
        <v>16</v>
      </c>
      <c r="B25" s="176" t="s">
        <v>659</v>
      </c>
      <c r="C25" s="177">
        <f>AE25</f>
        <v>67.650000000000006</v>
      </c>
      <c r="D25" s="176" t="s">
        <v>577</v>
      </c>
      <c r="G25" s="165" t="s">
        <v>307</v>
      </c>
      <c r="H25" s="154" t="s">
        <v>660</v>
      </c>
      <c r="M25" s="167">
        <v>1.5</v>
      </c>
      <c r="N25" s="154" t="s">
        <v>577</v>
      </c>
      <c r="O25" s="154" t="s">
        <v>661</v>
      </c>
      <c r="P25" s="167">
        <f>C27</f>
        <v>24.64</v>
      </c>
      <c r="Q25" s="154" t="s">
        <v>577</v>
      </c>
      <c r="R25" s="167">
        <f>(M25*P25)</f>
        <v>36.96</v>
      </c>
      <c r="T25" s="155" t="s">
        <v>662</v>
      </c>
      <c r="U25" s="182" t="s">
        <v>663</v>
      </c>
      <c r="V25" s="154" t="s">
        <v>572</v>
      </c>
      <c r="W25" s="180" t="s">
        <v>657</v>
      </c>
      <c r="X25" s="76">
        <f>'[3]lead  charge'!P12</f>
        <v>0</v>
      </c>
      <c r="Y25" s="172">
        <v>39400</v>
      </c>
      <c r="Z25" s="76">
        <f>'[3]lead  charge'!Q12</f>
        <v>0</v>
      </c>
      <c r="AA25" s="160"/>
      <c r="AB25" s="158">
        <v>0</v>
      </c>
      <c r="AC25" s="154">
        <f>SUM(Y25+Z25+AA25+AB25)</f>
        <v>39400</v>
      </c>
      <c r="AD25" s="154" t="s">
        <v>664</v>
      </c>
      <c r="AE25" s="173">
        <f t="shared" si="2"/>
        <v>67.650000000000006</v>
      </c>
      <c r="AF25" s="181">
        <v>61.5</v>
      </c>
      <c r="AG25" s="167">
        <f t="shared" si="3"/>
        <v>67.650000000000006</v>
      </c>
      <c r="AH25" s="76">
        <f t="shared" si="4"/>
        <v>73.8</v>
      </c>
      <c r="AI25" s="76">
        <f t="shared" si="5"/>
        <v>92.25</v>
      </c>
      <c r="AJ25" s="76">
        <f t="shared" si="6"/>
        <v>64.575000000000003</v>
      </c>
      <c r="AK25" s="76">
        <f t="shared" si="7"/>
        <v>76.875</v>
      </c>
    </row>
    <row r="26" spans="1:37" ht="24" customHeight="1">
      <c r="A26" s="175">
        <f t="shared" si="8"/>
        <v>17</v>
      </c>
      <c r="B26" s="176" t="s">
        <v>665</v>
      </c>
      <c r="C26" s="177">
        <f>AE28</f>
        <v>28.05</v>
      </c>
      <c r="D26" s="176" t="s">
        <v>666</v>
      </c>
      <c r="H26" s="162" t="s">
        <v>534</v>
      </c>
      <c r="N26" s="154" t="s">
        <v>589</v>
      </c>
      <c r="O26" s="154" t="s">
        <v>590</v>
      </c>
      <c r="P26" s="154" t="s">
        <v>22</v>
      </c>
      <c r="Q26" s="154" t="s">
        <v>589</v>
      </c>
      <c r="R26" s="167">
        <v>0</v>
      </c>
      <c r="T26" s="155" t="s">
        <v>667</v>
      </c>
      <c r="U26" s="154" t="s">
        <v>668</v>
      </c>
      <c r="V26" s="154" t="s">
        <v>572</v>
      </c>
      <c r="W26" s="180" t="s">
        <v>657</v>
      </c>
      <c r="X26" s="76">
        <f>X25</f>
        <v>0</v>
      </c>
      <c r="Y26" s="172">
        <v>111600</v>
      </c>
      <c r="Z26" s="76">
        <f>'[3]lead  charge'!Q12</f>
        <v>0</v>
      </c>
      <c r="AA26" s="160"/>
      <c r="AB26" s="158">
        <v>0</v>
      </c>
      <c r="AC26" s="154">
        <f>SUM(Y26+Z26+AA26+AB26)</f>
        <v>111600</v>
      </c>
      <c r="AD26" s="154" t="s">
        <v>669</v>
      </c>
      <c r="AE26" s="173">
        <f t="shared" si="2"/>
        <v>50.160000000000004</v>
      </c>
      <c r="AF26" s="181">
        <v>45.6</v>
      </c>
      <c r="AG26" s="167">
        <f t="shared" si="3"/>
        <v>50.160000000000004</v>
      </c>
      <c r="AH26" s="76">
        <f t="shared" si="4"/>
        <v>54.72</v>
      </c>
      <c r="AI26" s="76">
        <f t="shared" si="5"/>
        <v>68.400000000000006</v>
      </c>
      <c r="AJ26" s="76">
        <f t="shared" si="6"/>
        <v>47.88</v>
      </c>
      <c r="AK26" s="76">
        <f t="shared" si="7"/>
        <v>57</v>
      </c>
    </row>
    <row r="27" spans="1:37" ht="24" customHeight="1">
      <c r="A27" s="175">
        <f t="shared" si="8"/>
        <v>18</v>
      </c>
      <c r="B27" s="176" t="s">
        <v>670</v>
      </c>
      <c r="C27" s="177">
        <f>AE27</f>
        <v>24.64</v>
      </c>
      <c r="D27" s="176" t="s">
        <v>666</v>
      </c>
      <c r="E27" s="76">
        <f>(59.3+83+95)/3</f>
        <v>79.100000000000009</v>
      </c>
      <c r="F27" s="167">
        <v>0.48</v>
      </c>
      <c r="G27" s="165" t="s">
        <v>567</v>
      </c>
      <c r="H27" s="154" t="s">
        <v>568</v>
      </c>
      <c r="I27" s="167">
        <f>(C67)</f>
        <v>5750</v>
      </c>
      <c r="J27" s="154" t="s">
        <v>567</v>
      </c>
      <c r="K27" s="167">
        <f>(F27*I27)</f>
        <v>2760</v>
      </c>
      <c r="R27" s="162" t="s">
        <v>534</v>
      </c>
      <c r="T27" s="155" t="s">
        <v>671</v>
      </c>
      <c r="U27" s="154" t="s">
        <v>672</v>
      </c>
      <c r="V27" s="154" t="s">
        <v>572</v>
      </c>
      <c r="W27" s="180" t="s">
        <v>657</v>
      </c>
      <c r="X27" s="76">
        <f>X26</f>
        <v>0</v>
      </c>
      <c r="Y27" s="172">
        <v>99400</v>
      </c>
      <c r="Z27" s="76">
        <f>Z26</f>
        <v>0</v>
      </c>
      <c r="AA27" s="160"/>
      <c r="AB27" s="158">
        <v>0</v>
      </c>
      <c r="AC27" s="154">
        <f>SUM(Y27+Z27+AA27+AB27)</f>
        <v>99400</v>
      </c>
      <c r="AD27" s="154" t="s">
        <v>673</v>
      </c>
      <c r="AE27" s="173">
        <f t="shared" si="2"/>
        <v>24.64</v>
      </c>
      <c r="AF27" s="174">
        <v>22.4</v>
      </c>
      <c r="AG27" s="167">
        <f t="shared" si="3"/>
        <v>24.64</v>
      </c>
      <c r="AH27" s="76">
        <f t="shared" si="4"/>
        <v>26.88</v>
      </c>
      <c r="AI27" s="76">
        <f t="shared" si="5"/>
        <v>33.599999999999994</v>
      </c>
      <c r="AJ27" s="76">
        <f t="shared" si="6"/>
        <v>23.52</v>
      </c>
      <c r="AK27" s="76">
        <f t="shared" si="7"/>
        <v>28</v>
      </c>
    </row>
    <row r="28" spans="1:37" ht="24" customHeight="1">
      <c r="A28" s="175">
        <f t="shared" si="8"/>
        <v>19</v>
      </c>
      <c r="B28" s="176" t="s">
        <v>674</v>
      </c>
      <c r="C28" s="183">
        <v>84</v>
      </c>
      <c r="D28" s="176" t="s">
        <v>589</v>
      </c>
      <c r="E28" s="76">
        <v>226.12</v>
      </c>
      <c r="F28" s="167">
        <v>1</v>
      </c>
      <c r="G28" s="165" t="s">
        <v>577</v>
      </c>
      <c r="H28" s="154" t="s">
        <v>578</v>
      </c>
      <c r="I28" s="167">
        <f>(C78)</f>
        <v>1514.4</v>
      </c>
      <c r="J28" s="154" t="s">
        <v>577</v>
      </c>
      <c r="K28" s="167">
        <f>(F28*I28)</f>
        <v>1514.4</v>
      </c>
      <c r="O28" s="154" t="s">
        <v>675</v>
      </c>
      <c r="R28" s="167">
        <f>SUM(R22:R26)</f>
        <v>2683.2650000000003</v>
      </c>
      <c r="T28" s="155" t="s">
        <v>676</v>
      </c>
      <c r="U28" s="154" t="s">
        <v>677</v>
      </c>
      <c r="V28" s="154" t="s">
        <v>572</v>
      </c>
      <c r="W28" s="180" t="s">
        <v>657</v>
      </c>
      <c r="X28" s="76">
        <f>X27</f>
        <v>0</v>
      </c>
      <c r="Y28" s="172">
        <v>95000</v>
      </c>
      <c r="Z28" s="76">
        <f>Z27</f>
        <v>0</v>
      </c>
      <c r="AA28" s="160"/>
      <c r="AB28" s="158">
        <v>0</v>
      </c>
      <c r="AC28" s="154">
        <f>SUM(Y28+Z28+AA28+AB28)</f>
        <v>95000</v>
      </c>
      <c r="AD28" s="154" t="s">
        <v>678</v>
      </c>
      <c r="AE28" s="173">
        <f t="shared" si="2"/>
        <v>28.05</v>
      </c>
      <c r="AF28" s="174">
        <v>25.5</v>
      </c>
      <c r="AG28" s="167">
        <f t="shared" si="3"/>
        <v>28.05</v>
      </c>
      <c r="AH28" s="76">
        <f t="shared" si="4"/>
        <v>30.599999999999998</v>
      </c>
      <c r="AI28" s="76">
        <f t="shared" si="5"/>
        <v>38.25</v>
      </c>
      <c r="AJ28" s="76">
        <f t="shared" si="6"/>
        <v>26.775000000000002</v>
      </c>
      <c r="AK28" s="76">
        <f t="shared" si="7"/>
        <v>31.875</v>
      </c>
    </row>
    <row r="29" spans="1:37" ht="24" customHeight="1">
      <c r="A29" s="175">
        <f t="shared" si="8"/>
        <v>20</v>
      </c>
      <c r="B29" s="176" t="s">
        <v>679</v>
      </c>
      <c r="C29" s="177">
        <f>AE23</f>
        <v>552.20000000000005</v>
      </c>
      <c r="D29" s="176" t="s">
        <v>680</v>
      </c>
      <c r="E29" s="76">
        <f>E28/3</f>
        <v>75.373333333333335</v>
      </c>
      <c r="F29" s="167">
        <v>1</v>
      </c>
      <c r="G29" s="165" t="s">
        <v>577</v>
      </c>
      <c r="H29" s="154" t="s">
        <v>583</v>
      </c>
      <c r="I29" s="167">
        <f>(C18)</f>
        <v>83.27000000000001</v>
      </c>
      <c r="J29" s="154" t="s">
        <v>577</v>
      </c>
      <c r="K29" s="167">
        <f>(F29*I29)</f>
        <v>83.27000000000001</v>
      </c>
      <c r="R29" s="162" t="s">
        <v>534</v>
      </c>
      <c r="T29" s="155" t="s">
        <v>681</v>
      </c>
      <c r="U29" s="154" t="s">
        <v>682</v>
      </c>
      <c r="V29" s="154" t="s">
        <v>624</v>
      </c>
      <c r="W29" s="167" t="str">
        <f>W18</f>
        <v>Thadagam</v>
      </c>
      <c r="X29" s="167">
        <f>X18</f>
        <v>17</v>
      </c>
      <c r="Y29" s="172">
        <v>4055</v>
      </c>
      <c r="Z29" s="167">
        <f>'[3]lead  charge'!H10</f>
        <v>137.69</v>
      </c>
      <c r="AA29" s="160"/>
      <c r="AB29" s="158">
        <v>0</v>
      </c>
      <c r="AC29" s="154">
        <f>SUM(Y29+Z29+AA29+AB29)</f>
        <v>4192.6899999999996</v>
      </c>
      <c r="AD29" s="154" t="s">
        <v>683</v>
      </c>
      <c r="AE29" s="173">
        <f t="shared" si="2"/>
        <v>80.41</v>
      </c>
      <c r="AF29" s="174">
        <v>73.099999999999994</v>
      </c>
      <c r="AG29" s="167">
        <f t="shared" si="3"/>
        <v>80.41</v>
      </c>
      <c r="AH29" s="76">
        <f t="shared" si="4"/>
        <v>87.719999999999985</v>
      </c>
      <c r="AI29" s="76">
        <f t="shared" si="5"/>
        <v>109.64999999999999</v>
      </c>
      <c r="AJ29" s="76">
        <f t="shared" si="6"/>
        <v>76.754999999999995</v>
      </c>
      <c r="AK29" s="76">
        <f t="shared" si="7"/>
        <v>91.375</v>
      </c>
    </row>
    <row r="30" spans="1:37" ht="24" customHeight="1">
      <c r="A30" s="175">
        <f t="shared" si="8"/>
        <v>21</v>
      </c>
      <c r="B30" s="176" t="s">
        <v>684</v>
      </c>
      <c r="C30" s="177">
        <f>AE33</f>
        <v>9828.5</v>
      </c>
      <c r="D30" s="184">
        <f>AE31</f>
        <v>921.80000000000007</v>
      </c>
      <c r="G30" s="165" t="s">
        <v>589</v>
      </c>
      <c r="H30" s="154" t="s">
        <v>590</v>
      </c>
      <c r="I30" s="154" t="s">
        <v>22</v>
      </c>
      <c r="J30" s="154" t="s">
        <v>589</v>
      </c>
      <c r="K30" s="167">
        <v>0</v>
      </c>
      <c r="O30" s="154" t="s">
        <v>685</v>
      </c>
      <c r="R30" s="167">
        <f>(R28/1.5)</f>
        <v>1788.8433333333335</v>
      </c>
      <c r="T30" s="155" t="s">
        <v>686</v>
      </c>
      <c r="U30" s="154" t="s">
        <v>687</v>
      </c>
      <c r="V30" s="154" t="s">
        <v>624</v>
      </c>
      <c r="W30" s="180" t="s">
        <v>657</v>
      </c>
      <c r="X30" s="167"/>
      <c r="Y30" s="172">
        <v>11445</v>
      </c>
      <c r="Z30" s="167"/>
      <c r="AA30" s="155"/>
      <c r="AB30" s="158">
        <v>0</v>
      </c>
      <c r="AC30" s="154">
        <f t="shared" si="1"/>
        <v>11445</v>
      </c>
      <c r="AD30" s="154" t="s">
        <v>688</v>
      </c>
      <c r="AE30" s="173">
        <f t="shared" si="2"/>
        <v>1105.5</v>
      </c>
      <c r="AF30" s="181">
        <v>1005</v>
      </c>
      <c r="AG30" s="167">
        <f t="shared" si="3"/>
        <v>1105.5</v>
      </c>
      <c r="AH30" s="76">
        <f t="shared" si="4"/>
        <v>1206</v>
      </c>
      <c r="AI30" s="76">
        <f t="shared" si="5"/>
        <v>1507.5</v>
      </c>
      <c r="AJ30" s="76">
        <f t="shared" si="6"/>
        <v>1055.25</v>
      </c>
      <c r="AK30" s="76">
        <f t="shared" si="7"/>
        <v>1256.25</v>
      </c>
    </row>
    <row r="31" spans="1:37" ht="24" customHeight="1">
      <c r="A31" s="175">
        <f t="shared" si="8"/>
        <v>22</v>
      </c>
      <c r="B31" s="176" t="s">
        <v>689</v>
      </c>
      <c r="C31" s="177">
        <f>AE30</f>
        <v>1105.5</v>
      </c>
      <c r="D31" s="184">
        <f>AE32</f>
        <v>1031.8000000000002</v>
      </c>
      <c r="K31" s="162" t="s">
        <v>534</v>
      </c>
      <c r="O31" s="154" t="s">
        <v>535</v>
      </c>
      <c r="R31" s="162" t="s">
        <v>528</v>
      </c>
      <c r="T31" s="155" t="s">
        <v>690</v>
      </c>
      <c r="U31" s="154" t="s">
        <v>691</v>
      </c>
      <c r="V31" s="154" t="s">
        <v>567</v>
      </c>
      <c r="W31" s="154" t="s">
        <v>657</v>
      </c>
      <c r="X31" s="167">
        <f>'[3]lead  charge'!D14</f>
        <v>0</v>
      </c>
      <c r="Y31" s="172">
        <v>5750</v>
      </c>
      <c r="Z31" s="167">
        <f>'[3]lead  charge'!E14</f>
        <v>0</v>
      </c>
      <c r="AA31" s="155"/>
      <c r="AB31" s="158"/>
      <c r="AC31" s="154">
        <f>SUM(Y31+Z31+AA31+AB31)</f>
        <v>5750</v>
      </c>
      <c r="AD31" s="154" t="s">
        <v>692</v>
      </c>
      <c r="AE31" s="173">
        <f t="shared" si="2"/>
        <v>921.80000000000007</v>
      </c>
      <c r="AF31" s="181">
        <v>838</v>
      </c>
      <c r="AG31" s="167">
        <f t="shared" si="3"/>
        <v>921.80000000000007</v>
      </c>
      <c r="AH31" s="76">
        <f t="shared" si="4"/>
        <v>1005.5999999999999</v>
      </c>
      <c r="AI31" s="76">
        <f t="shared" si="5"/>
        <v>1257</v>
      </c>
      <c r="AJ31" s="76">
        <f t="shared" si="6"/>
        <v>879.90000000000009</v>
      </c>
      <c r="AK31" s="76">
        <f t="shared" si="7"/>
        <v>1047.5</v>
      </c>
    </row>
    <row r="32" spans="1:37" ht="24" customHeight="1">
      <c r="A32" s="175">
        <f t="shared" si="8"/>
        <v>23</v>
      </c>
      <c r="B32" s="176" t="s">
        <v>693</v>
      </c>
      <c r="C32" s="185">
        <v>2.5</v>
      </c>
      <c r="D32" s="177">
        <f>AE34</f>
        <v>862.40000000000009</v>
      </c>
      <c r="H32" s="154" t="s">
        <v>599</v>
      </c>
      <c r="K32" s="166">
        <f>SUM(K27:K30)</f>
        <v>4357.67</v>
      </c>
      <c r="T32" s="155" t="s">
        <v>694</v>
      </c>
      <c r="U32" s="154" t="s">
        <v>695</v>
      </c>
      <c r="V32" s="154" t="s">
        <v>567</v>
      </c>
      <c r="W32" s="154" t="s">
        <v>640</v>
      </c>
      <c r="X32" s="167">
        <f>'[3]lead  charge'!D15</f>
        <v>0</v>
      </c>
      <c r="Y32" s="172">
        <v>45000</v>
      </c>
      <c r="Z32" s="167">
        <f>Z31</f>
        <v>0</v>
      </c>
      <c r="AA32" s="155"/>
      <c r="AB32" s="158">
        <v>0</v>
      </c>
      <c r="AC32" s="186">
        <f>SUM(Y32+Z32+AA32+AB32)</f>
        <v>45000</v>
      </c>
      <c r="AD32" s="154" t="s">
        <v>696</v>
      </c>
      <c r="AE32" s="173">
        <f t="shared" si="2"/>
        <v>1031.8000000000002</v>
      </c>
      <c r="AF32" s="181">
        <v>938</v>
      </c>
      <c r="AG32" s="167">
        <f t="shared" si="3"/>
        <v>1031.8000000000002</v>
      </c>
      <c r="AH32" s="76">
        <f t="shared" si="4"/>
        <v>1125.5999999999999</v>
      </c>
      <c r="AI32" s="76">
        <f t="shared" si="5"/>
        <v>1407</v>
      </c>
      <c r="AJ32" s="76">
        <f t="shared" si="6"/>
        <v>984.90000000000009</v>
      </c>
      <c r="AK32" s="76">
        <f t="shared" si="7"/>
        <v>1172.5</v>
      </c>
    </row>
    <row r="33" spans="1:37" ht="24" customHeight="1">
      <c r="A33" s="175">
        <f t="shared" si="8"/>
        <v>24</v>
      </c>
      <c r="B33" s="176" t="s">
        <v>697</v>
      </c>
      <c r="C33" s="185">
        <v>3.64</v>
      </c>
      <c r="D33" s="177">
        <f>AE35</f>
        <v>770.00000000000011</v>
      </c>
      <c r="K33" s="162" t="s">
        <v>534</v>
      </c>
      <c r="T33" s="187" t="s">
        <v>698</v>
      </c>
      <c r="U33" s="154" t="s">
        <v>699</v>
      </c>
      <c r="V33" s="154" t="s">
        <v>567</v>
      </c>
      <c r="W33" s="154" t="s">
        <v>640</v>
      </c>
      <c r="X33" s="167">
        <f>X32</f>
        <v>0</v>
      </c>
      <c r="Y33" s="172">
        <f>Y32</f>
        <v>45000</v>
      </c>
      <c r="Z33" s="167">
        <f>Z32</f>
        <v>0</v>
      </c>
      <c r="AA33" s="155"/>
      <c r="AB33" s="158">
        <v>0</v>
      </c>
      <c r="AC33" s="186">
        <f t="shared" si="1"/>
        <v>45000</v>
      </c>
      <c r="AD33" s="154" t="s">
        <v>700</v>
      </c>
      <c r="AE33" s="173">
        <f t="shared" si="2"/>
        <v>9828.5</v>
      </c>
      <c r="AF33" s="181">
        <v>8935</v>
      </c>
      <c r="AG33" s="167">
        <f t="shared" si="3"/>
        <v>9828.5</v>
      </c>
      <c r="AH33" s="76">
        <f t="shared" si="4"/>
        <v>10722</v>
      </c>
      <c r="AI33" s="76">
        <f t="shared" si="5"/>
        <v>13402.5</v>
      </c>
      <c r="AJ33" s="76">
        <f t="shared" si="6"/>
        <v>9381.75</v>
      </c>
      <c r="AK33" s="76">
        <f t="shared" si="7"/>
        <v>11168.75</v>
      </c>
    </row>
    <row r="34" spans="1:37" ht="24" customHeight="1">
      <c r="A34" s="175">
        <f t="shared" si="8"/>
        <v>25</v>
      </c>
      <c r="B34" s="176" t="s">
        <v>701</v>
      </c>
      <c r="C34" s="172">
        <v>41200</v>
      </c>
      <c r="D34" s="172">
        <f>C34</f>
        <v>41200</v>
      </c>
      <c r="G34" s="165" t="s">
        <v>307</v>
      </c>
      <c r="H34" s="154" t="s">
        <v>702</v>
      </c>
      <c r="T34" s="187" t="s">
        <v>703</v>
      </c>
      <c r="U34" s="154" t="s">
        <v>704</v>
      </c>
      <c r="V34" s="154" t="s">
        <v>624</v>
      </c>
      <c r="W34" s="167" t="str">
        <f>W18</f>
        <v>Thadagam</v>
      </c>
      <c r="X34" s="167"/>
      <c r="Y34" s="172">
        <f>Y29</f>
        <v>4055</v>
      </c>
      <c r="Z34" s="167">
        <f>Z29</f>
        <v>137.69</v>
      </c>
      <c r="AA34" s="155"/>
      <c r="AB34" s="158">
        <v>0</v>
      </c>
      <c r="AC34" s="154">
        <f t="shared" si="1"/>
        <v>4192.6899999999996</v>
      </c>
      <c r="AD34" s="154" t="s">
        <v>705</v>
      </c>
      <c r="AE34" s="173">
        <f t="shared" si="2"/>
        <v>862.40000000000009</v>
      </c>
      <c r="AF34" s="181">
        <v>784</v>
      </c>
      <c r="AG34" s="167">
        <f t="shared" si="3"/>
        <v>862.40000000000009</v>
      </c>
      <c r="AH34" s="76">
        <f t="shared" si="4"/>
        <v>940.8</v>
      </c>
      <c r="AI34" s="76">
        <f t="shared" si="5"/>
        <v>1176</v>
      </c>
      <c r="AJ34" s="76">
        <f t="shared" si="6"/>
        <v>823.2</v>
      </c>
      <c r="AK34" s="76">
        <f t="shared" si="7"/>
        <v>980</v>
      </c>
    </row>
    <row r="35" spans="1:37" ht="24" customHeight="1">
      <c r="A35" s="175">
        <f t="shared" si="8"/>
        <v>26</v>
      </c>
      <c r="B35" s="176" t="s">
        <v>706</v>
      </c>
      <c r="C35" s="177">
        <f>AC38</f>
        <v>346.88</v>
      </c>
      <c r="D35" s="188"/>
      <c r="F35" s="167">
        <v>0.36</v>
      </c>
      <c r="G35" s="165" t="s">
        <v>567</v>
      </c>
      <c r="H35" s="154" t="s">
        <v>568</v>
      </c>
      <c r="I35" s="167">
        <f>C67</f>
        <v>5750</v>
      </c>
      <c r="J35" s="154" t="s">
        <v>567</v>
      </c>
      <c r="K35" s="167">
        <f>(F35*I35)</f>
        <v>2070</v>
      </c>
      <c r="T35" s="155" t="s">
        <v>707</v>
      </c>
      <c r="U35" s="189" t="s">
        <v>708</v>
      </c>
      <c r="V35" s="154" t="s">
        <v>572</v>
      </c>
      <c r="W35" s="154" t="str">
        <f>W11</f>
        <v>Madukkarai</v>
      </c>
      <c r="X35" s="167">
        <f>X11</f>
        <v>14</v>
      </c>
      <c r="Y35" s="190">
        <v>800</v>
      </c>
      <c r="Z35" s="191">
        <f>Z11</f>
        <v>136.88</v>
      </c>
      <c r="AA35" s="155"/>
      <c r="AB35" s="158"/>
      <c r="AC35" s="154">
        <f t="shared" si="1"/>
        <v>936.88</v>
      </c>
      <c r="AD35" s="154" t="s">
        <v>709</v>
      </c>
      <c r="AE35" s="173">
        <f t="shared" si="2"/>
        <v>770.00000000000011</v>
      </c>
      <c r="AF35" s="181">
        <v>700</v>
      </c>
      <c r="AG35" s="167">
        <f t="shared" si="3"/>
        <v>770.00000000000011</v>
      </c>
      <c r="AH35" s="76">
        <f t="shared" si="4"/>
        <v>840</v>
      </c>
      <c r="AI35" s="76">
        <f t="shared" si="5"/>
        <v>1050</v>
      </c>
      <c r="AJ35" s="76">
        <f t="shared" si="6"/>
        <v>735</v>
      </c>
      <c r="AK35" s="76">
        <f t="shared" si="7"/>
        <v>875</v>
      </c>
    </row>
    <row r="36" spans="1:37" ht="24" customHeight="1">
      <c r="A36" s="188"/>
      <c r="B36" s="176" t="s">
        <v>710</v>
      </c>
      <c r="C36" s="172">
        <v>7.1</v>
      </c>
      <c r="D36" s="188"/>
      <c r="F36" s="167">
        <v>1</v>
      </c>
      <c r="G36" s="165" t="s">
        <v>577</v>
      </c>
      <c r="H36" s="154" t="s">
        <v>578</v>
      </c>
      <c r="I36" s="167">
        <f>AC16</f>
        <v>1514.4</v>
      </c>
      <c r="J36" s="154" t="s">
        <v>577</v>
      </c>
      <c r="K36" s="167">
        <f>(F36*I36)</f>
        <v>1514.4</v>
      </c>
      <c r="T36" s="155" t="s">
        <v>711</v>
      </c>
      <c r="U36" s="189" t="s">
        <v>712</v>
      </c>
      <c r="V36" s="154" t="s">
        <v>572</v>
      </c>
      <c r="W36" s="154" t="str">
        <f>W12</f>
        <v>Madukkarai</v>
      </c>
      <c r="X36" s="167">
        <f>X11</f>
        <v>14</v>
      </c>
      <c r="Y36" s="190">
        <v>901.5</v>
      </c>
      <c r="Z36" s="191">
        <f>Z11</f>
        <v>136.88</v>
      </c>
      <c r="AA36" s="155"/>
      <c r="AB36" s="158">
        <v>0</v>
      </c>
      <c r="AC36" s="154">
        <f t="shared" si="1"/>
        <v>1038.3800000000001</v>
      </c>
      <c r="AD36" s="154" t="s">
        <v>713</v>
      </c>
      <c r="AE36" s="173">
        <f t="shared" si="2"/>
        <v>119.79000000000002</v>
      </c>
      <c r="AF36" s="174">
        <v>108.9</v>
      </c>
      <c r="AG36" s="167">
        <f t="shared" si="3"/>
        <v>119.79000000000002</v>
      </c>
      <c r="AH36" s="76">
        <f t="shared" si="4"/>
        <v>130.68</v>
      </c>
      <c r="AI36" s="76">
        <f t="shared" si="5"/>
        <v>163.35000000000002</v>
      </c>
      <c r="AJ36" s="76">
        <f t="shared" si="6"/>
        <v>114.34500000000001</v>
      </c>
      <c r="AK36" s="76">
        <f t="shared" si="7"/>
        <v>136.125</v>
      </c>
    </row>
    <row r="37" spans="1:37" ht="24" customHeight="1">
      <c r="A37" s="188"/>
      <c r="B37" s="176" t="s">
        <v>714</v>
      </c>
      <c r="C37" s="192">
        <v>36.200000000000003</v>
      </c>
      <c r="D37" s="188"/>
      <c r="F37" s="167">
        <v>1</v>
      </c>
      <c r="G37" s="165" t="s">
        <v>577</v>
      </c>
      <c r="H37" s="154" t="s">
        <v>583</v>
      </c>
      <c r="I37" s="167">
        <f>C18</f>
        <v>83.27000000000001</v>
      </c>
      <c r="J37" s="154" t="s">
        <v>577</v>
      </c>
      <c r="K37" s="167">
        <f>(F37*I37)</f>
        <v>83.27000000000001</v>
      </c>
      <c r="T37" s="155" t="s">
        <v>715</v>
      </c>
      <c r="U37" s="189" t="s">
        <v>716</v>
      </c>
      <c r="V37" s="154" t="s">
        <v>572</v>
      </c>
      <c r="W37" s="154" t="str">
        <f>W13</f>
        <v>Madukkarai</v>
      </c>
      <c r="X37" s="167">
        <f>X10</f>
        <v>14</v>
      </c>
      <c r="Y37" s="190">
        <v>762.5</v>
      </c>
      <c r="Z37" s="191">
        <f>Z11</f>
        <v>136.88</v>
      </c>
      <c r="AA37" s="155"/>
      <c r="AB37" s="158">
        <v>0</v>
      </c>
      <c r="AC37" s="154">
        <f>SUM(Y37+Z37+AA37+AB37)</f>
        <v>899.38</v>
      </c>
      <c r="AD37" s="154" t="s">
        <v>717</v>
      </c>
      <c r="AE37" s="173">
        <f t="shared" si="2"/>
        <v>603.90000000000009</v>
      </c>
      <c r="AF37" s="174">
        <v>549</v>
      </c>
      <c r="AG37" s="167">
        <f t="shared" si="3"/>
        <v>603.90000000000009</v>
      </c>
      <c r="AH37" s="76">
        <f t="shared" si="4"/>
        <v>658.8</v>
      </c>
      <c r="AI37" s="76">
        <f t="shared" si="5"/>
        <v>823.5</v>
      </c>
      <c r="AJ37" s="76">
        <f t="shared" si="6"/>
        <v>576.45000000000005</v>
      </c>
      <c r="AK37" s="76">
        <f t="shared" si="7"/>
        <v>686.25</v>
      </c>
    </row>
    <row r="38" spans="1:37" ht="24" customHeight="1">
      <c r="A38" s="175">
        <f>(A35+1)</f>
        <v>27</v>
      </c>
      <c r="B38" s="176" t="s">
        <v>718</v>
      </c>
      <c r="C38" s="185">
        <v>40</v>
      </c>
      <c r="D38" s="176" t="s">
        <v>576</v>
      </c>
      <c r="G38" s="165" t="s">
        <v>589</v>
      </c>
      <c r="H38" s="154" t="s">
        <v>590</v>
      </c>
      <c r="I38" s="154" t="s">
        <v>22</v>
      </c>
      <c r="J38" s="154" t="s">
        <v>589</v>
      </c>
      <c r="K38" s="167">
        <v>0</v>
      </c>
      <c r="T38" s="155" t="s">
        <v>719</v>
      </c>
      <c r="U38" s="154" t="s">
        <v>720</v>
      </c>
      <c r="V38" s="154" t="s">
        <v>572</v>
      </c>
      <c r="W38" s="154" t="str">
        <f>W14</f>
        <v>Madukkarai</v>
      </c>
      <c r="X38" s="167">
        <f>'[3]lead  charge'!D13</f>
        <v>14</v>
      </c>
      <c r="Y38" s="193">
        <v>210</v>
      </c>
      <c r="Z38" s="191">
        <f>'[3]lead  charge'!E13</f>
        <v>136.88</v>
      </c>
      <c r="AA38" s="155"/>
      <c r="AB38" s="158">
        <v>0</v>
      </c>
      <c r="AC38" s="154">
        <f>SUM(Y38+Z38+AA38+AB38)</f>
        <v>346.88</v>
      </c>
      <c r="AD38" s="154" t="s">
        <v>721</v>
      </c>
      <c r="AE38" s="173">
        <f t="shared" si="2"/>
        <v>622.6</v>
      </c>
      <c r="AF38" s="174">
        <v>566</v>
      </c>
      <c r="AG38" s="167">
        <f t="shared" si="3"/>
        <v>622.6</v>
      </c>
      <c r="AH38" s="76">
        <f t="shared" si="4"/>
        <v>679.19999999999993</v>
      </c>
      <c r="AI38" s="76">
        <f t="shared" si="5"/>
        <v>849</v>
      </c>
      <c r="AJ38" s="76">
        <f t="shared" si="6"/>
        <v>594.30000000000007</v>
      </c>
      <c r="AK38" s="76">
        <f t="shared" si="7"/>
        <v>707.5</v>
      </c>
    </row>
    <row r="39" spans="1:37" ht="24" customHeight="1">
      <c r="A39" s="175">
        <f t="shared" ref="A39:A58" si="9">(A38+1)</f>
        <v>28</v>
      </c>
      <c r="B39" s="176" t="s">
        <v>722</v>
      </c>
      <c r="C39" s="185">
        <v>41</v>
      </c>
      <c r="D39" s="177">
        <v>500</v>
      </c>
      <c r="K39" s="162" t="s">
        <v>534</v>
      </c>
      <c r="T39" s="155">
        <v>31</v>
      </c>
      <c r="U39" s="154" t="s">
        <v>723</v>
      </c>
      <c r="V39" s="154" t="s">
        <v>572</v>
      </c>
      <c r="W39" s="154" t="str">
        <f>W15</f>
        <v>Madukkarai</v>
      </c>
      <c r="X39" s="167">
        <f>'[3]lead  charge'!D16</f>
        <v>14</v>
      </c>
      <c r="Y39" s="194">
        <v>157</v>
      </c>
      <c r="Z39" s="167">
        <f>'[3]lead  charge'!E16</f>
        <v>136.88</v>
      </c>
      <c r="AA39" s="155"/>
      <c r="AB39" s="158">
        <v>0</v>
      </c>
      <c r="AC39" s="154">
        <f>SUM(Y39+Z39+AA39+AB39)</f>
        <v>293.88</v>
      </c>
      <c r="AD39" s="154" t="s">
        <v>724</v>
      </c>
      <c r="AE39" s="173">
        <f t="shared" si="2"/>
        <v>53.68</v>
      </c>
      <c r="AF39" s="174">
        <v>48.8</v>
      </c>
      <c r="AG39" s="167">
        <f t="shared" si="3"/>
        <v>53.68</v>
      </c>
      <c r="AH39" s="76">
        <f t="shared" si="4"/>
        <v>58.559999999999995</v>
      </c>
      <c r="AI39" s="76">
        <f t="shared" si="5"/>
        <v>73.199999999999989</v>
      </c>
      <c r="AJ39" s="76">
        <f t="shared" si="6"/>
        <v>51.24</v>
      </c>
      <c r="AK39" s="76">
        <f t="shared" si="7"/>
        <v>61</v>
      </c>
    </row>
    <row r="40" spans="1:37" ht="24" customHeight="1">
      <c r="A40" s="175">
        <f t="shared" si="9"/>
        <v>29</v>
      </c>
      <c r="B40" s="176" t="s">
        <v>725</v>
      </c>
      <c r="C40" s="185">
        <v>28</v>
      </c>
      <c r="D40" s="195">
        <v>116.2</v>
      </c>
      <c r="H40" s="154" t="s">
        <v>599</v>
      </c>
      <c r="K40" s="166">
        <f>SUM(K35:K38)</f>
        <v>3667.67</v>
      </c>
      <c r="T40" s="162" t="s">
        <v>534</v>
      </c>
      <c r="U40" s="162" t="s">
        <v>534</v>
      </c>
      <c r="V40" s="162" t="s">
        <v>534</v>
      </c>
      <c r="W40" s="162" t="s">
        <v>534</v>
      </c>
      <c r="X40" s="162" t="s">
        <v>534</v>
      </c>
      <c r="Y40" s="162" t="s">
        <v>534</v>
      </c>
      <c r="Z40" s="162" t="s">
        <v>534</v>
      </c>
      <c r="AA40" s="162" t="s">
        <v>534</v>
      </c>
      <c r="AB40" s="162" t="s">
        <v>534</v>
      </c>
      <c r="AC40" s="162" t="s">
        <v>534</v>
      </c>
      <c r="AD40" s="162" t="s">
        <v>534</v>
      </c>
      <c r="AE40" s="173">
        <f t="shared" si="2"/>
        <v>0</v>
      </c>
      <c r="AF40" s="196" t="s">
        <v>534</v>
      </c>
      <c r="AG40" s="167">
        <f t="shared" si="3"/>
        <v>0</v>
      </c>
      <c r="AH40" s="76">
        <f t="shared" si="4"/>
        <v>0</v>
      </c>
      <c r="AI40" s="76">
        <f t="shared" si="5"/>
        <v>0</v>
      </c>
      <c r="AJ40" s="76">
        <f t="shared" si="6"/>
        <v>0</v>
      </c>
      <c r="AK40" s="76">
        <f t="shared" si="7"/>
        <v>0</v>
      </c>
    </row>
    <row r="41" spans="1:37" ht="24" customHeight="1">
      <c r="A41" s="175">
        <f t="shared" si="9"/>
        <v>30</v>
      </c>
      <c r="B41" s="176" t="s">
        <v>726</v>
      </c>
      <c r="C41" s="177">
        <f>AE22</f>
        <v>531.30000000000007</v>
      </c>
      <c r="D41" s="176" t="s">
        <v>680</v>
      </c>
      <c r="K41" s="162" t="s">
        <v>534</v>
      </c>
      <c r="U41" s="154" t="s">
        <v>727</v>
      </c>
      <c r="V41" s="154" t="s">
        <v>624</v>
      </c>
      <c r="W41" s="154" t="str">
        <f>+W18</f>
        <v>Thadagam</v>
      </c>
      <c r="X41" s="167">
        <f>'[3]lead  charge'!M10</f>
        <v>17</v>
      </c>
      <c r="Y41" s="172">
        <v>6220</v>
      </c>
      <c r="Z41" s="167">
        <f>'[3]lead  charge'!N10</f>
        <v>229.19</v>
      </c>
      <c r="AA41" s="155">
        <v>0</v>
      </c>
      <c r="AB41" s="158">
        <v>0</v>
      </c>
      <c r="AC41" s="154">
        <f t="shared" ref="AC41:AC47" si="10">SUM(Y41+Z41+AA41+AB41)</f>
        <v>6449.19</v>
      </c>
      <c r="AE41" s="173">
        <f t="shared" si="2"/>
        <v>0</v>
      </c>
      <c r="AG41" s="167">
        <f t="shared" si="3"/>
        <v>0</v>
      </c>
      <c r="AH41" s="76">
        <f t="shared" si="4"/>
        <v>0</v>
      </c>
      <c r="AI41" s="76">
        <f t="shared" si="5"/>
        <v>0</v>
      </c>
      <c r="AJ41" s="76">
        <f t="shared" si="6"/>
        <v>0</v>
      </c>
      <c r="AK41" s="76">
        <f t="shared" si="7"/>
        <v>0</v>
      </c>
    </row>
    <row r="42" spans="1:37" ht="24" customHeight="1">
      <c r="A42" s="175">
        <f t="shared" si="9"/>
        <v>31</v>
      </c>
      <c r="B42" s="176" t="s">
        <v>728</v>
      </c>
      <c r="C42" s="185">
        <v>5</v>
      </c>
      <c r="D42" s="197" t="s">
        <v>410</v>
      </c>
      <c r="G42" s="165" t="s">
        <v>307</v>
      </c>
      <c r="H42" s="154" t="s">
        <v>729</v>
      </c>
      <c r="U42" s="154" t="s">
        <v>730</v>
      </c>
      <c r="V42" s="154" t="s">
        <v>624</v>
      </c>
      <c r="W42" s="154" t="str">
        <f>+W41</f>
        <v>Thadagam</v>
      </c>
      <c r="X42" s="167">
        <f>X41</f>
        <v>17</v>
      </c>
      <c r="Y42" s="172">
        <v>6405</v>
      </c>
      <c r="Z42" s="167">
        <f>Z41</f>
        <v>229.19</v>
      </c>
      <c r="AA42" s="155">
        <v>0</v>
      </c>
      <c r="AB42" s="158">
        <v>0</v>
      </c>
      <c r="AC42" s="154">
        <f t="shared" si="10"/>
        <v>6634.19</v>
      </c>
      <c r="AE42" s="173">
        <f t="shared" si="2"/>
        <v>0</v>
      </c>
      <c r="AG42" s="167">
        <f t="shared" si="3"/>
        <v>0</v>
      </c>
      <c r="AH42" s="76">
        <f t="shared" si="4"/>
        <v>0</v>
      </c>
      <c r="AI42" s="76">
        <f t="shared" si="5"/>
        <v>0</v>
      </c>
      <c r="AJ42" s="76">
        <f t="shared" si="6"/>
        <v>0</v>
      </c>
      <c r="AK42" s="76">
        <f t="shared" si="7"/>
        <v>0</v>
      </c>
    </row>
    <row r="43" spans="1:37" ht="24" customHeight="1">
      <c r="A43" s="175">
        <f t="shared" si="9"/>
        <v>32</v>
      </c>
      <c r="B43" s="176" t="s">
        <v>731</v>
      </c>
      <c r="C43" s="172">
        <v>6.2</v>
      </c>
      <c r="D43" s="197" t="s">
        <v>680</v>
      </c>
      <c r="H43" s="162" t="s">
        <v>534</v>
      </c>
      <c r="U43" s="154" t="s">
        <v>732</v>
      </c>
      <c r="V43" s="154" t="s">
        <v>238</v>
      </c>
      <c r="X43" s="76">
        <f>'[3]lead  charge'!P13</f>
        <v>0</v>
      </c>
      <c r="Y43" s="172">
        <v>119</v>
      </c>
      <c r="Z43" s="167">
        <f>'[3]lead  charge'!Q13</f>
        <v>0</v>
      </c>
      <c r="AA43" s="155">
        <v>0</v>
      </c>
      <c r="AB43" s="158">
        <v>0</v>
      </c>
      <c r="AC43" s="154">
        <f t="shared" si="10"/>
        <v>119</v>
      </c>
      <c r="AE43" s="173">
        <f t="shared" si="2"/>
        <v>0</v>
      </c>
      <c r="AG43" s="167">
        <f t="shared" si="3"/>
        <v>0</v>
      </c>
      <c r="AH43" s="76">
        <f t="shared" si="4"/>
        <v>0</v>
      </c>
      <c r="AI43" s="76">
        <f t="shared" si="5"/>
        <v>0</v>
      </c>
      <c r="AJ43" s="76">
        <f t="shared" si="6"/>
        <v>0</v>
      </c>
      <c r="AK43" s="76">
        <f t="shared" si="7"/>
        <v>0</v>
      </c>
    </row>
    <row r="44" spans="1:37" ht="24" customHeight="1">
      <c r="A44" s="175">
        <f t="shared" si="9"/>
        <v>33</v>
      </c>
      <c r="B44" s="176" t="s">
        <v>733</v>
      </c>
      <c r="C44" s="172">
        <v>6.2</v>
      </c>
      <c r="D44" s="197" t="s">
        <v>680</v>
      </c>
      <c r="F44" s="198">
        <v>0.28799999999999998</v>
      </c>
      <c r="G44" s="165" t="s">
        <v>567</v>
      </c>
      <c r="H44" s="154" t="s">
        <v>568</v>
      </c>
      <c r="I44" s="167">
        <f>(C67)</f>
        <v>5750</v>
      </c>
      <c r="J44" s="154" t="s">
        <v>567</v>
      </c>
      <c r="K44" s="167">
        <f>(F44*I44)</f>
        <v>1655.9999999999998</v>
      </c>
      <c r="U44" s="154" t="s">
        <v>734</v>
      </c>
      <c r="V44" s="154" t="s">
        <v>238</v>
      </c>
      <c r="X44" s="76">
        <f>X11</f>
        <v>14</v>
      </c>
      <c r="Y44" s="172">
        <v>780.5</v>
      </c>
      <c r="Z44" s="167">
        <f>Z11</f>
        <v>136.88</v>
      </c>
      <c r="AA44" s="155">
        <v>0</v>
      </c>
      <c r="AB44" s="158">
        <v>0</v>
      </c>
      <c r="AC44" s="154">
        <f t="shared" si="10"/>
        <v>917.38</v>
      </c>
      <c r="AE44" s="173">
        <f t="shared" si="2"/>
        <v>0</v>
      </c>
      <c r="AG44" s="167">
        <f t="shared" si="3"/>
        <v>0</v>
      </c>
      <c r="AH44" s="76">
        <f t="shared" si="4"/>
        <v>0</v>
      </c>
      <c r="AI44" s="76">
        <f t="shared" si="5"/>
        <v>0</v>
      </c>
      <c r="AJ44" s="76">
        <f t="shared" si="6"/>
        <v>0</v>
      </c>
      <c r="AK44" s="76">
        <f t="shared" si="7"/>
        <v>0</v>
      </c>
    </row>
    <row r="45" spans="1:37" ht="24" customHeight="1">
      <c r="A45" s="175">
        <f t="shared" si="9"/>
        <v>34</v>
      </c>
      <c r="B45" s="176" t="s">
        <v>735</v>
      </c>
      <c r="C45" s="172">
        <v>7.4</v>
      </c>
      <c r="D45" s="197" t="s">
        <v>680</v>
      </c>
      <c r="F45" s="167">
        <v>1</v>
      </c>
      <c r="G45" s="165" t="s">
        <v>577</v>
      </c>
      <c r="H45" s="154" t="s">
        <v>578</v>
      </c>
      <c r="I45" s="167">
        <f>I36</f>
        <v>1514.4</v>
      </c>
      <c r="J45" s="154" t="s">
        <v>577</v>
      </c>
      <c r="K45" s="167">
        <f>(F45*I45)</f>
        <v>1514.4</v>
      </c>
      <c r="U45" s="154" t="s">
        <v>736</v>
      </c>
      <c r="X45" s="76">
        <f>'[3]lead  charge'!M10</f>
        <v>17</v>
      </c>
      <c r="Y45" s="172">
        <v>6220</v>
      </c>
      <c r="Z45" s="76">
        <f>Z41</f>
        <v>229.19</v>
      </c>
      <c r="AC45" s="154">
        <f t="shared" si="10"/>
        <v>6449.19</v>
      </c>
      <c r="AE45" s="173">
        <f t="shared" si="2"/>
        <v>0</v>
      </c>
      <c r="AG45" s="167">
        <f t="shared" si="3"/>
        <v>0</v>
      </c>
      <c r="AH45" s="76">
        <f t="shared" si="4"/>
        <v>0</v>
      </c>
      <c r="AI45" s="76">
        <f t="shared" si="5"/>
        <v>0</v>
      </c>
      <c r="AK45" s="76">
        <f t="shared" si="7"/>
        <v>0</v>
      </c>
    </row>
    <row r="46" spans="1:37" ht="24" customHeight="1">
      <c r="A46" s="175">
        <f t="shared" si="9"/>
        <v>35</v>
      </c>
      <c r="B46" s="176" t="s">
        <v>737</v>
      </c>
      <c r="C46" s="172">
        <v>8.9</v>
      </c>
      <c r="D46" s="197" t="s">
        <v>680</v>
      </c>
      <c r="F46" s="167">
        <v>1</v>
      </c>
      <c r="G46" s="165" t="s">
        <v>577</v>
      </c>
      <c r="H46" s="154" t="s">
        <v>583</v>
      </c>
      <c r="I46" s="167">
        <f>(C18)</f>
        <v>83.27000000000001</v>
      </c>
      <c r="J46" s="154" t="s">
        <v>577</v>
      </c>
      <c r="K46" s="167">
        <f>(F46*I46)</f>
        <v>83.27000000000001</v>
      </c>
      <c r="U46" s="154" t="s">
        <v>738</v>
      </c>
      <c r="V46" s="154" t="s">
        <v>572</v>
      </c>
      <c r="W46" s="154" t="s">
        <v>739</v>
      </c>
      <c r="X46" s="167">
        <f>'[3]lead  charge'!D11</f>
        <v>30</v>
      </c>
      <c r="Y46" s="178">
        <v>1250</v>
      </c>
      <c r="Z46" s="167">
        <f>'[3]lead  charge'!E11</f>
        <v>264.39999999999998</v>
      </c>
      <c r="AA46" s="155"/>
      <c r="AB46" s="158">
        <v>0</v>
      </c>
      <c r="AC46" s="154">
        <f t="shared" si="10"/>
        <v>1514.4</v>
      </c>
      <c r="AD46" s="154"/>
      <c r="AE46" s="173">
        <f t="shared" si="2"/>
        <v>503.80000000000007</v>
      </c>
      <c r="AF46" s="174">
        <v>458</v>
      </c>
      <c r="AG46" s="167">
        <f t="shared" si="3"/>
        <v>503.80000000000007</v>
      </c>
      <c r="AH46" s="76">
        <f t="shared" si="4"/>
        <v>549.6</v>
      </c>
      <c r="AI46" s="76">
        <f t="shared" si="5"/>
        <v>687</v>
      </c>
      <c r="AJ46" s="76">
        <f>AF46*1.05</f>
        <v>480.90000000000003</v>
      </c>
      <c r="AK46" s="76">
        <f t="shared" si="7"/>
        <v>572.5</v>
      </c>
    </row>
    <row r="47" spans="1:37" ht="24" customHeight="1">
      <c r="A47" s="175">
        <f t="shared" si="9"/>
        <v>36</v>
      </c>
      <c r="B47" s="176" t="s">
        <v>740</v>
      </c>
      <c r="C47" s="172">
        <v>12</v>
      </c>
      <c r="D47" s="197" t="s">
        <v>680</v>
      </c>
      <c r="G47" s="165" t="s">
        <v>589</v>
      </c>
      <c r="H47" s="154" t="s">
        <v>590</v>
      </c>
      <c r="I47" s="154" t="s">
        <v>22</v>
      </c>
      <c r="J47" s="154" t="s">
        <v>589</v>
      </c>
      <c r="K47" s="167">
        <v>0</v>
      </c>
      <c r="N47" s="154" t="s">
        <v>307</v>
      </c>
      <c r="O47" s="154" t="s">
        <v>741</v>
      </c>
      <c r="U47" s="154" t="s">
        <v>742</v>
      </c>
      <c r="V47" s="154" t="s">
        <v>572</v>
      </c>
      <c r="W47" s="154" t="s">
        <v>739</v>
      </c>
      <c r="X47" s="167">
        <f>X46</f>
        <v>30</v>
      </c>
      <c r="Y47" s="178">
        <f>Y46</f>
        <v>1250</v>
      </c>
      <c r="Z47" s="167">
        <f>Z46</f>
        <v>264.39999999999998</v>
      </c>
      <c r="AA47" s="155"/>
      <c r="AB47" s="158">
        <v>0</v>
      </c>
      <c r="AC47" s="154">
        <f t="shared" si="10"/>
        <v>1514.4</v>
      </c>
      <c r="AD47" s="154"/>
      <c r="AE47" s="173">
        <f t="shared" si="2"/>
        <v>551.1</v>
      </c>
      <c r="AF47" s="174">
        <v>501</v>
      </c>
      <c r="AG47" s="167">
        <f t="shared" si="3"/>
        <v>551.1</v>
      </c>
      <c r="AH47" s="76">
        <f t="shared" si="4"/>
        <v>601.19999999999993</v>
      </c>
      <c r="AI47" s="76">
        <f t="shared" si="5"/>
        <v>751.5</v>
      </c>
      <c r="AJ47" s="76">
        <f>AF47*1.05</f>
        <v>526.05000000000007</v>
      </c>
      <c r="AK47" s="76">
        <f t="shared" si="7"/>
        <v>626.25</v>
      </c>
    </row>
    <row r="48" spans="1:37" ht="24" customHeight="1">
      <c r="A48" s="175">
        <f t="shared" si="9"/>
        <v>37</v>
      </c>
      <c r="B48" s="176" t="s">
        <v>743</v>
      </c>
      <c r="C48" s="172">
        <v>15.4</v>
      </c>
      <c r="D48" s="174">
        <v>31</v>
      </c>
      <c r="K48" s="162" t="s">
        <v>534</v>
      </c>
      <c r="O48" s="154" t="s">
        <v>744</v>
      </c>
      <c r="U48" s="76" t="s">
        <v>745</v>
      </c>
      <c r="AE48" s="173"/>
      <c r="AG48" s="167"/>
    </row>
    <row r="49" spans="1:45" ht="24" customHeight="1">
      <c r="A49" s="175">
        <f t="shared" si="9"/>
        <v>38</v>
      </c>
      <c r="B49" s="176" t="s">
        <v>746</v>
      </c>
      <c r="C49" s="172">
        <v>16.7</v>
      </c>
      <c r="D49" s="174">
        <v>21.8</v>
      </c>
      <c r="H49" s="154" t="s">
        <v>599</v>
      </c>
      <c r="K49" s="166">
        <f>SUM(K44:K47)</f>
        <v>3253.6699999999996</v>
      </c>
      <c r="O49" s="162" t="s">
        <v>534</v>
      </c>
      <c r="AE49" s="173"/>
      <c r="AG49" s="167"/>
    </row>
    <row r="50" spans="1:45" ht="24" customHeight="1">
      <c r="A50" s="175">
        <f t="shared" si="9"/>
        <v>39</v>
      </c>
      <c r="B50" s="176" t="s">
        <v>747</v>
      </c>
      <c r="C50" s="172">
        <v>8.6999999999999993</v>
      </c>
      <c r="D50" s="197" t="s">
        <v>680</v>
      </c>
      <c r="K50" s="162" t="s">
        <v>534</v>
      </c>
      <c r="M50" s="167">
        <v>9</v>
      </c>
      <c r="N50" s="154" t="s">
        <v>577</v>
      </c>
      <c r="O50" s="154" t="s">
        <v>744</v>
      </c>
      <c r="P50" s="167">
        <f>(C81)</f>
        <v>778</v>
      </c>
      <c r="Q50" s="154" t="s">
        <v>577</v>
      </c>
      <c r="R50" s="167">
        <f>(M50*P50)</f>
        <v>7002</v>
      </c>
      <c r="AE50" s="173"/>
      <c r="AG50" s="167"/>
    </row>
    <row r="51" spans="1:45" ht="24" customHeight="1">
      <c r="A51" s="175">
        <f t="shared" si="9"/>
        <v>40</v>
      </c>
      <c r="B51" s="176" t="s">
        <v>748</v>
      </c>
      <c r="C51" s="172">
        <v>8.9</v>
      </c>
      <c r="D51" s="197" t="s">
        <v>680</v>
      </c>
      <c r="G51" s="165" t="s">
        <v>307</v>
      </c>
      <c r="H51" s="154" t="s">
        <v>749</v>
      </c>
      <c r="M51" s="167">
        <v>4.5</v>
      </c>
      <c r="N51" s="154" t="s">
        <v>577</v>
      </c>
      <c r="O51" s="154" t="s">
        <v>750</v>
      </c>
      <c r="P51" s="167">
        <f>(K77)</f>
        <v>2632.67</v>
      </c>
      <c r="Q51" s="154" t="s">
        <v>577</v>
      </c>
      <c r="R51" s="167">
        <f>(M51*P51)</f>
        <v>11847.014999999999</v>
      </c>
      <c r="AE51" s="173"/>
      <c r="AG51" s="154"/>
    </row>
    <row r="52" spans="1:45" ht="24" customHeight="1">
      <c r="A52" s="175">
        <f t="shared" si="9"/>
        <v>41</v>
      </c>
      <c r="B52" s="176" t="s">
        <v>751</v>
      </c>
      <c r="C52" s="172">
        <v>18.399999999999999</v>
      </c>
      <c r="D52" s="197" t="s">
        <v>680</v>
      </c>
      <c r="H52" s="162" t="s">
        <v>534</v>
      </c>
      <c r="M52" s="167">
        <v>1.8</v>
      </c>
      <c r="N52" s="154" t="s">
        <v>576</v>
      </c>
      <c r="O52" s="154" t="s">
        <v>752</v>
      </c>
      <c r="P52" s="167">
        <f>(C11)</f>
        <v>669.90000000000009</v>
      </c>
      <c r="Q52" s="154" t="s">
        <v>576</v>
      </c>
      <c r="R52" s="167">
        <f>(M52*P52)</f>
        <v>1205.8200000000002</v>
      </c>
      <c r="AE52" s="173"/>
      <c r="AG52" s="154"/>
    </row>
    <row r="53" spans="1:45" ht="24" customHeight="1">
      <c r="A53" s="175">
        <f t="shared" si="9"/>
        <v>42</v>
      </c>
      <c r="B53" s="176" t="s">
        <v>753</v>
      </c>
      <c r="C53" s="172">
        <v>24.8</v>
      </c>
      <c r="D53" s="174">
        <v>62.4</v>
      </c>
      <c r="F53" s="167">
        <v>0.24</v>
      </c>
      <c r="G53" s="165" t="s">
        <v>567</v>
      </c>
      <c r="H53" s="154" t="s">
        <v>568</v>
      </c>
      <c r="I53" s="167">
        <f>(C67)</f>
        <v>5750</v>
      </c>
      <c r="J53" s="154" t="s">
        <v>567</v>
      </c>
      <c r="K53" s="167">
        <f>(F53*I53)</f>
        <v>1380</v>
      </c>
      <c r="M53" s="167">
        <v>17.7</v>
      </c>
      <c r="N53" s="154" t="s">
        <v>576</v>
      </c>
      <c r="O53" s="154" t="s">
        <v>754</v>
      </c>
      <c r="P53" s="167">
        <f>(C12)</f>
        <v>468.6</v>
      </c>
      <c r="Q53" s="154" t="s">
        <v>576</v>
      </c>
      <c r="R53" s="167">
        <f>(M53*P53)</f>
        <v>8294.2199999999993</v>
      </c>
      <c r="AE53" s="173"/>
      <c r="AG53" s="154"/>
    </row>
    <row r="54" spans="1:45" ht="24" customHeight="1">
      <c r="A54" s="175">
        <f t="shared" si="9"/>
        <v>43</v>
      </c>
      <c r="B54" s="176" t="s">
        <v>755</v>
      </c>
      <c r="C54" s="174">
        <v>37.9</v>
      </c>
      <c r="D54" s="174">
        <v>47.1</v>
      </c>
      <c r="F54" s="167">
        <v>1</v>
      </c>
      <c r="G54" s="165" t="s">
        <v>577</v>
      </c>
      <c r="H54" s="154" t="s">
        <v>578</v>
      </c>
      <c r="I54" s="167">
        <f>(C78)</f>
        <v>1514.4</v>
      </c>
      <c r="J54" s="154" t="s">
        <v>577</v>
      </c>
      <c r="K54" s="167">
        <f>(F54*I54)</f>
        <v>1514.4</v>
      </c>
      <c r="M54" s="167">
        <v>14.1</v>
      </c>
      <c r="N54" s="154" t="s">
        <v>576</v>
      </c>
      <c r="O54" s="154" t="s">
        <v>756</v>
      </c>
      <c r="P54" s="167">
        <f>(C13)</f>
        <v>404.8</v>
      </c>
      <c r="Q54" s="154" t="s">
        <v>576</v>
      </c>
      <c r="R54" s="167">
        <f>(M54*P54)</f>
        <v>5707.68</v>
      </c>
      <c r="AE54" s="173"/>
      <c r="AG54" s="154"/>
    </row>
    <row r="55" spans="1:45" ht="24" customHeight="1">
      <c r="A55" s="175">
        <f t="shared" si="9"/>
        <v>44</v>
      </c>
      <c r="B55" s="176" t="s">
        <v>757</v>
      </c>
      <c r="C55" s="172">
        <v>31</v>
      </c>
      <c r="D55" s="174">
        <v>37.4</v>
      </c>
      <c r="F55" s="167">
        <v>1</v>
      </c>
      <c r="G55" s="165" t="s">
        <v>577</v>
      </c>
      <c r="H55" s="154" t="s">
        <v>583</v>
      </c>
      <c r="I55" s="167">
        <f>(C18)</f>
        <v>83.27000000000001</v>
      </c>
      <c r="J55" s="154" t="s">
        <v>577</v>
      </c>
      <c r="K55" s="167">
        <f>(F55*I55)</f>
        <v>83.27000000000001</v>
      </c>
      <c r="N55" s="154" t="s">
        <v>589</v>
      </c>
      <c r="O55" s="154" t="s">
        <v>590</v>
      </c>
      <c r="Q55" s="154" t="s">
        <v>589</v>
      </c>
      <c r="R55" s="167">
        <v>0</v>
      </c>
      <c r="AE55" s="173"/>
    </row>
    <row r="56" spans="1:45" ht="24" customHeight="1">
      <c r="A56" s="175">
        <f t="shared" si="9"/>
        <v>45</v>
      </c>
      <c r="B56" s="176" t="s">
        <v>758</v>
      </c>
      <c r="C56" s="177">
        <v>12.1</v>
      </c>
      <c r="D56" s="176" t="s">
        <v>589</v>
      </c>
      <c r="G56" s="165" t="s">
        <v>589</v>
      </c>
      <c r="H56" s="154" t="s">
        <v>590</v>
      </c>
      <c r="I56" s="154" t="s">
        <v>22</v>
      </c>
      <c r="J56" s="154" t="s">
        <v>589</v>
      </c>
      <c r="K56" s="167">
        <v>0</v>
      </c>
      <c r="R56" s="162" t="s">
        <v>534</v>
      </c>
      <c r="AE56" s="173"/>
    </row>
    <row r="57" spans="1:45" ht="24" customHeight="1">
      <c r="A57" s="175">
        <f t="shared" si="9"/>
        <v>46</v>
      </c>
      <c r="B57" s="176" t="s">
        <v>759</v>
      </c>
      <c r="C57" s="177">
        <v>35</v>
      </c>
      <c r="D57" s="176" t="s">
        <v>589</v>
      </c>
      <c r="K57" s="162" t="s">
        <v>534</v>
      </c>
      <c r="O57" s="154" t="s">
        <v>760</v>
      </c>
      <c r="R57" s="167">
        <f>SUM(R50:R55)</f>
        <v>34056.735000000001</v>
      </c>
      <c r="AE57" s="173"/>
      <c r="AG57" s="154"/>
    </row>
    <row r="58" spans="1:45" ht="24" customHeight="1">
      <c r="A58" s="175">
        <f t="shared" si="9"/>
        <v>47</v>
      </c>
      <c r="B58" s="176" t="s">
        <v>761</v>
      </c>
      <c r="C58" s="177">
        <v>15</v>
      </c>
      <c r="D58" s="176" t="s">
        <v>589</v>
      </c>
      <c r="H58" s="154" t="s">
        <v>599</v>
      </c>
      <c r="K58" s="166">
        <f>SUM(K53:K56)</f>
        <v>2977.67</v>
      </c>
      <c r="R58" s="162" t="s">
        <v>534</v>
      </c>
      <c r="AE58" s="173"/>
      <c r="AG58" s="154"/>
    </row>
    <row r="59" spans="1:45" ht="24" customHeight="1">
      <c r="A59" s="188"/>
      <c r="B59" s="188"/>
      <c r="C59" s="188"/>
      <c r="D59" s="188"/>
      <c r="F59" s="154" t="s">
        <v>22</v>
      </c>
      <c r="AE59" s="173"/>
      <c r="AP59" s="199" t="s">
        <v>762</v>
      </c>
    </row>
    <row r="60" spans="1:45" ht="24" customHeight="1">
      <c r="A60" s="175">
        <f>(A58+1)</f>
        <v>48</v>
      </c>
      <c r="B60" s="176" t="s">
        <v>763</v>
      </c>
      <c r="C60" s="172">
        <v>20.9</v>
      </c>
      <c r="D60" s="176" t="s">
        <v>764</v>
      </c>
      <c r="K60" s="162" t="s">
        <v>534</v>
      </c>
      <c r="O60" s="154" t="s">
        <v>685</v>
      </c>
      <c r="R60" s="167">
        <f>(R57/10)</f>
        <v>3405.6734999999999</v>
      </c>
      <c r="AE60" s="173"/>
      <c r="AG60" s="154"/>
      <c r="AN60" s="200">
        <v>6.5</v>
      </c>
      <c r="AO60" s="165" t="s">
        <v>307</v>
      </c>
      <c r="AP60" s="186" t="s">
        <v>765</v>
      </c>
      <c r="AR60" s="158"/>
    </row>
    <row r="61" spans="1:45" ht="24" customHeight="1">
      <c r="A61" s="175">
        <f t="shared" ref="A61:A91" si="11">(A60+1)</f>
        <v>49</v>
      </c>
      <c r="B61" s="176" t="s">
        <v>766</v>
      </c>
      <c r="C61" s="177">
        <f>AE29</f>
        <v>80.41</v>
      </c>
      <c r="D61" s="177">
        <f>AE36</f>
        <v>119.79000000000002</v>
      </c>
      <c r="G61" s="165" t="s">
        <v>307</v>
      </c>
      <c r="H61" s="154" t="s">
        <v>767</v>
      </c>
      <c r="R61" s="162" t="s">
        <v>528</v>
      </c>
      <c r="AE61" s="173"/>
      <c r="AG61" s="154"/>
      <c r="AO61" s="156"/>
      <c r="AP61" s="186" t="s">
        <v>768</v>
      </c>
      <c r="AR61" s="158"/>
    </row>
    <row r="62" spans="1:45" ht="24" customHeight="1">
      <c r="A62" s="175">
        <f t="shared" si="11"/>
        <v>50</v>
      </c>
      <c r="B62" s="176" t="s">
        <v>769</v>
      </c>
      <c r="C62" s="172">
        <v>463</v>
      </c>
      <c r="D62" s="176" t="s">
        <v>576</v>
      </c>
      <c r="H62" s="162" t="s">
        <v>534</v>
      </c>
      <c r="N62" s="154" t="s">
        <v>307</v>
      </c>
      <c r="O62" s="154" t="s">
        <v>770</v>
      </c>
      <c r="AE62" s="173"/>
      <c r="AG62" s="154"/>
      <c r="AO62" s="156"/>
      <c r="AP62" s="162" t="s">
        <v>534</v>
      </c>
      <c r="AR62" s="158"/>
    </row>
    <row r="63" spans="1:45" ht="24" customHeight="1">
      <c r="A63" s="175">
        <f t="shared" si="11"/>
        <v>51</v>
      </c>
      <c r="B63" s="201" t="s">
        <v>771</v>
      </c>
      <c r="C63" s="177">
        <v>42</v>
      </c>
      <c r="D63" s="176" t="s">
        <v>589</v>
      </c>
      <c r="F63" s="198">
        <v>0.20599999999999999</v>
      </c>
      <c r="G63" s="165" t="s">
        <v>567</v>
      </c>
      <c r="H63" s="154" t="s">
        <v>568</v>
      </c>
      <c r="I63" s="167">
        <f>(C67)</f>
        <v>5750</v>
      </c>
      <c r="J63" s="154" t="s">
        <v>567</v>
      </c>
      <c r="K63" s="167">
        <f>(F63*I63)</f>
        <v>1184.5</v>
      </c>
      <c r="O63" s="154" t="s">
        <v>772</v>
      </c>
      <c r="AB63" s="202"/>
      <c r="AE63" s="173"/>
      <c r="AG63" s="154"/>
      <c r="AN63" s="167">
        <v>1300</v>
      </c>
      <c r="AO63" s="165" t="s">
        <v>773</v>
      </c>
      <c r="AP63" s="167" t="str">
        <f>AP61</f>
        <v>Bricks of size 23x11x7 cm</v>
      </c>
      <c r="AQ63" s="167">
        <f>AC45</f>
        <v>6449.19</v>
      </c>
      <c r="AR63" s="154" t="s">
        <v>774</v>
      </c>
      <c r="AS63" s="167">
        <f>(AN63*AQ63)/1000</f>
        <v>8383.9469999999983</v>
      </c>
    </row>
    <row r="64" spans="1:45" ht="24" customHeight="1">
      <c r="A64" s="175">
        <f t="shared" si="11"/>
        <v>52</v>
      </c>
      <c r="B64" s="176" t="s">
        <v>775</v>
      </c>
      <c r="C64" s="172">
        <v>184</v>
      </c>
      <c r="D64" s="176" t="s">
        <v>577</v>
      </c>
      <c r="F64" s="167">
        <v>1</v>
      </c>
      <c r="G64" s="165" t="s">
        <v>577</v>
      </c>
      <c r="H64" s="154" t="s">
        <v>578</v>
      </c>
      <c r="I64" s="167">
        <f>(C78)</f>
        <v>1514.4</v>
      </c>
      <c r="J64" s="154" t="s">
        <v>577</v>
      </c>
      <c r="K64" s="167">
        <f>(F64*I64)</f>
        <v>1514.4</v>
      </c>
      <c r="O64" s="162" t="s">
        <v>534</v>
      </c>
      <c r="AE64" s="173"/>
      <c r="AG64" s="154"/>
      <c r="AN64" s="198">
        <v>0.70799999999999996</v>
      </c>
      <c r="AO64" s="165" t="s">
        <v>577</v>
      </c>
      <c r="AP64" s="154" t="s">
        <v>729</v>
      </c>
      <c r="AQ64" s="167">
        <f>K49</f>
        <v>3253.6699999999996</v>
      </c>
      <c r="AR64" s="154" t="s">
        <v>577</v>
      </c>
      <c r="AS64" s="167">
        <f>(AN64*AQ64)</f>
        <v>2303.5983599999995</v>
      </c>
    </row>
    <row r="65" spans="1:45" ht="24" customHeight="1">
      <c r="A65" s="175">
        <f t="shared" si="11"/>
        <v>53</v>
      </c>
      <c r="B65" s="176" t="s">
        <v>776</v>
      </c>
      <c r="C65" s="203">
        <v>304</v>
      </c>
      <c r="D65" s="176" t="s">
        <v>777</v>
      </c>
      <c r="F65" s="167">
        <v>1</v>
      </c>
      <c r="G65" s="165" t="s">
        <v>577</v>
      </c>
      <c r="H65" s="154" t="s">
        <v>583</v>
      </c>
      <c r="I65" s="167">
        <f>(C18)</f>
        <v>83.27000000000001</v>
      </c>
      <c r="J65" s="154" t="s">
        <v>577</v>
      </c>
      <c r="K65" s="167">
        <f>(F65*I65)</f>
        <v>83.27000000000001</v>
      </c>
      <c r="M65" s="167">
        <v>9</v>
      </c>
      <c r="N65" s="154" t="s">
        <v>577</v>
      </c>
      <c r="O65" s="154" t="s">
        <v>772</v>
      </c>
      <c r="P65" s="167">
        <f>(C73)</f>
        <v>1500.88</v>
      </c>
      <c r="Q65" s="154" t="s">
        <v>577</v>
      </c>
      <c r="R65" s="167">
        <f>(M65*P65)</f>
        <v>13507.920000000002</v>
      </c>
      <c r="AE65" s="173"/>
      <c r="AG65" s="154"/>
      <c r="AN65" s="167">
        <v>1</v>
      </c>
      <c r="AO65" s="165" t="s">
        <v>576</v>
      </c>
      <c r="AP65" s="154" t="s">
        <v>778</v>
      </c>
      <c r="AQ65" s="167">
        <f>V313</f>
        <v>717.2</v>
      </c>
      <c r="AR65" s="154" t="s">
        <v>576</v>
      </c>
      <c r="AS65" s="167">
        <f>(AN65*AQ65)</f>
        <v>717.2</v>
      </c>
    </row>
    <row r="66" spans="1:45" ht="24" customHeight="1">
      <c r="A66" s="175">
        <f t="shared" si="11"/>
        <v>54</v>
      </c>
      <c r="B66" s="176" t="s">
        <v>779</v>
      </c>
      <c r="C66" s="177">
        <f>AE18</f>
        <v>616</v>
      </c>
      <c r="D66" s="176" t="s">
        <v>576</v>
      </c>
      <c r="G66" s="165" t="s">
        <v>589</v>
      </c>
      <c r="H66" s="154" t="s">
        <v>590</v>
      </c>
      <c r="I66" s="154" t="s">
        <v>22</v>
      </c>
      <c r="J66" s="154" t="s">
        <v>589</v>
      </c>
      <c r="K66" s="167">
        <v>0</v>
      </c>
      <c r="M66" s="167">
        <v>4.5</v>
      </c>
      <c r="N66" s="154" t="s">
        <v>577</v>
      </c>
      <c r="O66" s="154" t="s">
        <v>608</v>
      </c>
      <c r="P66" s="167">
        <f>(K23)</f>
        <v>5737.67</v>
      </c>
      <c r="Q66" s="154" t="s">
        <v>577</v>
      </c>
      <c r="R66" s="167">
        <f>(M66*P66)</f>
        <v>25819.514999999999</v>
      </c>
      <c r="AE66" s="173"/>
      <c r="AG66" s="154"/>
      <c r="AN66" s="167">
        <v>3</v>
      </c>
      <c r="AO66" s="165" t="s">
        <v>576</v>
      </c>
      <c r="AP66" s="154" t="s">
        <v>752</v>
      </c>
      <c r="AQ66" s="167">
        <f>V314</f>
        <v>669.90000000000009</v>
      </c>
      <c r="AR66" s="154" t="s">
        <v>576</v>
      </c>
      <c r="AS66" s="167">
        <f>(AN66*AQ66)</f>
        <v>2009.7000000000003</v>
      </c>
    </row>
    <row r="67" spans="1:45" ht="24" customHeight="1">
      <c r="A67" s="175">
        <f t="shared" si="11"/>
        <v>55</v>
      </c>
      <c r="B67" s="176" t="s">
        <v>568</v>
      </c>
      <c r="C67" s="177">
        <f>AC31</f>
        <v>5750</v>
      </c>
      <c r="D67" s="176" t="s">
        <v>567</v>
      </c>
      <c r="K67" s="162" t="s">
        <v>534</v>
      </c>
      <c r="M67" s="167">
        <v>1.8</v>
      </c>
      <c r="N67" s="154" t="s">
        <v>576</v>
      </c>
      <c r="O67" s="154" t="s">
        <v>752</v>
      </c>
      <c r="P67" s="167">
        <f>(C11)</f>
        <v>669.90000000000009</v>
      </c>
      <c r="Q67" s="154" t="s">
        <v>576</v>
      </c>
      <c r="R67" s="167">
        <f>(M67*P67)</f>
        <v>1205.8200000000002</v>
      </c>
      <c r="AE67" s="173"/>
      <c r="AG67" s="154"/>
      <c r="AN67" s="167">
        <v>2</v>
      </c>
      <c r="AO67" s="165" t="s">
        <v>576</v>
      </c>
      <c r="AP67" s="154" t="s">
        <v>754</v>
      </c>
      <c r="AQ67" s="167">
        <f>V315</f>
        <v>468.6</v>
      </c>
      <c r="AR67" s="154" t="s">
        <v>576</v>
      </c>
      <c r="AS67" s="167">
        <f>(AN67*AQ67)</f>
        <v>937.2</v>
      </c>
    </row>
    <row r="68" spans="1:45" ht="24" customHeight="1">
      <c r="A68" s="175">
        <f t="shared" si="11"/>
        <v>56</v>
      </c>
      <c r="B68" s="176" t="s">
        <v>780</v>
      </c>
      <c r="C68" s="177">
        <f t="shared" ref="C68:C74" si="12">AC9</f>
        <v>569.88</v>
      </c>
      <c r="D68" s="176" t="s">
        <v>577</v>
      </c>
      <c r="H68" s="154" t="s">
        <v>599</v>
      </c>
      <c r="K68" s="166">
        <f>SUM(K63:K66)</f>
        <v>2782.17</v>
      </c>
      <c r="M68" s="167">
        <v>17.7</v>
      </c>
      <c r="N68" s="154" t="s">
        <v>576</v>
      </c>
      <c r="O68" s="154" t="s">
        <v>754</v>
      </c>
      <c r="P68" s="167">
        <f>(C12)</f>
        <v>468.6</v>
      </c>
      <c r="Q68" s="154" t="s">
        <v>576</v>
      </c>
      <c r="R68" s="167">
        <f>(M68*P68)</f>
        <v>8294.2199999999993</v>
      </c>
      <c r="AE68" s="173"/>
      <c r="AG68" s="154"/>
      <c r="AN68" s="167">
        <v>6</v>
      </c>
      <c r="AO68" s="165" t="s">
        <v>576</v>
      </c>
      <c r="AP68" s="154" t="s">
        <v>756</v>
      </c>
      <c r="AQ68" s="167">
        <f>V316</f>
        <v>404.8</v>
      </c>
      <c r="AR68" s="154" t="s">
        <v>576</v>
      </c>
      <c r="AS68" s="167">
        <f>(AN68*AQ68)</f>
        <v>2428.8000000000002</v>
      </c>
    </row>
    <row r="69" spans="1:45" ht="24" customHeight="1">
      <c r="A69" s="175">
        <f t="shared" si="11"/>
        <v>57</v>
      </c>
      <c r="B69" s="176" t="s">
        <v>781</v>
      </c>
      <c r="C69" s="177">
        <f t="shared" si="12"/>
        <v>760.88</v>
      </c>
      <c r="D69" s="176" t="s">
        <v>577</v>
      </c>
      <c r="K69" s="162" t="s">
        <v>534</v>
      </c>
      <c r="M69" s="167">
        <v>14.1</v>
      </c>
      <c r="N69" s="154" t="s">
        <v>576</v>
      </c>
      <c r="O69" s="154" t="s">
        <v>756</v>
      </c>
      <c r="P69" s="167">
        <f>(C13)</f>
        <v>404.8</v>
      </c>
      <c r="Q69" s="154" t="s">
        <v>576</v>
      </c>
      <c r="R69" s="167">
        <f>(M69*P69)</f>
        <v>5707.68</v>
      </c>
      <c r="AE69" s="173"/>
      <c r="AG69" s="154"/>
      <c r="AO69" s="165" t="s">
        <v>589</v>
      </c>
      <c r="AP69" s="154" t="s">
        <v>590</v>
      </c>
      <c r="AR69" s="154" t="s">
        <v>589</v>
      </c>
      <c r="AS69" s="167">
        <v>0</v>
      </c>
    </row>
    <row r="70" spans="1:45" ht="24" customHeight="1">
      <c r="A70" s="175">
        <f t="shared" si="11"/>
        <v>58</v>
      </c>
      <c r="B70" s="176" t="s">
        <v>782</v>
      </c>
      <c r="C70" s="177">
        <f t="shared" si="12"/>
        <v>846.21</v>
      </c>
      <c r="D70" s="176" t="s">
        <v>577</v>
      </c>
      <c r="G70" s="165" t="s">
        <v>307</v>
      </c>
      <c r="H70" s="154" t="s">
        <v>750</v>
      </c>
      <c r="N70" s="154" t="s">
        <v>589</v>
      </c>
      <c r="O70" s="154" t="s">
        <v>590</v>
      </c>
      <c r="Q70" s="154" t="s">
        <v>589</v>
      </c>
      <c r="R70" s="167">
        <v>0</v>
      </c>
      <c r="AE70" s="173"/>
      <c r="AG70" s="154"/>
      <c r="AO70" s="156"/>
      <c r="AR70" s="158"/>
      <c r="AS70" s="162" t="s">
        <v>534</v>
      </c>
    </row>
    <row r="71" spans="1:45" ht="24" customHeight="1">
      <c r="A71" s="175">
        <f t="shared" si="11"/>
        <v>59</v>
      </c>
      <c r="B71" s="176" t="s">
        <v>783</v>
      </c>
      <c r="C71" s="177">
        <f t="shared" si="12"/>
        <v>1067.8800000000001</v>
      </c>
      <c r="D71" s="176" t="s">
        <v>577</v>
      </c>
      <c r="H71" s="162" t="s">
        <v>534</v>
      </c>
      <c r="R71" s="162" t="s">
        <v>534</v>
      </c>
      <c r="AE71" s="173"/>
      <c r="AG71" s="154"/>
      <c r="AO71" s="156"/>
      <c r="AP71" s="154" t="s">
        <v>784</v>
      </c>
      <c r="AR71" s="158"/>
      <c r="AS71" s="167">
        <f>SUM(AS63:AS69)</f>
        <v>16780.445360000002</v>
      </c>
    </row>
    <row r="72" spans="1:45" ht="24" customHeight="1">
      <c r="A72" s="175">
        <f t="shared" si="11"/>
        <v>60</v>
      </c>
      <c r="B72" s="176" t="s">
        <v>785</v>
      </c>
      <c r="C72" s="177">
        <f t="shared" si="12"/>
        <v>1402.88</v>
      </c>
      <c r="D72" s="176" t="s">
        <v>577</v>
      </c>
      <c r="F72" s="167">
        <v>0.18</v>
      </c>
      <c r="G72" s="165" t="s">
        <v>567</v>
      </c>
      <c r="H72" s="154" t="s">
        <v>568</v>
      </c>
      <c r="I72" s="167">
        <f>(C67)</f>
        <v>5750</v>
      </c>
      <c r="J72" s="154" t="s">
        <v>567</v>
      </c>
      <c r="K72" s="167">
        <f>(F72*I72)</f>
        <v>1035</v>
      </c>
      <c r="O72" s="154" t="s">
        <v>760</v>
      </c>
      <c r="R72" s="167">
        <f>SUM(R65:R70)</f>
        <v>54535.154999999999</v>
      </c>
      <c r="AE72" s="173"/>
      <c r="AG72" s="154"/>
      <c r="AO72" s="156"/>
      <c r="AR72" s="158"/>
      <c r="AS72" s="162" t="s">
        <v>534</v>
      </c>
    </row>
    <row r="73" spans="1:45" ht="24" customHeight="1">
      <c r="A73" s="175">
        <f t="shared" si="11"/>
        <v>61</v>
      </c>
      <c r="B73" s="176" t="s">
        <v>786</v>
      </c>
      <c r="C73" s="177">
        <f t="shared" si="12"/>
        <v>1500.88</v>
      </c>
      <c r="D73" s="176" t="s">
        <v>577</v>
      </c>
      <c r="F73" s="167">
        <v>1</v>
      </c>
      <c r="G73" s="165" t="s">
        <v>577</v>
      </c>
      <c r="H73" s="154" t="s">
        <v>578</v>
      </c>
      <c r="I73" s="167">
        <f>(C78)</f>
        <v>1514.4</v>
      </c>
      <c r="J73" s="154" t="s">
        <v>577</v>
      </c>
      <c r="K73" s="167">
        <f>(F73*I73)</f>
        <v>1514.4</v>
      </c>
      <c r="R73" s="162" t="s">
        <v>534</v>
      </c>
      <c r="AE73" s="173"/>
      <c r="AG73" s="154"/>
      <c r="AO73" s="156"/>
      <c r="AP73" s="169" t="s">
        <v>685</v>
      </c>
      <c r="AR73" s="158"/>
      <c r="AS73" s="166">
        <f>(AS71/2.83168)</f>
        <v>5925.9681037405362</v>
      </c>
    </row>
    <row r="74" spans="1:45" ht="24" customHeight="1">
      <c r="A74" s="175">
        <f t="shared" si="11"/>
        <v>62</v>
      </c>
      <c r="B74" s="176" t="s">
        <v>787</v>
      </c>
      <c r="C74" s="177">
        <f t="shared" si="12"/>
        <v>1116.8800000000001</v>
      </c>
      <c r="D74" s="176" t="s">
        <v>577</v>
      </c>
      <c r="F74" s="167">
        <v>1</v>
      </c>
      <c r="G74" s="165" t="s">
        <v>577</v>
      </c>
      <c r="H74" s="154" t="s">
        <v>583</v>
      </c>
      <c r="I74" s="167">
        <f>(C18)</f>
        <v>83.27000000000001</v>
      </c>
      <c r="J74" s="154" t="s">
        <v>577</v>
      </c>
      <c r="K74" s="167">
        <f>(F74*I74)</f>
        <v>83.27000000000001</v>
      </c>
      <c r="O74" s="154" t="s">
        <v>685</v>
      </c>
      <c r="R74" s="167">
        <f>(R72/10)</f>
        <v>5453.5154999999995</v>
      </c>
      <c r="AE74" s="173"/>
      <c r="AG74" s="154"/>
      <c r="AO74" s="156"/>
      <c r="AR74" s="158"/>
      <c r="AS74" s="162" t="s">
        <v>528</v>
      </c>
    </row>
    <row r="75" spans="1:45" ht="24" customHeight="1">
      <c r="A75" s="175">
        <f t="shared" si="11"/>
        <v>63</v>
      </c>
      <c r="B75" s="176" t="s">
        <v>788</v>
      </c>
      <c r="C75" s="185">
        <v>175</v>
      </c>
      <c r="D75" s="176" t="s">
        <v>307</v>
      </c>
      <c r="G75" s="165" t="s">
        <v>589</v>
      </c>
      <c r="H75" s="154" t="s">
        <v>590</v>
      </c>
      <c r="I75" s="154" t="s">
        <v>22</v>
      </c>
      <c r="J75" s="154" t="s">
        <v>589</v>
      </c>
      <c r="K75" s="167">
        <v>0</v>
      </c>
      <c r="R75" s="162" t="s">
        <v>528</v>
      </c>
      <c r="AE75" s="173"/>
      <c r="AG75" s="154"/>
      <c r="AO75" s="156"/>
      <c r="AP75" s="154" t="s">
        <v>789</v>
      </c>
      <c r="AR75" s="158"/>
      <c r="AS75" s="167">
        <f>AS73+C19</f>
        <v>5982.6181037405358</v>
      </c>
    </row>
    <row r="76" spans="1:45" ht="24" customHeight="1">
      <c r="A76" s="175">
        <f t="shared" si="11"/>
        <v>64</v>
      </c>
      <c r="B76" s="176" t="s">
        <v>790</v>
      </c>
      <c r="C76" s="185">
        <v>460</v>
      </c>
      <c r="D76" s="195">
        <v>290</v>
      </c>
      <c r="E76" s="76" t="s">
        <v>791</v>
      </c>
      <c r="K76" s="162" t="s">
        <v>534</v>
      </c>
      <c r="N76" s="154" t="s">
        <v>307</v>
      </c>
      <c r="O76" s="154" t="s">
        <v>792</v>
      </c>
      <c r="AE76" s="173"/>
      <c r="AG76" s="154"/>
      <c r="AO76" s="156"/>
      <c r="AP76" s="154" t="s">
        <v>793</v>
      </c>
      <c r="AR76" s="158"/>
      <c r="AS76" s="167">
        <f>AS75+C20</f>
        <v>6096.7981037405361</v>
      </c>
    </row>
    <row r="77" spans="1:45" ht="24" customHeight="1">
      <c r="A77" s="175">
        <f t="shared" si="11"/>
        <v>65</v>
      </c>
      <c r="B77" s="176" t="s">
        <v>794</v>
      </c>
      <c r="C77" s="177">
        <f>AC34</f>
        <v>4192.6899999999996</v>
      </c>
      <c r="D77" s="176" t="s">
        <v>577</v>
      </c>
      <c r="H77" s="154" t="s">
        <v>599</v>
      </c>
      <c r="K77" s="166">
        <f>SUM(K72:K75)</f>
        <v>2632.67</v>
      </c>
      <c r="O77" s="154" t="s">
        <v>795</v>
      </c>
      <c r="AE77" s="173"/>
      <c r="AG77" s="154"/>
      <c r="AO77" s="156"/>
      <c r="AP77" s="154" t="s">
        <v>796</v>
      </c>
      <c r="AR77" s="158"/>
      <c r="AS77" s="167">
        <f>AS76+C20</f>
        <v>6210.9781037405364</v>
      </c>
    </row>
    <row r="78" spans="1:45" ht="24" customHeight="1">
      <c r="A78" s="175">
        <f t="shared" si="11"/>
        <v>66</v>
      </c>
      <c r="B78" s="176" t="s">
        <v>797</v>
      </c>
      <c r="C78" s="177">
        <f t="shared" ref="C78:C91" si="13">AC16</f>
        <v>1514.4</v>
      </c>
      <c r="D78" s="176" t="s">
        <v>577</v>
      </c>
      <c r="K78" s="162" t="s">
        <v>534</v>
      </c>
      <c r="O78" s="162" t="s">
        <v>534</v>
      </c>
      <c r="AE78" s="173"/>
      <c r="AG78" s="154"/>
      <c r="AO78" s="156"/>
      <c r="AP78" s="154" t="s">
        <v>798</v>
      </c>
      <c r="AR78" s="158"/>
      <c r="AS78" s="167">
        <f>AS77+C20</f>
        <v>6325.1581037405367</v>
      </c>
    </row>
    <row r="79" spans="1:45" ht="24" customHeight="1">
      <c r="A79" s="175">
        <f t="shared" si="11"/>
        <v>67</v>
      </c>
      <c r="B79" s="176" t="s">
        <v>799</v>
      </c>
      <c r="C79" s="177">
        <f t="shared" si="13"/>
        <v>1514.4</v>
      </c>
      <c r="D79" s="176" t="s">
        <v>577</v>
      </c>
      <c r="F79" s="200">
        <v>1.1000000000000001</v>
      </c>
      <c r="G79" s="165" t="s">
        <v>22</v>
      </c>
      <c r="H79" s="154" t="s">
        <v>800</v>
      </c>
      <c r="M79" s="167">
        <v>4600</v>
      </c>
      <c r="N79" s="154" t="s">
        <v>773</v>
      </c>
      <c r="O79" s="154" t="s">
        <v>801</v>
      </c>
      <c r="P79" s="167">
        <f>AC41</f>
        <v>6449.19</v>
      </c>
      <c r="Q79" s="154" t="s">
        <v>774</v>
      </c>
      <c r="R79" s="167">
        <f>(M79*P79)/1000</f>
        <v>29666.274000000001</v>
      </c>
      <c r="S79" s="204">
        <v>1.1000000000000001</v>
      </c>
      <c r="T79" s="165" t="s">
        <v>22</v>
      </c>
      <c r="U79" s="157" t="s">
        <v>802</v>
      </c>
      <c r="W79" s="158"/>
      <c r="AE79" s="173"/>
      <c r="AG79" s="154"/>
      <c r="AO79" s="156"/>
      <c r="AP79" s="154" t="s">
        <v>803</v>
      </c>
      <c r="AR79" s="158"/>
      <c r="AS79" s="167">
        <f>AS78+C20</f>
        <v>6439.338103740537</v>
      </c>
    </row>
    <row r="80" spans="1:45" ht="24" customHeight="1">
      <c r="A80" s="175">
        <f t="shared" si="11"/>
        <v>68</v>
      </c>
      <c r="B80" s="176" t="s">
        <v>804</v>
      </c>
      <c r="C80" s="177">
        <f t="shared" si="13"/>
        <v>5522.69</v>
      </c>
      <c r="D80" s="176" t="s">
        <v>805</v>
      </c>
      <c r="F80" s="205" t="s">
        <v>22</v>
      </c>
      <c r="H80" s="154" t="s">
        <v>806</v>
      </c>
      <c r="M80" s="167">
        <v>2.5</v>
      </c>
      <c r="N80" s="154" t="s">
        <v>577</v>
      </c>
      <c r="O80" s="154" t="s">
        <v>729</v>
      </c>
      <c r="P80" s="167">
        <f>(K49)</f>
        <v>3253.6699999999996</v>
      </c>
      <c r="Q80" s="154" t="s">
        <v>577</v>
      </c>
      <c r="R80" s="167">
        <f>(M80*P80)</f>
        <v>8134.1749999999993</v>
      </c>
      <c r="S80" s="206" t="s">
        <v>22</v>
      </c>
      <c r="T80" s="156"/>
      <c r="U80" s="154" t="s">
        <v>806</v>
      </c>
      <c r="W80" s="158"/>
      <c r="AE80" s="173"/>
      <c r="AG80" s="154"/>
      <c r="AQ80" s="172"/>
      <c r="AS80" s="154"/>
    </row>
    <row r="81" spans="1:45" ht="24" customHeight="1">
      <c r="A81" s="175">
        <f t="shared" si="11"/>
        <v>69</v>
      </c>
      <c r="B81" s="176" t="s">
        <v>807</v>
      </c>
      <c r="C81" s="177">
        <f t="shared" si="13"/>
        <v>778</v>
      </c>
      <c r="D81" s="176" t="s">
        <v>577</v>
      </c>
      <c r="F81" s="167">
        <v>10</v>
      </c>
      <c r="G81" s="165" t="s">
        <v>577</v>
      </c>
      <c r="H81" s="154" t="s">
        <v>808</v>
      </c>
      <c r="I81" s="167">
        <f>(C61)</f>
        <v>80.41</v>
      </c>
      <c r="J81" s="154" t="s">
        <v>577</v>
      </c>
      <c r="K81" s="167">
        <f>(F81*I81)</f>
        <v>804.09999999999991</v>
      </c>
      <c r="M81" s="167">
        <v>3.5</v>
      </c>
      <c r="N81" s="154" t="s">
        <v>576</v>
      </c>
      <c r="O81" s="154" t="s">
        <v>778</v>
      </c>
      <c r="P81" s="167">
        <f>(C10)</f>
        <v>717.2</v>
      </c>
      <c r="Q81" s="154" t="s">
        <v>576</v>
      </c>
      <c r="R81" s="167">
        <f>(M81*P81)</f>
        <v>2510.2000000000003</v>
      </c>
      <c r="S81" s="198">
        <v>10</v>
      </c>
      <c r="T81" s="165" t="s">
        <v>577</v>
      </c>
      <c r="U81" s="154" t="s">
        <v>808</v>
      </c>
      <c r="V81" s="167">
        <f>AE39</f>
        <v>53.68</v>
      </c>
      <c r="W81" s="154" t="s">
        <v>577</v>
      </c>
      <c r="X81" s="167">
        <f>(S81*V81)</f>
        <v>536.79999999999995</v>
      </c>
      <c r="AE81" s="173"/>
      <c r="AG81" s="154"/>
      <c r="AQ81" s="172"/>
      <c r="AS81" s="154"/>
    </row>
    <row r="82" spans="1:45" ht="24" customHeight="1">
      <c r="A82" s="175">
        <f t="shared" si="11"/>
        <v>70</v>
      </c>
      <c r="B82" s="176" t="s">
        <v>809</v>
      </c>
      <c r="C82" s="177">
        <f t="shared" si="13"/>
        <v>854</v>
      </c>
      <c r="D82" s="176" t="s">
        <v>577</v>
      </c>
      <c r="F82" s="167">
        <v>10</v>
      </c>
      <c r="G82" s="165" t="s">
        <v>577</v>
      </c>
      <c r="H82" s="154" t="s">
        <v>810</v>
      </c>
      <c r="I82" s="167">
        <f>(C61)</f>
        <v>80.41</v>
      </c>
      <c r="J82" s="154" t="s">
        <v>577</v>
      </c>
      <c r="K82" s="167">
        <f>(F82*I82)</f>
        <v>804.09999999999991</v>
      </c>
      <c r="L82" s="76">
        <f>I82+I81</f>
        <v>160.82</v>
      </c>
      <c r="M82" s="167">
        <v>10.6</v>
      </c>
      <c r="N82" s="154" t="s">
        <v>576</v>
      </c>
      <c r="O82" s="154" t="s">
        <v>752</v>
      </c>
      <c r="P82" s="167">
        <f>(C11)</f>
        <v>669.90000000000009</v>
      </c>
      <c r="Q82" s="154" t="s">
        <v>576</v>
      </c>
      <c r="R82" s="167">
        <f>(M82*P82)</f>
        <v>7100.9400000000005</v>
      </c>
      <c r="S82" s="198">
        <v>10</v>
      </c>
      <c r="T82" s="165" t="s">
        <v>577</v>
      </c>
      <c r="U82" s="154" t="s">
        <v>810</v>
      </c>
      <c r="V82" s="167">
        <f>V81</f>
        <v>53.68</v>
      </c>
      <c r="W82" s="154" t="s">
        <v>577</v>
      </c>
      <c r="X82" s="167">
        <f>(S82*V82)</f>
        <v>536.79999999999995</v>
      </c>
      <c r="AE82" s="173"/>
      <c r="AG82" s="154"/>
      <c r="AQ82" s="172"/>
      <c r="AS82" s="154"/>
    </row>
    <row r="83" spans="1:45" ht="24" customHeight="1">
      <c r="A83" s="175">
        <f t="shared" si="11"/>
        <v>71</v>
      </c>
      <c r="B83" s="176" t="s">
        <v>811</v>
      </c>
      <c r="C83" s="177">
        <f t="shared" si="13"/>
        <v>15487</v>
      </c>
      <c r="D83" s="176" t="s">
        <v>805</v>
      </c>
      <c r="E83" s="76">
        <v>8710</v>
      </c>
      <c r="F83" s="167">
        <v>10</v>
      </c>
      <c r="G83" s="165" t="s">
        <v>577</v>
      </c>
      <c r="H83" s="154" t="s">
        <v>812</v>
      </c>
      <c r="I83" s="167">
        <f>(C26)/3</f>
        <v>9.35</v>
      </c>
      <c r="J83" s="154" t="s">
        <v>577</v>
      </c>
      <c r="K83" s="167">
        <f>(F83*I83)</f>
        <v>93.5</v>
      </c>
      <c r="M83" s="167">
        <v>7.1</v>
      </c>
      <c r="N83" s="154" t="s">
        <v>576</v>
      </c>
      <c r="O83" s="154" t="s">
        <v>754</v>
      </c>
      <c r="P83" s="167">
        <f>(C12)</f>
        <v>468.6</v>
      </c>
      <c r="Q83" s="154" t="s">
        <v>576</v>
      </c>
      <c r="R83" s="167">
        <f>(M83*P83)</f>
        <v>3327.06</v>
      </c>
      <c r="S83" s="198">
        <v>10</v>
      </c>
      <c r="T83" s="165" t="s">
        <v>577</v>
      </c>
      <c r="U83" s="154" t="s">
        <v>812</v>
      </c>
      <c r="V83" s="167">
        <f>AE27/3</f>
        <v>8.2133333333333329</v>
      </c>
      <c r="W83" s="154" t="s">
        <v>577</v>
      </c>
      <c r="X83" s="167">
        <f>(S83*V83)</f>
        <v>82.133333333333326</v>
      </c>
      <c r="AE83" s="173"/>
      <c r="AG83" s="154"/>
      <c r="AQ83" s="172"/>
      <c r="AS83" s="154"/>
    </row>
    <row r="84" spans="1:45" ht="24" customHeight="1">
      <c r="A84" s="175">
        <f t="shared" si="11"/>
        <v>72</v>
      </c>
      <c r="B84" s="176" t="s">
        <v>813</v>
      </c>
      <c r="C84" s="177">
        <f t="shared" si="13"/>
        <v>1272</v>
      </c>
      <c r="D84" s="176" t="s">
        <v>577</v>
      </c>
      <c r="G84" s="165" t="s">
        <v>589</v>
      </c>
      <c r="H84" s="154" t="s">
        <v>590</v>
      </c>
      <c r="J84" s="154" t="s">
        <v>589</v>
      </c>
      <c r="K84" s="167">
        <v>0</v>
      </c>
      <c r="M84" s="173">
        <v>21.2</v>
      </c>
      <c r="N84" s="154" t="s">
        <v>576</v>
      </c>
      <c r="O84" s="154" t="s">
        <v>756</v>
      </c>
      <c r="P84" s="167">
        <f>(C13)</f>
        <v>404.8</v>
      </c>
      <c r="Q84" s="154" t="s">
        <v>576</v>
      </c>
      <c r="R84" s="167">
        <f>(M84*P84)</f>
        <v>8581.76</v>
      </c>
      <c r="T84" s="165" t="s">
        <v>589</v>
      </c>
      <c r="U84" s="154" t="s">
        <v>590</v>
      </c>
      <c r="W84" s="154" t="s">
        <v>589</v>
      </c>
      <c r="X84" s="167">
        <v>0</v>
      </c>
      <c r="AE84" s="173"/>
      <c r="AG84" s="154"/>
      <c r="AN84" s="187">
        <v>9</v>
      </c>
      <c r="AO84" s="165" t="s">
        <v>307</v>
      </c>
      <c r="AP84" s="154" t="s">
        <v>814</v>
      </c>
      <c r="AR84" s="158"/>
    </row>
    <row r="85" spans="1:45" ht="24" customHeight="1">
      <c r="A85" s="175">
        <f t="shared" si="11"/>
        <v>73</v>
      </c>
      <c r="B85" s="176" t="s">
        <v>815</v>
      </c>
      <c r="C85" s="177">
        <f t="shared" si="13"/>
        <v>1007</v>
      </c>
      <c r="D85" s="176" t="s">
        <v>577</v>
      </c>
      <c r="K85" s="162" t="s">
        <v>534</v>
      </c>
      <c r="N85" s="154" t="s">
        <v>589</v>
      </c>
      <c r="O85" s="154" t="s">
        <v>590</v>
      </c>
      <c r="Q85" s="154" t="s">
        <v>589</v>
      </c>
      <c r="R85" s="167">
        <v>0</v>
      </c>
      <c r="T85" s="156"/>
      <c r="W85" s="158"/>
      <c r="X85" s="162" t="s">
        <v>534</v>
      </c>
      <c r="AE85" s="173"/>
      <c r="AG85" s="154"/>
      <c r="AO85" s="156"/>
      <c r="AP85" s="154" t="str">
        <f>AP61</f>
        <v>Bricks of size 23x11x7 cm</v>
      </c>
      <c r="AR85" s="158"/>
    </row>
    <row r="86" spans="1:45" ht="24" customHeight="1">
      <c r="A86" s="175">
        <f t="shared" si="11"/>
        <v>74</v>
      </c>
      <c r="B86" s="176" t="s">
        <v>816</v>
      </c>
      <c r="C86" s="177">
        <f t="shared" si="13"/>
        <v>34300</v>
      </c>
      <c r="D86" s="176" t="s">
        <v>577</v>
      </c>
      <c r="H86" s="154" t="s">
        <v>760</v>
      </c>
      <c r="K86" s="167">
        <f>SUM(K81:K84)</f>
        <v>1701.6999999999998</v>
      </c>
      <c r="R86" s="162" t="s">
        <v>534</v>
      </c>
      <c r="T86" s="156"/>
      <c r="U86" s="154" t="s">
        <v>760</v>
      </c>
      <c r="W86" s="158"/>
      <c r="X86" s="167">
        <f>SUM(X81:X84)</f>
        <v>1155.7333333333331</v>
      </c>
      <c r="AE86" s="173"/>
      <c r="AG86" s="154"/>
      <c r="AO86" s="156"/>
      <c r="AP86" s="162" t="s">
        <v>534</v>
      </c>
      <c r="AR86" s="158"/>
    </row>
    <row r="87" spans="1:45" ht="24" customHeight="1">
      <c r="A87" s="175">
        <f t="shared" si="11"/>
        <v>75</v>
      </c>
      <c r="B87" s="176" t="s">
        <v>817</v>
      </c>
      <c r="C87" s="177">
        <f t="shared" si="13"/>
        <v>39400</v>
      </c>
      <c r="D87" s="176" t="s">
        <v>577</v>
      </c>
      <c r="K87" s="162" t="s">
        <v>534</v>
      </c>
      <c r="O87" s="154" t="s">
        <v>760</v>
      </c>
      <c r="R87" s="167">
        <f>SUM(R79:R85)</f>
        <v>59320.409</v>
      </c>
      <c r="T87" s="156"/>
      <c r="W87" s="158"/>
      <c r="X87" s="162" t="s">
        <v>534</v>
      </c>
      <c r="AE87" s="173"/>
      <c r="AG87" s="154"/>
      <c r="AN87" s="167">
        <f>AN63</f>
        <v>1300</v>
      </c>
      <c r="AO87" s="165" t="s">
        <v>773</v>
      </c>
      <c r="AP87" s="167" t="str">
        <f>AP61</f>
        <v>Bricks of size 23x11x7 cm</v>
      </c>
      <c r="AQ87" s="167">
        <f>AC45</f>
        <v>6449.19</v>
      </c>
      <c r="AR87" s="154" t="s">
        <v>774</v>
      </c>
      <c r="AS87" s="167">
        <f>AQ87*AN87/1000</f>
        <v>8383.9469999999983</v>
      </c>
    </row>
    <row r="88" spans="1:45" ht="36" customHeight="1">
      <c r="A88" s="175">
        <f t="shared" si="11"/>
        <v>76</v>
      </c>
      <c r="B88" s="176" t="s">
        <v>818</v>
      </c>
      <c r="C88" s="177">
        <f t="shared" si="13"/>
        <v>111600</v>
      </c>
      <c r="D88" s="176" t="s">
        <v>577</v>
      </c>
      <c r="H88" s="157" t="s">
        <v>819</v>
      </c>
      <c r="I88" s="199" t="s">
        <v>820</v>
      </c>
      <c r="J88" s="207"/>
      <c r="K88" s="166">
        <f>(K86/10)</f>
        <v>170.17</v>
      </c>
      <c r="R88" s="162" t="s">
        <v>534</v>
      </c>
      <c r="T88" s="156"/>
      <c r="U88" s="157" t="s">
        <v>819</v>
      </c>
      <c r="V88" s="199" t="s">
        <v>820</v>
      </c>
      <c r="W88" s="207"/>
      <c r="X88" s="166">
        <f>(X86/10)</f>
        <v>115.57333333333331</v>
      </c>
      <c r="AE88" s="173"/>
      <c r="AG88" s="154"/>
      <c r="AN88" s="198">
        <f>AN64</f>
        <v>0.70799999999999996</v>
      </c>
      <c r="AO88" s="165" t="s">
        <v>577</v>
      </c>
      <c r="AP88" s="154" t="s">
        <v>749</v>
      </c>
      <c r="AQ88" s="167">
        <f>K58</f>
        <v>2977.67</v>
      </c>
      <c r="AR88" s="154" t="s">
        <v>577</v>
      </c>
      <c r="AS88" s="167">
        <f>AQ88*AN88</f>
        <v>2108.1903600000001</v>
      </c>
    </row>
    <row r="89" spans="1:45" ht="19.5" customHeight="1">
      <c r="A89" s="175">
        <f t="shared" si="11"/>
        <v>77</v>
      </c>
      <c r="B89" s="176" t="s">
        <v>821</v>
      </c>
      <c r="C89" s="177">
        <f t="shared" si="13"/>
        <v>99400</v>
      </c>
      <c r="D89" s="176" t="s">
        <v>577</v>
      </c>
      <c r="I89" s="199" t="s">
        <v>822</v>
      </c>
      <c r="J89" s="207"/>
      <c r="K89" s="164">
        <f>ROUND(K88+C36,2)</f>
        <v>177.27</v>
      </c>
      <c r="O89" s="154" t="s">
        <v>685</v>
      </c>
      <c r="R89" s="167">
        <f>(R87/10)</f>
        <v>5932.0409</v>
      </c>
      <c r="T89" s="156"/>
      <c r="V89" s="199" t="s">
        <v>822</v>
      </c>
      <c r="W89" s="207"/>
      <c r="X89" s="164">
        <f>ROUND(X88+C36,2)</f>
        <v>122.67</v>
      </c>
      <c r="AE89" s="173"/>
      <c r="AG89" s="154"/>
      <c r="AN89" s="167">
        <v>1</v>
      </c>
      <c r="AO89" s="165" t="s">
        <v>576</v>
      </c>
      <c r="AP89" s="154" t="s">
        <v>778</v>
      </c>
      <c r="AQ89" s="167">
        <f>AQ65</f>
        <v>717.2</v>
      </c>
      <c r="AR89" s="154" t="s">
        <v>576</v>
      </c>
      <c r="AS89" s="167">
        <f>AQ89*AN89</f>
        <v>717.2</v>
      </c>
    </row>
    <row r="90" spans="1:45" ht="36" customHeight="1">
      <c r="A90" s="175">
        <f t="shared" si="11"/>
        <v>78</v>
      </c>
      <c r="B90" s="176" t="s">
        <v>823</v>
      </c>
      <c r="C90" s="177">
        <f>AC28</f>
        <v>95000</v>
      </c>
      <c r="D90" s="176" t="s">
        <v>577</v>
      </c>
      <c r="F90" s="187" t="s">
        <v>824</v>
      </c>
      <c r="H90" s="208" t="s">
        <v>825</v>
      </c>
      <c r="I90" s="199" t="s">
        <v>820</v>
      </c>
      <c r="J90" s="207"/>
      <c r="K90" s="166">
        <f>K88-K83/10</f>
        <v>160.82</v>
      </c>
      <c r="R90" s="162" t="s">
        <v>528</v>
      </c>
      <c r="S90" s="204" t="s">
        <v>824</v>
      </c>
      <c r="T90" s="156"/>
      <c r="U90" s="208" t="s">
        <v>826</v>
      </c>
      <c r="V90" s="199" t="s">
        <v>820</v>
      </c>
      <c r="W90" s="207"/>
      <c r="X90" s="166">
        <f>X88-X83/10</f>
        <v>107.35999999999997</v>
      </c>
      <c r="AE90" s="173"/>
      <c r="AG90" s="154"/>
      <c r="AN90" s="167">
        <v>3</v>
      </c>
      <c r="AO90" s="165" t="s">
        <v>576</v>
      </c>
      <c r="AP90" s="154" t="s">
        <v>752</v>
      </c>
      <c r="AQ90" s="167">
        <f>AQ66</f>
        <v>669.90000000000009</v>
      </c>
      <c r="AR90" s="154" t="s">
        <v>576</v>
      </c>
      <c r="AS90" s="167">
        <f>AQ90*AN90</f>
        <v>2009.7000000000003</v>
      </c>
    </row>
    <row r="91" spans="1:45" ht="24" customHeight="1">
      <c r="A91" s="175">
        <f t="shared" si="11"/>
        <v>79</v>
      </c>
      <c r="B91" s="176" t="s">
        <v>827</v>
      </c>
      <c r="C91" s="177">
        <f t="shared" si="13"/>
        <v>4192.6899999999996</v>
      </c>
      <c r="D91" s="176" t="s">
        <v>805</v>
      </c>
      <c r="I91" s="199" t="s">
        <v>822</v>
      </c>
      <c r="J91" s="207"/>
      <c r="K91" s="164">
        <f>ROUND(K90+C36,2)</f>
        <v>167.92</v>
      </c>
      <c r="T91" s="156"/>
      <c r="V91" s="199" t="s">
        <v>822</v>
      </c>
      <c r="W91" s="207"/>
      <c r="X91" s="164">
        <f>ROUND(X90+C36,2)</f>
        <v>114.46</v>
      </c>
      <c r="AE91" s="173"/>
      <c r="AG91" s="154"/>
      <c r="AN91" s="167">
        <v>2</v>
      </c>
      <c r="AO91" s="165" t="s">
        <v>576</v>
      </c>
      <c r="AP91" s="154" t="s">
        <v>754</v>
      </c>
      <c r="AQ91" s="167">
        <f>AQ67</f>
        <v>468.6</v>
      </c>
      <c r="AR91" s="154" t="s">
        <v>576</v>
      </c>
      <c r="AS91" s="167">
        <f>AQ91*AN91</f>
        <v>937.2</v>
      </c>
    </row>
    <row r="92" spans="1:45" ht="24" customHeight="1">
      <c r="A92" s="188"/>
      <c r="B92" s="188"/>
      <c r="C92" s="188"/>
      <c r="D92" s="188"/>
      <c r="F92" s="187" t="s">
        <v>828</v>
      </c>
      <c r="G92" s="165" t="s">
        <v>22</v>
      </c>
      <c r="H92" s="154" t="s">
        <v>829</v>
      </c>
      <c r="S92" s="204"/>
      <c r="T92" s="165"/>
      <c r="U92" s="154"/>
      <c r="W92" s="158"/>
      <c r="AE92" s="173"/>
      <c r="AN92" s="167">
        <v>6</v>
      </c>
      <c r="AO92" s="165" t="s">
        <v>576</v>
      </c>
      <c r="AP92" s="154" t="s">
        <v>756</v>
      </c>
      <c r="AQ92" s="167">
        <f>AQ68</f>
        <v>404.8</v>
      </c>
      <c r="AR92" s="154" t="s">
        <v>576</v>
      </c>
      <c r="AS92" s="167">
        <f>AQ92*AN92</f>
        <v>2428.8000000000002</v>
      </c>
    </row>
    <row r="93" spans="1:45" ht="24" customHeight="1">
      <c r="A93" s="188"/>
      <c r="B93" s="188"/>
      <c r="C93" s="188"/>
      <c r="D93" s="188"/>
      <c r="F93" s="205" t="s">
        <v>22</v>
      </c>
      <c r="H93" s="162" t="s">
        <v>534</v>
      </c>
      <c r="M93" s="76" t="s">
        <v>830</v>
      </c>
      <c r="S93" s="206"/>
      <c r="T93" s="156"/>
      <c r="U93" s="162"/>
      <c r="W93" s="158"/>
      <c r="AE93" s="173"/>
      <c r="AO93" s="165" t="s">
        <v>589</v>
      </c>
      <c r="AP93" s="154" t="s">
        <v>590</v>
      </c>
      <c r="AR93" s="154" t="s">
        <v>589</v>
      </c>
      <c r="AS93" s="167">
        <v>0</v>
      </c>
    </row>
    <row r="94" spans="1:45" ht="24" customHeight="1">
      <c r="A94" s="188"/>
      <c r="B94" s="188"/>
      <c r="C94" s="188"/>
      <c r="D94" s="188"/>
      <c r="F94" s="167">
        <v>10</v>
      </c>
      <c r="G94" s="165" t="s">
        <v>577</v>
      </c>
      <c r="H94" s="154" t="s">
        <v>831</v>
      </c>
      <c r="I94" s="167">
        <f>D61</f>
        <v>119.79000000000002</v>
      </c>
      <c r="J94" s="154" t="s">
        <v>577</v>
      </c>
      <c r="K94" s="167">
        <f>(F94*I94)</f>
        <v>1197.9000000000001</v>
      </c>
      <c r="M94" s="76">
        <v>23.2</v>
      </c>
      <c r="S94" s="198"/>
      <c r="T94" s="165"/>
      <c r="U94" s="154"/>
      <c r="V94" s="167"/>
      <c r="W94" s="154"/>
      <c r="X94" s="167"/>
      <c r="AE94" s="173"/>
      <c r="AO94" s="156"/>
      <c r="AR94" s="158"/>
      <c r="AS94" s="162" t="s">
        <v>534</v>
      </c>
    </row>
    <row r="95" spans="1:45" ht="24" customHeight="1">
      <c r="A95" s="188"/>
      <c r="B95" s="188"/>
      <c r="C95" s="188"/>
      <c r="D95" s="188"/>
      <c r="F95" s="167">
        <v>10</v>
      </c>
      <c r="G95" s="165" t="s">
        <v>577</v>
      </c>
      <c r="H95" s="154" t="s">
        <v>810</v>
      </c>
      <c r="I95" s="167">
        <f>D61</f>
        <v>119.79000000000002</v>
      </c>
      <c r="J95" s="154" t="s">
        <v>577</v>
      </c>
      <c r="K95" s="167">
        <f>(F95*I95)</f>
        <v>1197.9000000000001</v>
      </c>
      <c r="M95" s="76">
        <v>23.2</v>
      </c>
      <c r="S95" s="198"/>
      <c r="T95" s="165"/>
      <c r="U95" s="154"/>
      <c r="V95" s="167"/>
      <c r="W95" s="154"/>
      <c r="X95" s="167"/>
      <c r="AE95" s="173"/>
      <c r="AO95" s="156"/>
      <c r="AP95" s="154" t="s">
        <v>760</v>
      </c>
      <c r="AR95" s="158"/>
      <c r="AS95" s="167">
        <f>SUM(AS87:AS93)</f>
        <v>16585.037360000002</v>
      </c>
    </row>
    <row r="96" spans="1:45" ht="24" customHeight="1">
      <c r="A96" s="188"/>
      <c r="B96" s="188"/>
      <c r="C96" s="188"/>
      <c r="D96" s="188"/>
      <c r="F96" s="167">
        <v>10</v>
      </c>
      <c r="G96" s="165" t="s">
        <v>577</v>
      </c>
      <c r="H96" s="154" t="s">
        <v>812</v>
      </c>
      <c r="I96" s="167">
        <f>I83</f>
        <v>9.35</v>
      </c>
      <c r="J96" s="154" t="s">
        <v>577</v>
      </c>
      <c r="K96" s="167">
        <f>(F96*I96)</f>
        <v>93.5</v>
      </c>
      <c r="M96" s="76">
        <f>I96</f>
        <v>9.35</v>
      </c>
      <c r="S96" s="198"/>
      <c r="T96" s="165"/>
      <c r="U96" s="154"/>
      <c r="V96" s="167"/>
      <c r="W96" s="154"/>
      <c r="X96" s="167"/>
      <c r="AE96" s="173"/>
      <c r="AO96" s="156"/>
      <c r="AR96" s="158"/>
      <c r="AS96" s="162" t="s">
        <v>534</v>
      </c>
    </row>
    <row r="97" spans="1:48" ht="24" customHeight="1">
      <c r="A97" s="188"/>
      <c r="B97" s="188"/>
      <c r="C97" s="188"/>
      <c r="D97" s="188"/>
      <c r="G97" s="165" t="s">
        <v>589</v>
      </c>
      <c r="H97" s="154" t="s">
        <v>590</v>
      </c>
      <c r="J97" s="154" t="s">
        <v>589</v>
      </c>
      <c r="K97" s="167">
        <v>0</v>
      </c>
      <c r="M97" s="76">
        <f>SUM(M94:M96)</f>
        <v>55.75</v>
      </c>
      <c r="T97" s="165"/>
      <c r="U97" s="154"/>
      <c r="W97" s="154"/>
      <c r="X97" s="167"/>
      <c r="AE97" s="173"/>
      <c r="AO97" s="156"/>
      <c r="AP97" s="155" t="s">
        <v>685</v>
      </c>
      <c r="AR97" s="158"/>
      <c r="AS97" s="167">
        <f>(AS95/2.83168)</f>
        <v>5856.9603062492943</v>
      </c>
    </row>
    <row r="98" spans="1:48" ht="24" customHeight="1">
      <c r="A98" s="188"/>
      <c r="B98" s="188"/>
      <c r="C98" s="188"/>
      <c r="D98" s="188"/>
      <c r="K98" s="162" t="s">
        <v>534</v>
      </c>
      <c r="T98" s="156"/>
      <c r="W98" s="158"/>
      <c r="X98" s="162"/>
      <c r="AE98" s="173"/>
      <c r="AO98" s="156"/>
      <c r="AR98" s="158"/>
      <c r="AS98" s="162" t="s">
        <v>528</v>
      </c>
    </row>
    <row r="99" spans="1:48" ht="24" customHeight="1">
      <c r="A99" s="188"/>
      <c r="B99" s="188"/>
      <c r="C99" s="188"/>
      <c r="D99" s="188"/>
      <c r="H99" s="154" t="s">
        <v>760</v>
      </c>
      <c r="K99" s="167">
        <f>SUM(K94:K97)</f>
        <v>2489.3000000000002</v>
      </c>
      <c r="T99" s="156"/>
      <c r="U99" s="154"/>
      <c r="W99" s="158"/>
      <c r="X99" s="167"/>
      <c r="AE99" s="173"/>
      <c r="AO99" s="156"/>
      <c r="AP99" s="154" t="s">
        <v>789</v>
      </c>
      <c r="AR99" s="158"/>
      <c r="AS99" s="166">
        <f>AS97+C19</f>
        <v>5913.6103062492939</v>
      </c>
      <c r="AU99" s="76">
        <f>AS99*22.69/100</f>
        <v>1341.7981784879648</v>
      </c>
      <c r="AV99" s="76">
        <f>AS99-AU99</f>
        <v>4571.8121277613291</v>
      </c>
    </row>
    <row r="100" spans="1:48" ht="24" customHeight="1">
      <c r="A100" s="188"/>
      <c r="B100" s="188"/>
      <c r="C100" s="188"/>
      <c r="D100" s="188"/>
      <c r="K100" s="162" t="s">
        <v>534</v>
      </c>
      <c r="T100" s="156"/>
      <c r="W100" s="158"/>
      <c r="X100" s="162"/>
      <c r="AE100" s="173"/>
      <c r="AO100" s="156"/>
      <c r="AP100" s="154" t="s">
        <v>793</v>
      </c>
      <c r="AR100" s="158"/>
      <c r="AS100" s="166">
        <f>(AS99+C20)</f>
        <v>6027.7903062492942</v>
      </c>
      <c r="AU100" s="76">
        <f t="shared" ref="AU100:AU163" si="14">AS100*22.69/100</f>
        <v>1367.705620487965</v>
      </c>
      <c r="AV100" s="76">
        <f t="shared" ref="AV100:AV163" si="15">AS100-AU100</f>
        <v>4660.0846857613287</v>
      </c>
    </row>
    <row r="101" spans="1:48" ht="24" customHeight="1">
      <c r="A101" s="188"/>
      <c r="B101" s="188"/>
      <c r="C101" s="188"/>
      <c r="D101" s="188"/>
      <c r="H101" s="157" t="s">
        <v>819</v>
      </c>
      <c r="I101" s="199" t="s">
        <v>820</v>
      </c>
      <c r="J101" s="207"/>
      <c r="K101" s="166">
        <f>(K99/10)</f>
        <v>248.93</v>
      </c>
      <c r="M101" s="76">
        <f>SUM(M94:M95)</f>
        <v>46.4</v>
      </c>
      <c r="T101" s="156"/>
      <c r="U101" s="157"/>
      <c r="V101" s="199"/>
      <c r="W101" s="207"/>
      <c r="X101" s="166"/>
      <c r="AE101" s="173"/>
      <c r="AO101" s="156"/>
      <c r="AP101" s="154" t="s">
        <v>796</v>
      </c>
      <c r="AR101" s="158"/>
      <c r="AS101" s="166">
        <f>(AS100+C20)</f>
        <v>6141.9703062492945</v>
      </c>
      <c r="AU101" s="76">
        <f t="shared" si="14"/>
        <v>1393.613062487965</v>
      </c>
      <c r="AV101" s="76">
        <f t="shared" si="15"/>
        <v>4748.3572437613293</v>
      </c>
    </row>
    <row r="102" spans="1:48" ht="24" customHeight="1">
      <c r="A102" s="188"/>
      <c r="B102" s="188"/>
      <c r="C102" s="188"/>
      <c r="D102" s="188"/>
      <c r="I102" s="199" t="s">
        <v>822</v>
      </c>
      <c r="J102" s="207"/>
      <c r="K102" s="164">
        <f>ROUND(K101+C36,2)</f>
        <v>256.02999999999997</v>
      </c>
      <c r="T102" s="156"/>
      <c r="V102" s="199"/>
      <c r="W102" s="207"/>
      <c r="X102" s="164"/>
      <c r="AE102" s="173"/>
      <c r="AO102" s="156"/>
      <c r="AP102" s="154" t="s">
        <v>798</v>
      </c>
      <c r="AR102" s="158"/>
      <c r="AS102" s="166">
        <f>(AS101+C20)</f>
        <v>6256.1503062492948</v>
      </c>
      <c r="AU102" s="76">
        <f t="shared" si="14"/>
        <v>1419.5205044879651</v>
      </c>
      <c r="AV102" s="76">
        <f t="shared" si="15"/>
        <v>4836.6298017613299</v>
      </c>
    </row>
    <row r="103" spans="1:48" ht="24" customHeight="1">
      <c r="A103" s="188"/>
      <c r="B103" s="188"/>
      <c r="C103" s="188"/>
      <c r="D103" s="188"/>
      <c r="I103" s="199"/>
      <c r="J103" s="207"/>
      <c r="K103" s="209"/>
      <c r="T103" s="156"/>
      <c r="V103" s="199"/>
      <c r="W103" s="207"/>
      <c r="X103" s="209"/>
      <c r="AE103" s="173"/>
      <c r="AN103" s="154" t="s">
        <v>22</v>
      </c>
      <c r="AO103" s="156"/>
      <c r="AP103" s="154" t="s">
        <v>803</v>
      </c>
      <c r="AR103" s="158"/>
      <c r="AS103" s="166">
        <f>(AS102+C20)</f>
        <v>6370.3303062492951</v>
      </c>
      <c r="AU103" s="76">
        <f t="shared" si="14"/>
        <v>1445.4279464879653</v>
      </c>
      <c r="AV103" s="76">
        <f t="shared" si="15"/>
        <v>4924.9023597613295</v>
      </c>
    </row>
    <row r="104" spans="1:48" ht="30.75" customHeight="1">
      <c r="A104" s="188"/>
      <c r="B104" s="188"/>
      <c r="C104" s="188"/>
      <c r="D104" s="188"/>
      <c r="F104" s="200">
        <v>1.7</v>
      </c>
      <c r="H104" s="208" t="s">
        <v>832</v>
      </c>
      <c r="I104" s="199" t="s">
        <v>820</v>
      </c>
      <c r="J104" s="207"/>
      <c r="K104" s="164">
        <f>ROUND(K101-K96/10,2)</f>
        <v>239.58</v>
      </c>
      <c r="S104" s="204"/>
      <c r="T104" s="156"/>
      <c r="U104" s="208"/>
      <c r="V104" s="199"/>
      <c r="W104" s="207"/>
      <c r="X104" s="164"/>
      <c r="AE104" s="173"/>
      <c r="AN104" s="187">
        <v>27</v>
      </c>
      <c r="AO104" s="165" t="s">
        <v>307</v>
      </c>
      <c r="AP104" s="154" t="s">
        <v>833</v>
      </c>
      <c r="AR104" s="158"/>
    </row>
    <row r="105" spans="1:48" ht="24" customHeight="1">
      <c r="A105" s="188"/>
      <c r="B105" s="188"/>
      <c r="C105" s="188"/>
      <c r="D105" s="188"/>
      <c r="I105" s="199" t="s">
        <v>822</v>
      </c>
      <c r="J105" s="207"/>
      <c r="K105" s="164">
        <f>ROUND(K104+C36,2)</f>
        <v>246.68</v>
      </c>
      <c r="T105" s="156"/>
      <c r="V105" s="199"/>
      <c r="W105" s="207"/>
      <c r="X105" s="164"/>
      <c r="AE105" s="173"/>
      <c r="AO105" s="156"/>
      <c r="AP105" s="154" t="str">
        <f>AP85</f>
        <v>Bricks of size 23x11x7 cm</v>
      </c>
      <c r="AR105" s="158"/>
    </row>
    <row r="106" spans="1:48" ht="24" customHeight="1">
      <c r="A106" s="188"/>
      <c r="B106" s="188"/>
      <c r="C106" s="188"/>
      <c r="D106" s="188"/>
      <c r="K106" s="162"/>
      <c r="T106" s="156"/>
      <c r="W106" s="158"/>
      <c r="X106" s="162"/>
      <c r="AE106" s="173"/>
      <c r="AO106" s="156"/>
      <c r="AP106" s="162" t="s">
        <v>534</v>
      </c>
      <c r="AR106" s="158"/>
    </row>
    <row r="107" spans="1:48" ht="24" customHeight="1">
      <c r="A107" s="188"/>
      <c r="B107" s="188"/>
      <c r="C107" s="188"/>
      <c r="D107" s="188"/>
      <c r="K107" s="162"/>
      <c r="T107" s="156"/>
      <c r="W107" s="158"/>
      <c r="X107" s="162"/>
      <c r="AE107" s="173"/>
      <c r="AN107" s="167">
        <v>1300</v>
      </c>
      <c r="AO107" s="165" t="s">
        <v>773</v>
      </c>
      <c r="AP107" s="167" t="str">
        <f>AP61</f>
        <v>Bricks of size 23x11x7 cm</v>
      </c>
      <c r="AQ107" s="167">
        <f>AC45</f>
        <v>6449.19</v>
      </c>
      <c r="AR107" s="154" t="s">
        <v>774</v>
      </c>
      <c r="AS107" s="167">
        <f>(AN107*AQ107)/1000</f>
        <v>8383.9469999999983</v>
      </c>
      <c r="AU107" s="76">
        <f t="shared" si="14"/>
        <v>1902.3175742999997</v>
      </c>
      <c r="AV107" s="76">
        <f t="shared" si="15"/>
        <v>6481.629425699999</v>
      </c>
    </row>
    <row r="108" spans="1:48" ht="38.25" customHeight="1">
      <c r="A108" s="188"/>
      <c r="B108" s="188"/>
      <c r="C108" s="188"/>
      <c r="D108" s="188"/>
      <c r="F108" s="200">
        <v>1.4</v>
      </c>
      <c r="G108" s="165" t="s">
        <v>22</v>
      </c>
      <c r="H108" s="210" t="s">
        <v>834</v>
      </c>
      <c r="S108" s="204">
        <v>1.4</v>
      </c>
      <c r="T108" s="165" t="s">
        <v>22</v>
      </c>
      <c r="U108" s="210" t="s">
        <v>834</v>
      </c>
      <c r="W108" s="158"/>
      <c r="AE108" s="173"/>
      <c r="AN108" s="198">
        <v>0.70799999999999996</v>
      </c>
      <c r="AO108" s="165" t="s">
        <v>577</v>
      </c>
      <c r="AP108" s="154" t="s">
        <v>702</v>
      </c>
      <c r="AQ108" s="167">
        <f>K40</f>
        <v>3667.67</v>
      </c>
      <c r="AR108" s="154" t="s">
        <v>577</v>
      </c>
      <c r="AS108" s="167">
        <f>(AN108*AQ108)</f>
        <v>2596.71036</v>
      </c>
      <c r="AU108" s="76">
        <f t="shared" si="14"/>
        <v>589.19358068400004</v>
      </c>
      <c r="AV108" s="76">
        <f t="shared" si="15"/>
        <v>2007.5167793159999</v>
      </c>
    </row>
    <row r="109" spans="1:48" ht="24" customHeight="1">
      <c r="A109" s="188"/>
      <c r="B109" s="188"/>
      <c r="C109" s="188"/>
      <c r="D109" s="188"/>
      <c r="T109" s="156"/>
      <c r="W109" s="158"/>
      <c r="AE109" s="173"/>
      <c r="AN109" s="167">
        <v>1</v>
      </c>
      <c r="AO109" s="165" t="s">
        <v>576</v>
      </c>
      <c r="AP109" s="154" t="s">
        <v>778</v>
      </c>
      <c r="AQ109" s="167">
        <f>AQ89</f>
        <v>717.2</v>
      </c>
      <c r="AR109" s="154" t="s">
        <v>576</v>
      </c>
      <c r="AS109" s="167">
        <f>(AN109*AQ109)</f>
        <v>717.2</v>
      </c>
      <c r="AU109" s="76">
        <f t="shared" si="14"/>
        <v>162.73268000000002</v>
      </c>
      <c r="AV109" s="76">
        <f t="shared" si="15"/>
        <v>554.46731999999997</v>
      </c>
    </row>
    <row r="110" spans="1:48" ht="24" customHeight="1">
      <c r="A110" s="188"/>
      <c r="B110" s="188"/>
      <c r="C110" s="188"/>
      <c r="D110" s="188"/>
      <c r="F110" s="167">
        <v>10</v>
      </c>
      <c r="G110" s="165" t="s">
        <v>577</v>
      </c>
      <c r="H110" s="154" t="s">
        <v>808</v>
      </c>
      <c r="I110" s="167">
        <f>C61</f>
        <v>80.41</v>
      </c>
      <c r="J110" s="154" t="s">
        <v>577</v>
      </c>
      <c r="K110" s="167">
        <f>(F110*I110)</f>
        <v>804.09999999999991</v>
      </c>
      <c r="S110" s="198">
        <v>10</v>
      </c>
      <c r="T110" s="165" t="s">
        <v>577</v>
      </c>
      <c r="U110" s="154" t="s">
        <v>808</v>
      </c>
      <c r="V110" s="167">
        <f>V81</f>
        <v>53.68</v>
      </c>
      <c r="W110" s="154" t="s">
        <v>577</v>
      </c>
      <c r="X110" s="167">
        <f>(S110*V110)</f>
        <v>536.79999999999995</v>
      </c>
      <c r="AE110" s="173"/>
      <c r="AN110" s="167">
        <v>3</v>
      </c>
      <c r="AO110" s="165" t="s">
        <v>576</v>
      </c>
      <c r="AP110" s="154" t="s">
        <v>752</v>
      </c>
      <c r="AQ110" s="167">
        <f>AQ90</f>
        <v>669.90000000000009</v>
      </c>
      <c r="AR110" s="154" t="s">
        <v>576</v>
      </c>
      <c r="AS110" s="167">
        <f>(AN110*AQ110)</f>
        <v>2009.7000000000003</v>
      </c>
      <c r="AU110" s="76">
        <f t="shared" si="14"/>
        <v>456.0009300000001</v>
      </c>
      <c r="AV110" s="76">
        <f t="shared" si="15"/>
        <v>1553.6990700000001</v>
      </c>
    </row>
    <row r="111" spans="1:48" ht="24" customHeight="1">
      <c r="A111" s="188"/>
      <c r="B111" s="188"/>
      <c r="C111" s="188"/>
      <c r="D111" s="188"/>
      <c r="F111" s="167">
        <v>10</v>
      </c>
      <c r="G111" s="165" t="s">
        <v>577</v>
      </c>
      <c r="H111" s="154" t="s">
        <v>812</v>
      </c>
      <c r="I111" s="167">
        <f>I83</f>
        <v>9.35</v>
      </c>
      <c r="J111" s="154" t="s">
        <v>577</v>
      </c>
      <c r="K111" s="167">
        <f>(F111*I111)</f>
        <v>93.5</v>
      </c>
      <c r="S111" s="198">
        <v>10</v>
      </c>
      <c r="T111" s="165" t="s">
        <v>577</v>
      </c>
      <c r="U111" s="154" t="s">
        <v>812</v>
      </c>
      <c r="V111" s="167">
        <f>V83</f>
        <v>8.2133333333333329</v>
      </c>
      <c r="W111" s="154" t="s">
        <v>577</v>
      </c>
      <c r="X111" s="167">
        <f>(S111*V111)</f>
        <v>82.133333333333326</v>
      </c>
      <c r="AE111" s="173"/>
      <c r="AN111" s="167">
        <v>2</v>
      </c>
      <c r="AO111" s="165" t="s">
        <v>576</v>
      </c>
      <c r="AP111" s="154" t="s">
        <v>754</v>
      </c>
      <c r="AQ111" s="167">
        <f>AQ91</f>
        <v>468.6</v>
      </c>
      <c r="AR111" s="154" t="s">
        <v>576</v>
      </c>
      <c r="AS111" s="167">
        <f>(AN111*AQ111)</f>
        <v>937.2</v>
      </c>
      <c r="AU111" s="76">
        <f t="shared" si="14"/>
        <v>212.65068000000002</v>
      </c>
      <c r="AV111" s="76">
        <f t="shared" si="15"/>
        <v>724.54932000000008</v>
      </c>
    </row>
    <row r="112" spans="1:48" ht="24" customHeight="1">
      <c r="A112" s="188"/>
      <c r="B112" s="188"/>
      <c r="C112" s="188"/>
      <c r="D112" s="188"/>
      <c r="G112" s="165" t="s">
        <v>589</v>
      </c>
      <c r="H112" s="154" t="s">
        <v>590</v>
      </c>
      <c r="J112" s="154" t="s">
        <v>589</v>
      </c>
      <c r="K112" s="167">
        <v>0</v>
      </c>
      <c r="T112" s="165" t="s">
        <v>589</v>
      </c>
      <c r="U112" s="154" t="s">
        <v>590</v>
      </c>
      <c r="W112" s="154" t="s">
        <v>589</v>
      </c>
      <c r="X112" s="167">
        <v>0</v>
      </c>
      <c r="AE112" s="173"/>
      <c r="AN112" s="167">
        <v>6</v>
      </c>
      <c r="AO112" s="165" t="s">
        <v>576</v>
      </c>
      <c r="AP112" s="154" t="s">
        <v>756</v>
      </c>
      <c r="AQ112" s="167">
        <f>AQ92</f>
        <v>404.8</v>
      </c>
      <c r="AR112" s="154" t="s">
        <v>576</v>
      </c>
      <c r="AS112" s="167">
        <f>(AN112*AQ112)</f>
        <v>2428.8000000000002</v>
      </c>
      <c r="AU112" s="76">
        <f t="shared" si="14"/>
        <v>551.09472000000005</v>
      </c>
      <c r="AV112" s="76">
        <f t="shared" si="15"/>
        <v>1877.7052800000001</v>
      </c>
    </row>
    <row r="113" spans="1:48" ht="24" customHeight="1">
      <c r="A113" s="188"/>
      <c r="B113" s="188"/>
      <c r="C113" s="188"/>
      <c r="D113" s="188"/>
      <c r="K113" s="162" t="s">
        <v>534</v>
      </c>
      <c r="T113" s="156"/>
      <c r="W113" s="158"/>
      <c r="X113" s="162" t="s">
        <v>534</v>
      </c>
      <c r="AE113" s="173"/>
      <c r="AO113" s="165" t="s">
        <v>589</v>
      </c>
      <c r="AP113" s="154" t="s">
        <v>590</v>
      </c>
      <c r="AR113" s="154" t="s">
        <v>589</v>
      </c>
      <c r="AS113" s="167">
        <v>0</v>
      </c>
      <c r="AU113" s="76">
        <f t="shared" si="14"/>
        <v>0</v>
      </c>
      <c r="AV113" s="76">
        <f t="shared" si="15"/>
        <v>0</v>
      </c>
    </row>
    <row r="114" spans="1:48" ht="24" customHeight="1">
      <c r="A114" s="188"/>
      <c r="B114" s="188"/>
      <c r="C114" s="188"/>
      <c r="D114" s="188"/>
      <c r="H114" s="154" t="s">
        <v>760</v>
      </c>
      <c r="K114" s="167">
        <f>SUM(K110:K112)</f>
        <v>897.59999999999991</v>
      </c>
      <c r="T114" s="156"/>
      <c r="U114" s="154" t="s">
        <v>760</v>
      </c>
      <c r="W114" s="158"/>
      <c r="X114" s="167">
        <f>SUM(X110:X112)</f>
        <v>618.93333333333328</v>
      </c>
      <c r="AE114" s="173"/>
      <c r="AO114" s="156"/>
      <c r="AR114" s="158"/>
      <c r="AS114" s="162" t="s">
        <v>534</v>
      </c>
      <c r="AU114" s="76">
        <f t="shared" si="14"/>
        <v>0</v>
      </c>
      <c r="AV114" s="76">
        <f t="shared" si="15"/>
        <v>0</v>
      </c>
    </row>
    <row r="115" spans="1:48" ht="24" customHeight="1">
      <c r="A115" s="188"/>
      <c r="B115" s="188"/>
      <c r="C115" s="188"/>
      <c r="D115" s="188"/>
      <c r="K115" s="162" t="s">
        <v>534</v>
      </c>
      <c r="T115" s="156"/>
      <c r="W115" s="158"/>
      <c r="X115" s="162" t="s">
        <v>534</v>
      </c>
      <c r="AE115" s="173"/>
      <c r="AO115" s="156"/>
      <c r="AP115" s="154" t="s">
        <v>760</v>
      </c>
      <c r="AR115" s="158"/>
      <c r="AS115" s="167">
        <f>SUM(AS107:AS113)</f>
        <v>17073.557359999999</v>
      </c>
      <c r="AU115" s="76">
        <f t="shared" si="14"/>
        <v>3873.9901649840003</v>
      </c>
      <c r="AV115" s="76">
        <f t="shared" si="15"/>
        <v>13199.567195015999</v>
      </c>
    </row>
    <row r="116" spans="1:48" ht="24" customHeight="1">
      <c r="A116" s="188"/>
      <c r="B116" s="188"/>
      <c r="C116" s="188"/>
      <c r="D116" s="188"/>
      <c r="H116" s="154"/>
      <c r="K116" s="166">
        <f>(K114/10)</f>
        <v>89.759999999999991</v>
      </c>
      <c r="L116" s="199">
        <f>K116+C36</f>
        <v>96.859999999999985</v>
      </c>
      <c r="M116" s="76">
        <f>M94</f>
        <v>23.2</v>
      </c>
      <c r="T116" s="156"/>
      <c r="U116" s="154"/>
      <c r="W116" s="158"/>
      <c r="X116" s="166">
        <f>(X114/10)</f>
        <v>61.893333333333331</v>
      </c>
      <c r="AE116" s="173"/>
      <c r="AO116" s="156"/>
      <c r="AR116" s="158"/>
      <c r="AS116" s="162" t="s">
        <v>534</v>
      </c>
      <c r="AU116" s="76">
        <f t="shared" si="14"/>
        <v>0</v>
      </c>
      <c r="AV116" s="76">
        <f t="shared" si="15"/>
        <v>0</v>
      </c>
    </row>
    <row r="117" spans="1:48" ht="24" customHeight="1">
      <c r="A117" s="188"/>
      <c r="B117" s="188"/>
      <c r="C117" s="188"/>
      <c r="D117" s="188"/>
      <c r="K117" s="162"/>
      <c r="T117" s="156"/>
      <c r="W117" s="158"/>
      <c r="X117" s="162"/>
      <c r="AE117" s="173"/>
      <c r="AO117" s="156"/>
      <c r="AP117" s="154" t="s">
        <v>685</v>
      </c>
      <c r="AR117" s="158"/>
      <c r="AS117" s="166">
        <f>(AS115/2.83168)</f>
        <v>6029.4797999773982</v>
      </c>
      <c r="AU117" s="76">
        <f t="shared" si="14"/>
        <v>1368.0889666148717</v>
      </c>
      <c r="AV117" s="76">
        <f t="shared" si="15"/>
        <v>4661.3908333625268</v>
      </c>
    </row>
    <row r="118" spans="1:48" ht="24" customHeight="1">
      <c r="A118" s="188"/>
      <c r="B118" s="188"/>
      <c r="C118" s="188"/>
      <c r="D118" s="188"/>
      <c r="F118" s="200">
        <v>1.5</v>
      </c>
      <c r="H118" s="154" t="s">
        <v>835</v>
      </c>
      <c r="I118" s="199" t="s">
        <v>820</v>
      </c>
      <c r="K118" s="166">
        <f>K116-K111/10</f>
        <v>80.41</v>
      </c>
      <c r="S118" s="204">
        <v>1.5</v>
      </c>
      <c r="T118" s="156"/>
      <c r="U118" s="154" t="s">
        <v>835</v>
      </c>
      <c r="V118" s="199" t="s">
        <v>820</v>
      </c>
      <c r="W118" s="158"/>
      <c r="X118" s="166">
        <f>X116-X111/10</f>
        <v>53.68</v>
      </c>
      <c r="AE118" s="173"/>
      <c r="AO118" s="156"/>
      <c r="AR118" s="158"/>
      <c r="AS118" s="162" t="s">
        <v>528</v>
      </c>
      <c r="AU118" s="76">
        <f t="shared" si="14"/>
        <v>0</v>
      </c>
      <c r="AV118" s="76">
        <f t="shared" si="15"/>
        <v>0</v>
      </c>
    </row>
    <row r="119" spans="1:48" ht="24" customHeight="1">
      <c r="A119" s="188"/>
      <c r="B119" s="188"/>
      <c r="C119" s="188"/>
      <c r="D119" s="188"/>
      <c r="I119" s="199" t="s">
        <v>822</v>
      </c>
      <c r="K119" s="164">
        <f>ROUND(K118+C36,2)</f>
        <v>87.51</v>
      </c>
      <c r="T119" s="156"/>
      <c r="V119" s="199" t="s">
        <v>822</v>
      </c>
      <c r="W119" s="158"/>
      <c r="X119" s="164">
        <f>ROUND(X118+P36,2)</f>
        <v>53.68</v>
      </c>
      <c r="AE119" s="173"/>
      <c r="AO119" s="156"/>
      <c r="AP119" s="154" t="s">
        <v>789</v>
      </c>
      <c r="AR119" s="158"/>
      <c r="AS119" s="167">
        <f>(AS117+C19)</f>
        <v>6086.1297999773979</v>
      </c>
      <c r="AT119" s="76">
        <f>AS119-AS117</f>
        <v>56.649999999999636</v>
      </c>
      <c r="AU119" s="76">
        <f t="shared" si="14"/>
        <v>1380.9428516148719</v>
      </c>
      <c r="AV119" s="76">
        <f t="shared" si="15"/>
        <v>4705.186948362526</v>
      </c>
    </row>
    <row r="120" spans="1:48" ht="24" customHeight="1">
      <c r="A120" s="188"/>
      <c r="B120" s="188"/>
      <c r="C120" s="188"/>
      <c r="D120" s="188"/>
      <c r="I120" s="76" t="s">
        <v>836</v>
      </c>
      <c r="K120" s="164">
        <f>ROUND(K119+C36,2)</f>
        <v>94.61</v>
      </c>
      <c r="T120" s="156"/>
      <c r="W120" s="158"/>
      <c r="X120" s="162"/>
      <c r="AE120" s="173"/>
      <c r="AO120" s="156"/>
      <c r="AP120" s="154" t="s">
        <v>793</v>
      </c>
      <c r="AR120" s="158"/>
      <c r="AS120" s="167">
        <f>(AS119+C20)</f>
        <v>6200.3097999773981</v>
      </c>
      <c r="AT120" s="76">
        <f>AS120-AS119</f>
        <v>114.18000000000029</v>
      </c>
      <c r="AU120" s="76">
        <f t="shared" si="14"/>
        <v>1406.8502936148716</v>
      </c>
      <c r="AV120" s="76">
        <f t="shared" si="15"/>
        <v>4793.4595063625266</v>
      </c>
    </row>
    <row r="121" spans="1:48" ht="24" customHeight="1">
      <c r="A121" s="188"/>
      <c r="B121" s="188"/>
      <c r="C121" s="188"/>
      <c r="D121" s="188"/>
      <c r="I121" s="76" t="s">
        <v>837</v>
      </c>
      <c r="K121" s="164">
        <f>ROUND(K120+C36,2)</f>
        <v>101.71</v>
      </c>
      <c r="T121" s="156"/>
      <c r="W121" s="158"/>
      <c r="X121" s="162"/>
      <c r="AE121" s="173"/>
      <c r="AO121" s="156"/>
      <c r="AP121" s="154" t="s">
        <v>796</v>
      </c>
      <c r="AR121" s="158"/>
      <c r="AS121" s="167">
        <f>(AS120+C20)</f>
        <v>6314.4897999773984</v>
      </c>
      <c r="AU121" s="76">
        <f t="shared" si="14"/>
        <v>1432.7577356148718</v>
      </c>
      <c r="AV121" s="76">
        <f t="shared" si="15"/>
        <v>4881.7320643625262</v>
      </c>
    </row>
    <row r="122" spans="1:48" ht="28.5" customHeight="1">
      <c r="A122" s="188"/>
      <c r="B122" s="188"/>
      <c r="C122" s="188"/>
      <c r="D122" s="188"/>
      <c r="F122" s="211">
        <v>1.8</v>
      </c>
      <c r="H122" s="210" t="s">
        <v>838</v>
      </c>
      <c r="K122" s="162"/>
      <c r="M122" s="155" t="s">
        <v>839</v>
      </c>
      <c r="N122" s="165" t="s">
        <v>307</v>
      </c>
      <c r="O122" s="154" t="s">
        <v>840</v>
      </c>
      <c r="Q122" s="158"/>
      <c r="S122" s="212"/>
      <c r="T122" s="156"/>
      <c r="U122" s="210"/>
      <c r="W122" s="158"/>
      <c r="X122" s="162"/>
      <c r="AE122" s="173"/>
      <c r="AO122" s="156"/>
      <c r="AP122" s="154" t="s">
        <v>798</v>
      </c>
      <c r="AR122" s="158"/>
      <c r="AS122" s="167">
        <f>AS121+C20</f>
        <v>6428.6697999773987</v>
      </c>
      <c r="AU122" s="76">
        <f t="shared" si="14"/>
        <v>1458.6651776148719</v>
      </c>
      <c r="AV122" s="76">
        <f t="shared" si="15"/>
        <v>4970.0046223625268</v>
      </c>
    </row>
    <row r="123" spans="1:48" ht="24" customHeight="1">
      <c r="A123" s="188"/>
      <c r="B123" s="188"/>
      <c r="C123" s="188"/>
      <c r="D123" s="188"/>
      <c r="K123" s="162"/>
      <c r="N123" s="156"/>
      <c r="O123" s="154" t="s">
        <v>841</v>
      </c>
      <c r="Q123" s="158"/>
      <c r="T123" s="156"/>
      <c r="W123" s="158"/>
      <c r="X123" s="162"/>
      <c r="AE123" s="173"/>
      <c r="AO123" s="156"/>
      <c r="AP123" s="154" t="s">
        <v>803</v>
      </c>
      <c r="AR123" s="158"/>
      <c r="AS123" s="167">
        <f>AS122+C20</f>
        <v>6542.849799977399</v>
      </c>
      <c r="AU123" s="76">
        <f t="shared" si="14"/>
        <v>1484.5726196148719</v>
      </c>
      <c r="AV123" s="76">
        <f t="shared" si="15"/>
        <v>5058.2771803625274</v>
      </c>
    </row>
    <row r="124" spans="1:48" ht="24" customHeight="1">
      <c r="A124" s="188"/>
      <c r="B124" s="188"/>
      <c r="C124" s="188"/>
      <c r="D124" s="188"/>
      <c r="F124" s="167">
        <v>10</v>
      </c>
      <c r="G124" s="165" t="s">
        <v>577</v>
      </c>
      <c r="H124" s="154" t="s">
        <v>831</v>
      </c>
      <c r="I124" s="76">
        <f>D61</f>
        <v>119.79000000000002</v>
      </c>
      <c r="J124" s="154" t="s">
        <v>577</v>
      </c>
      <c r="K124" s="167">
        <f>(F124*I124)</f>
        <v>1197.9000000000001</v>
      </c>
      <c r="N124" s="156"/>
      <c r="O124" s="162" t="s">
        <v>534</v>
      </c>
      <c r="Q124" s="158"/>
      <c r="S124" s="198"/>
      <c r="T124" s="165"/>
      <c r="U124" s="154"/>
      <c r="W124" s="154" t="s">
        <v>577</v>
      </c>
      <c r="X124" s="167"/>
      <c r="AE124" s="173"/>
      <c r="AO124" s="156"/>
      <c r="AP124" s="154" t="s">
        <v>842</v>
      </c>
      <c r="AR124" s="158"/>
      <c r="AS124" s="167">
        <f>(AS119+AS120+AS121+AS122)/4</f>
        <v>6257.3997999773983</v>
      </c>
      <c r="AU124" s="76">
        <f t="shared" si="14"/>
        <v>1419.8040146148717</v>
      </c>
      <c r="AV124" s="76">
        <f t="shared" si="15"/>
        <v>4837.5957853625268</v>
      </c>
    </row>
    <row r="125" spans="1:48" ht="24" customHeight="1">
      <c r="A125" s="188"/>
      <c r="B125" s="188"/>
      <c r="C125" s="188"/>
      <c r="D125" s="188"/>
      <c r="G125" s="156" t="s">
        <v>519</v>
      </c>
      <c r="J125" s="158" t="s">
        <v>519</v>
      </c>
      <c r="K125" s="167">
        <v>0</v>
      </c>
      <c r="M125" s="167">
        <v>1</v>
      </c>
      <c r="N125" s="165" t="s">
        <v>577</v>
      </c>
      <c r="O125" s="154" t="s">
        <v>843</v>
      </c>
      <c r="P125" s="167">
        <f>AC39</f>
        <v>293.88</v>
      </c>
      <c r="Q125" s="154" t="s">
        <v>577</v>
      </c>
      <c r="R125" s="167">
        <f>(M125*P125)</f>
        <v>293.88</v>
      </c>
      <c r="T125" s="156"/>
      <c r="W125" s="158" t="s">
        <v>519</v>
      </c>
      <c r="X125" s="167"/>
      <c r="AE125" s="173"/>
      <c r="AO125" s="156"/>
    </row>
    <row r="126" spans="1:48" ht="24" customHeight="1">
      <c r="A126" s="188"/>
      <c r="B126" s="188"/>
      <c r="C126" s="188"/>
      <c r="D126" s="188"/>
      <c r="K126" s="162" t="s">
        <v>534</v>
      </c>
      <c r="M126" s="167">
        <v>1</v>
      </c>
      <c r="N126" s="165" t="s">
        <v>577</v>
      </c>
      <c r="O126" s="154" t="s">
        <v>661</v>
      </c>
      <c r="P126" s="167">
        <f>P141</f>
        <v>28.05</v>
      </c>
      <c r="Q126" s="154" t="s">
        <v>577</v>
      </c>
      <c r="R126" s="167">
        <f>(M126*P126)</f>
        <v>28.05</v>
      </c>
      <c r="T126" s="156"/>
      <c r="W126" s="158"/>
      <c r="X126" s="162"/>
      <c r="AE126" s="173"/>
      <c r="AO126" s="156"/>
      <c r="AR126" s="158"/>
    </row>
    <row r="127" spans="1:48" ht="24" customHeight="1">
      <c r="A127" s="188"/>
      <c r="B127" s="188"/>
      <c r="C127" s="188"/>
      <c r="D127" s="188"/>
      <c r="H127" s="154" t="s">
        <v>760</v>
      </c>
      <c r="K127" s="167">
        <f>SUM(K124:K125)</f>
        <v>1197.9000000000001</v>
      </c>
      <c r="N127" s="165" t="s">
        <v>589</v>
      </c>
      <c r="O127" s="154" t="s">
        <v>590</v>
      </c>
      <c r="P127" s="154" t="s">
        <v>22</v>
      </c>
      <c r="Q127" s="154" t="s">
        <v>589</v>
      </c>
      <c r="R127" s="167">
        <v>0</v>
      </c>
      <c r="T127" s="156"/>
      <c r="U127" s="154"/>
      <c r="W127" s="158"/>
      <c r="X127" s="167"/>
      <c r="AE127" s="173"/>
      <c r="AO127" s="156"/>
      <c r="AP127" s="169" t="s">
        <v>844</v>
      </c>
      <c r="AR127" s="158"/>
    </row>
    <row r="128" spans="1:48" ht="24" customHeight="1">
      <c r="A128" s="188"/>
      <c r="B128" s="188"/>
      <c r="C128" s="188"/>
      <c r="D128" s="188"/>
      <c r="K128" s="162" t="s">
        <v>534</v>
      </c>
      <c r="N128" s="156"/>
      <c r="Q128" s="158"/>
      <c r="R128" s="162" t="s">
        <v>534</v>
      </c>
      <c r="T128" s="156"/>
      <c r="W128" s="158"/>
      <c r="X128" s="162"/>
      <c r="AE128" s="173"/>
      <c r="AO128" s="156"/>
      <c r="AP128" s="162" t="s">
        <v>534</v>
      </c>
      <c r="AR128" s="158"/>
    </row>
    <row r="129" spans="1:48" ht="38.25" customHeight="1">
      <c r="A129" s="188"/>
      <c r="B129" s="188"/>
      <c r="C129" s="188"/>
      <c r="D129" s="188"/>
      <c r="F129" s="213"/>
      <c r="H129" s="214" t="s">
        <v>845</v>
      </c>
      <c r="I129" s="199" t="s">
        <v>820</v>
      </c>
      <c r="K129" s="164">
        <f>ROUND(K127/10,2)</f>
        <v>119.79</v>
      </c>
      <c r="N129" s="156"/>
      <c r="O129" s="154" t="s">
        <v>599</v>
      </c>
      <c r="Q129" s="158"/>
      <c r="R129" s="167">
        <f>SUM(R125:R127)</f>
        <v>321.93</v>
      </c>
      <c r="S129" s="215"/>
      <c r="T129" s="156"/>
      <c r="U129" s="214"/>
      <c r="V129" s="199"/>
      <c r="W129" s="158"/>
      <c r="X129" s="164"/>
      <c r="AE129" s="173"/>
      <c r="AN129" s="187">
        <v>10</v>
      </c>
      <c r="AO129" s="165" t="s">
        <v>307</v>
      </c>
      <c r="AP129" s="154" t="s">
        <v>846</v>
      </c>
      <c r="AR129" s="158"/>
    </row>
    <row r="130" spans="1:48" ht="24" customHeight="1">
      <c r="A130" s="188"/>
      <c r="B130" s="188"/>
      <c r="C130" s="188"/>
      <c r="D130" s="188"/>
      <c r="I130" s="199" t="s">
        <v>822</v>
      </c>
      <c r="K130" s="164">
        <f>ROUND(K129+C36,2)</f>
        <v>126.89</v>
      </c>
      <c r="T130" s="156"/>
      <c r="V130" s="199"/>
      <c r="W130" s="158"/>
      <c r="X130" s="164"/>
      <c r="AE130" s="173"/>
      <c r="AO130" s="156"/>
      <c r="AP130" s="167" t="str">
        <f>AP61</f>
        <v>Bricks of size 23x11x7 cm</v>
      </c>
      <c r="AR130" s="158"/>
    </row>
    <row r="131" spans="1:48" ht="24" customHeight="1">
      <c r="A131" s="188"/>
      <c r="B131" s="188"/>
      <c r="C131" s="188"/>
      <c r="D131" s="188"/>
      <c r="I131" s="199"/>
      <c r="K131" s="162"/>
      <c r="T131" s="156"/>
      <c r="V131" s="199"/>
      <c r="W131" s="158"/>
      <c r="X131" s="162"/>
      <c r="AE131" s="173"/>
      <c r="AO131" s="156"/>
      <c r="AP131" s="162" t="s">
        <v>534</v>
      </c>
      <c r="AR131" s="158"/>
    </row>
    <row r="132" spans="1:48" ht="24" customHeight="1">
      <c r="A132" s="188"/>
      <c r="B132" s="188"/>
      <c r="C132" s="188"/>
      <c r="D132" s="188"/>
      <c r="F132" s="200">
        <v>1.6</v>
      </c>
      <c r="H132" s="154" t="s">
        <v>847</v>
      </c>
      <c r="I132" s="199"/>
      <c r="S132" s="204">
        <v>1.6</v>
      </c>
      <c r="T132" s="156"/>
      <c r="U132" s="154" t="s">
        <v>847</v>
      </c>
      <c r="V132" s="199"/>
      <c r="W132" s="158"/>
      <c r="AE132" s="173"/>
      <c r="AN132" s="167">
        <f>AN63</f>
        <v>1300</v>
      </c>
      <c r="AO132" s="165" t="s">
        <v>773</v>
      </c>
      <c r="AP132" s="167" t="str">
        <f>AP61</f>
        <v>Bricks of size 23x11x7 cm</v>
      </c>
      <c r="AQ132" s="167">
        <f>AC45</f>
        <v>6449.19</v>
      </c>
      <c r="AR132" s="154" t="s">
        <v>774</v>
      </c>
      <c r="AS132" s="167">
        <f>(AN132*AQ132)/1000</f>
        <v>8383.9469999999983</v>
      </c>
      <c r="AU132" s="76">
        <f t="shared" si="14"/>
        <v>1902.3175742999997</v>
      </c>
      <c r="AV132" s="76">
        <f t="shared" si="15"/>
        <v>6481.629425699999</v>
      </c>
    </row>
    <row r="133" spans="1:48" ht="24" customHeight="1">
      <c r="A133" s="188"/>
      <c r="B133" s="188"/>
      <c r="C133" s="188"/>
      <c r="D133" s="188"/>
      <c r="H133" s="154" t="s">
        <v>848</v>
      </c>
      <c r="I133" s="199" t="s">
        <v>820</v>
      </c>
      <c r="K133" s="166">
        <f>C61*1.5</f>
        <v>120.61499999999999</v>
      </c>
      <c r="L133" s="166"/>
      <c r="M133" s="76">
        <f>M116*1.5</f>
        <v>34.799999999999997</v>
      </c>
      <c r="T133" s="156"/>
      <c r="U133" s="154" t="s">
        <v>848</v>
      </c>
      <c r="V133" s="199" t="s">
        <v>820</v>
      </c>
      <c r="W133" s="158"/>
      <c r="X133" s="166">
        <f>V81*1.5</f>
        <v>80.52</v>
      </c>
      <c r="AE133" s="173"/>
      <c r="AN133" s="198">
        <v>0.70799999999999996</v>
      </c>
      <c r="AO133" s="165" t="s">
        <v>577</v>
      </c>
      <c r="AP133" s="154" t="s">
        <v>702</v>
      </c>
      <c r="AQ133" s="167">
        <f>K40</f>
        <v>3667.67</v>
      </c>
      <c r="AR133" s="154" t="s">
        <v>577</v>
      </c>
      <c r="AS133" s="167">
        <f>(AN133*AQ133)</f>
        <v>2596.71036</v>
      </c>
      <c r="AU133" s="76">
        <f t="shared" si="14"/>
        <v>589.19358068400004</v>
      </c>
      <c r="AV133" s="76">
        <f t="shared" si="15"/>
        <v>2007.5167793159999</v>
      </c>
    </row>
    <row r="134" spans="1:48" ht="24" customHeight="1">
      <c r="A134" s="188"/>
      <c r="B134" s="188"/>
      <c r="C134" s="188"/>
      <c r="D134" s="188"/>
      <c r="F134" s="154" t="s">
        <v>22</v>
      </c>
      <c r="H134" s="154" t="s">
        <v>849</v>
      </c>
      <c r="I134" s="199" t="s">
        <v>822</v>
      </c>
      <c r="K134" s="164">
        <f>ROUND(K133+C36,2)</f>
        <v>127.72</v>
      </c>
      <c r="S134" s="206" t="s">
        <v>22</v>
      </c>
      <c r="T134" s="156"/>
      <c r="U134" s="154" t="s">
        <v>849</v>
      </c>
      <c r="V134" s="199" t="s">
        <v>822</v>
      </c>
      <c r="W134" s="158"/>
      <c r="X134" s="164">
        <f>ROUND(X133+C36,2)</f>
        <v>87.62</v>
      </c>
      <c r="AE134" s="173"/>
      <c r="AN134" s="167">
        <v>1</v>
      </c>
      <c r="AO134" s="165" t="s">
        <v>576</v>
      </c>
      <c r="AP134" s="154" t="s">
        <v>778</v>
      </c>
      <c r="AQ134" s="167">
        <f>AQ109</f>
        <v>717.2</v>
      </c>
      <c r="AR134" s="154" t="s">
        <v>576</v>
      </c>
      <c r="AS134" s="167">
        <f>(AN134*AQ134)</f>
        <v>717.2</v>
      </c>
      <c r="AU134" s="76">
        <f t="shared" si="14"/>
        <v>162.73268000000002</v>
      </c>
      <c r="AV134" s="76">
        <f t="shared" si="15"/>
        <v>554.46731999999997</v>
      </c>
    </row>
    <row r="135" spans="1:48" ht="24" customHeight="1">
      <c r="A135" s="188"/>
      <c r="B135" s="188"/>
      <c r="C135" s="188"/>
      <c r="D135" s="188"/>
      <c r="K135" s="162" t="s">
        <v>528</v>
      </c>
      <c r="T135" s="156"/>
      <c r="W135" s="158"/>
      <c r="X135" s="162" t="s">
        <v>528</v>
      </c>
      <c r="AE135" s="173"/>
      <c r="AN135" s="167">
        <v>3</v>
      </c>
      <c r="AO135" s="165" t="s">
        <v>576</v>
      </c>
      <c r="AP135" s="154" t="s">
        <v>752</v>
      </c>
      <c r="AQ135" s="167">
        <f>AQ110</f>
        <v>669.90000000000009</v>
      </c>
      <c r="AR135" s="154" t="s">
        <v>576</v>
      </c>
      <c r="AS135" s="167">
        <f>(AN135*AQ135)</f>
        <v>2009.7000000000003</v>
      </c>
      <c r="AU135" s="76">
        <f t="shared" si="14"/>
        <v>456.0009300000001</v>
      </c>
      <c r="AV135" s="76">
        <f t="shared" si="15"/>
        <v>1553.6990700000001</v>
      </c>
    </row>
    <row r="136" spans="1:48" ht="24" customHeight="1">
      <c r="A136" s="188"/>
      <c r="B136" s="188"/>
      <c r="C136" s="188"/>
      <c r="D136" s="188"/>
      <c r="H136" s="157" t="s">
        <v>850</v>
      </c>
      <c r="I136" s="199" t="s">
        <v>820</v>
      </c>
      <c r="K136" s="166">
        <f>C61*1.25</f>
        <v>100.51249999999999</v>
      </c>
      <c r="T136" s="156"/>
      <c r="U136" s="157" t="s">
        <v>851</v>
      </c>
      <c r="V136" s="199" t="s">
        <v>820</v>
      </c>
      <c r="W136" s="158"/>
      <c r="X136" s="166">
        <f>V81*1.25</f>
        <v>67.099999999999994</v>
      </c>
      <c r="AE136" s="173"/>
      <c r="AN136" s="167">
        <v>2</v>
      </c>
      <c r="AO136" s="165" t="s">
        <v>576</v>
      </c>
      <c r="AP136" s="154" t="s">
        <v>754</v>
      </c>
      <c r="AQ136" s="167">
        <f>AQ111</f>
        <v>468.6</v>
      </c>
      <c r="AR136" s="154" t="s">
        <v>576</v>
      </c>
      <c r="AS136" s="167">
        <f>(AN136*AQ136)</f>
        <v>937.2</v>
      </c>
      <c r="AU136" s="76">
        <f t="shared" si="14"/>
        <v>212.65068000000002</v>
      </c>
      <c r="AV136" s="76">
        <f t="shared" si="15"/>
        <v>724.54932000000008</v>
      </c>
    </row>
    <row r="137" spans="1:48" ht="24" customHeight="1">
      <c r="A137" s="175">
        <f>(A91+1)</f>
        <v>80</v>
      </c>
      <c r="B137" s="176" t="s">
        <v>852</v>
      </c>
      <c r="C137" s="177">
        <f>AC30</f>
        <v>11445</v>
      </c>
      <c r="D137" s="216">
        <v>13.87</v>
      </c>
      <c r="E137" s="154" t="s">
        <v>22</v>
      </c>
      <c r="F137" s="155" t="s">
        <v>839</v>
      </c>
      <c r="G137" s="165" t="s">
        <v>307</v>
      </c>
      <c r="H137" s="154" t="s">
        <v>840</v>
      </c>
      <c r="M137" s="155" t="s">
        <v>839</v>
      </c>
      <c r="N137" s="165" t="s">
        <v>307</v>
      </c>
      <c r="O137" s="154" t="s">
        <v>840</v>
      </c>
      <c r="Q137" s="158"/>
      <c r="AE137" s="173"/>
      <c r="AG137" s="154"/>
      <c r="AN137" s="167">
        <v>6</v>
      </c>
      <c r="AO137" s="165" t="s">
        <v>576</v>
      </c>
      <c r="AP137" s="154" t="s">
        <v>756</v>
      </c>
      <c r="AQ137" s="167">
        <f>AQ112</f>
        <v>404.8</v>
      </c>
      <c r="AR137" s="154" t="s">
        <v>576</v>
      </c>
      <c r="AS137" s="167">
        <f>(AN137*AQ137)</f>
        <v>2428.8000000000002</v>
      </c>
      <c r="AU137" s="76">
        <f t="shared" si="14"/>
        <v>551.09472000000005</v>
      </c>
      <c r="AV137" s="76">
        <f t="shared" si="15"/>
        <v>1877.7052800000001</v>
      </c>
    </row>
    <row r="138" spans="1:48" ht="24" customHeight="1">
      <c r="A138" s="175">
        <f t="shared" ref="A138:A143" si="16">(A137+1)</f>
        <v>81</v>
      </c>
      <c r="B138" s="176" t="s">
        <v>853</v>
      </c>
      <c r="C138" s="177">
        <f>AC33</f>
        <v>45000</v>
      </c>
      <c r="D138" s="176" t="s">
        <v>567</v>
      </c>
      <c r="H138" s="154" t="s">
        <v>854</v>
      </c>
      <c r="N138" s="156"/>
      <c r="O138" s="154" t="s">
        <v>855</v>
      </c>
      <c r="Q138" s="158"/>
      <c r="AC138" s="217"/>
      <c r="AD138" s="217"/>
      <c r="AE138" s="218"/>
      <c r="AF138" s="217"/>
      <c r="AG138" s="219"/>
      <c r="AH138" s="217"/>
      <c r="AI138" s="217"/>
      <c r="AO138" s="165" t="s">
        <v>589</v>
      </c>
      <c r="AP138" s="154" t="s">
        <v>590</v>
      </c>
      <c r="AQ138" s="154" t="s">
        <v>22</v>
      </c>
      <c r="AR138" s="154" t="s">
        <v>589</v>
      </c>
      <c r="AS138" s="167">
        <v>0</v>
      </c>
      <c r="AU138" s="76">
        <f t="shared" si="14"/>
        <v>0</v>
      </c>
      <c r="AV138" s="76">
        <f t="shared" si="15"/>
        <v>0</v>
      </c>
    </row>
    <row r="139" spans="1:48" ht="24" customHeight="1">
      <c r="A139" s="175">
        <f t="shared" si="16"/>
        <v>82</v>
      </c>
      <c r="B139" s="176" t="s">
        <v>856</v>
      </c>
      <c r="C139" s="177">
        <f>AC32</f>
        <v>45000</v>
      </c>
      <c r="D139" s="176" t="s">
        <v>567</v>
      </c>
      <c r="H139" s="162" t="s">
        <v>534</v>
      </c>
      <c r="N139" s="156"/>
      <c r="O139" s="162" t="s">
        <v>534</v>
      </c>
      <c r="Q139" s="158"/>
      <c r="AC139" s="217"/>
      <c r="AD139" s="220"/>
      <c r="AE139" s="221"/>
      <c r="AF139" s="220"/>
      <c r="AG139" s="219"/>
      <c r="AH139" s="217"/>
      <c r="AI139" s="217"/>
      <c r="AO139" s="156"/>
      <c r="AR139" s="158"/>
      <c r="AS139" s="162" t="s">
        <v>534</v>
      </c>
      <c r="AU139" s="76">
        <f t="shared" si="14"/>
        <v>0</v>
      </c>
      <c r="AV139" s="76">
        <f t="shared" si="15"/>
        <v>0</v>
      </c>
    </row>
    <row r="140" spans="1:48" ht="24" customHeight="1">
      <c r="A140" s="175">
        <f t="shared" si="16"/>
        <v>83</v>
      </c>
      <c r="B140" s="176" t="s">
        <v>857</v>
      </c>
      <c r="C140" s="177">
        <f>AC33</f>
        <v>45000</v>
      </c>
      <c r="D140" s="176" t="s">
        <v>567</v>
      </c>
      <c r="F140" s="167">
        <v>1</v>
      </c>
      <c r="G140" s="165" t="s">
        <v>577</v>
      </c>
      <c r="H140" s="154" t="s">
        <v>858</v>
      </c>
      <c r="I140" s="167">
        <f>I36</f>
        <v>1514.4</v>
      </c>
      <c r="J140" s="154" t="s">
        <v>577</v>
      </c>
      <c r="K140" s="167">
        <f>(F140*I140)</f>
        <v>1514.4</v>
      </c>
      <c r="M140" s="167">
        <v>1</v>
      </c>
      <c r="N140" s="165" t="s">
        <v>577</v>
      </c>
      <c r="O140" s="154" t="s">
        <v>843</v>
      </c>
      <c r="P140" s="167">
        <f>AC38</f>
        <v>346.88</v>
      </c>
      <c r="Q140" s="154" t="s">
        <v>577</v>
      </c>
      <c r="R140" s="167">
        <f>(M140*P140)</f>
        <v>346.88</v>
      </c>
      <c r="AC140" s="217"/>
      <c r="AD140" s="220"/>
      <c r="AE140" s="221"/>
      <c r="AF140" s="220"/>
      <c r="AG140" s="219"/>
      <c r="AH140" s="217"/>
      <c r="AI140" s="217"/>
      <c r="AO140" s="156"/>
      <c r="AP140" s="154" t="s">
        <v>760</v>
      </c>
      <c r="AR140" s="158"/>
      <c r="AS140" s="167">
        <f>SUM(AS132:AS138)</f>
        <v>17073.557359999999</v>
      </c>
      <c r="AU140" s="76">
        <f t="shared" si="14"/>
        <v>3873.9901649840003</v>
      </c>
      <c r="AV140" s="76">
        <f t="shared" si="15"/>
        <v>13199.567195015999</v>
      </c>
    </row>
    <row r="141" spans="1:48" ht="24" customHeight="1">
      <c r="A141" s="175">
        <f t="shared" si="16"/>
        <v>84</v>
      </c>
      <c r="B141" s="176" t="s">
        <v>859</v>
      </c>
      <c r="C141" s="177">
        <f>AC38</f>
        <v>346.88</v>
      </c>
      <c r="D141" s="176" t="s">
        <v>577</v>
      </c>
      <c r="F141" s="167">
        <v>1</v>
      </c>
      <c r="G141" s="165" t="s">
        <v>577</v>
      </c>
      <c r="H141" s="154" t="s">
        <v>661</v>
      </c>
      <c r="I141" s="167">
        <f>C27</f>
        <v>24.64</v>
      </c>
      <c r="J141" s="154" t="s">
        <v>577</v>
      </c>
      <c r="K141" s="167">
        <f>(F141*I141)</f>
        <v>24.64</v>
      </c>
      <c r="M141" s="167">
        <v>1</v>
      </c>
      <c r="N141" s="165" t="s">
        <v>577</v>
      </c>
      <c r="O141" s="154" t="s">
        <v>661</v>
      </c>
      <c r="P141" s="167">
        <f>C26</f>
        <v>28.05</v>
      </c>
      <c r="Q141" s="154" t="s">
        <v>577</v>
      </c>
      <c r="R141" s="167">
        <f>(M141*P141)</f>
        <v>28.05</v>
      </c>
      <c r="AC141" s="217"/>
      <c r="AD141" s="220"/>
      <c r="AE141" s="221"/>
      <c r="AF141" s="220"/>
      <c r="AG141" s="219"/>
      <c r="AH141" s="217"/>
      <c r="AI141" s="217"/>
      <c r="AO141" s="156"/>
      <c r="AR141" s="158"/>
      <c r="AS141" s="162" t="s">
        <v>534</v>
      </c>
      <c r="AU141" s="76">
        <f t="shared" si="14"/>
        <v>0</v>
      </c>
      <c r="AV141" s="76">
        <f t="shared" si="15"/>
        <v>0</v>
      </c>
    </row>
    <row r="142" spans="1:48" ht="24" customHeight="1">
      <c r="A142" s="175">
        <f t="shared" si="16"/>
        <v>85</v>
      </c>
      <c r="B142" s="176" t="s">
        <v>860</v>
      </c>
      <c r="C142" s="177">
        <v>43563.69</v>
      </c>
      <c r="D142" s="176" t="s">
        <v>567</v>
      </c>
      <c r="G142" s="165" t="s">
        <v>589</v>
      </c>
      <c r="H142" s="154" t="s">
        <v>590</v>
      </c>
      <c r="I142" s="154" t="s">
        <v>22</v>
      </c>
      <c r="J142" s="154" t="s">
        <v>589</v>
      </c>
      <c r="K142" s="167">
        <v>0</v>
      </c>
      <c r="N142" s="165" t="s">
        <v>589</v>
      </c>
      <c r="O142" s="154" t="s">
        <v>590</v>
      </c>
      <c r="P142" s="154" t="s">
        <v>22</v>
      </c>
      <c r="Q142" s="154" t="s">
        <v>589</v>
      </c>
      <c r="R142" s="167">
        <v>0</v>
      </c>
      <c r="AC142" s="217"/>
      <c r="AD142" s="220"/>
      <c r="AE142" s="221"/>
      <c r="AF142" s="220"/>
      <c r="AG142" s="219"/>
      <c r="AH142" s="217"/>
      <c r="AI142" s="217"/>
      <c r="AO142" s="156"/>
      <c r="AP142" s="154" t="s">
        <v>685</v>
      </c>
      <c r="AR142" s="158"/>
      <c r="AS142" s="167">
        <f>(AS140/2.83168)</f>
        <v>6029.4797999773982</v>
      </c>
      <c r="AU142" s="76">
        <f t="shared" si="14"/>
        <v>1368.0889666148717</v>
      </c>
      <c r="AV142" s="76">
        <f t="shared" si="15"/>
        <v>4661.3908333625268</v>
      </c>
    </row>
    <row r="143" spans="1:48" ht="24" customHeight="1">
      <c r="A143" s="175">
        <f t="shared" si="16"/>
        <v>86</v>
      </c>
      <c r="B143" s="176" t="s">
        <v>861</v>
      </c>
      <c r="C143" s="172">
        <v>43750</v>
      </c>
      <c r="D143" s="176" t="s">
        <v>567</v>
      </c>
      <c r="E143" s="76">
        <v>5</v>
      </c>
      <c r="K143" s="162" t="s">
        <v>534</v>
      </c>
      <c r="N143" s="156"/>
      <c r="Q143" s="158"/>
      <c r="R143" s="162" t="s">
        <v>534</v>
      </c>
      <c r="AC143" s="217"/>
      <c r="AD143" s="220"/>
      <c r="AE143" s="221"/>
      <c r="AF143" s="220"/>
      <c r="AG143" s="219"/>
      <c r="AH143" s="217"/>
      <c r="AI143" s="217"/>
      <c r="AO143" s="156"/>
      <c r="AR143" s="158"/>
      <c r="AS143" s="162" t="s">
        <v>528</v>
      </c>
      <c r="AU143" s="76">
        <f t="shared" si="14"/>
        <v>0</v>
      </c>
      <c r="AV143" s="76">
        <f t="shared" si="15"/>
        <v>0</v>
      </c>
    </row>
    <row r="144" spans="1:48" ht="24" customHeight="1">
      <c r="A144" s="188"/>
      <c r="B144" s="176" t="s">
        <v>22</v>
      </c>
      <c r="C144" s="188"/>
      <c r="D144" s="188"/>
      <c r="H144" s="154" t="s">
        <v>862</v>
      </c>
      <c r="K144" s="166">
        <f>SUM(K138:K142)</f>
        <v>1539.0400000000002</v>
      </c>
      <c r="N144" s="156"/>
      <c r="O144" s="154" t="s">
        <v>599</v>
      </c>
      <c r="Q144" s="158"/>
      <c r="R144" s="167">
        <f>SUM(R140:R142)</f>
        <v>374.93</v>
      </c>
      <c r="AC144" s="217"/>
      <c r="AD144" s="220"/>
      <c r="AE144" s="221"/>
      <c r="AF144" s="220"/>
      <c r="AG144" s="219"/>
      <c r="AH144" s="217"/>
      <c r="AI144" s="217"/>
      <c r="AO144" s="156"/>
      <c r="AR144" s="158"/>
      <c r="AU144" s="76">
        <f t="shared" si="14"/>
        <v>0</v>
      </c>
      <c r="AV144" s="76">
        <f t="shared" si="15"/>
        <v>0</v>
      </c>
    </row>
    <row r="145" spans="1:48" ht="24" customHeight="1">
      <c r="A145" s="175">
        <f>(A143+1)</f>
        <v>87</v>
      </c>
      <c r="B145" s="176" t="s">
        <v>863</v>
      </c>
      <c r="C145" s="185">
        <v>7.5</v>
      </c>
      <c r="D145" s="176" t="s">
        <v>589</v>
      </c>
      <c r="K145" s="162" t="s">
        <v>534</v>
      </c>
      <c r="N145" s="156"/>
      <c r="O145" s="154" t="s">
        <v>864</v>
      </c>
      <c r="Q145" s="158"/>
      <c r="R145" s="162" t="s">
        <v>534</v>
      </c>
      <c r="AC145" s="217"/>
      <c r="AD145" s="220"/>
      <c r="AE145" s="221"/>
      <c r="AF145" s="220"/>
      <c r="AG145" s="219"/>
      <c r="AH145" s="217"/>
      <c r="AI145" s="217"/>
      <c r="AO145" s="165" t="s">
        <v>865</v>
      </c>
      <c r="AP145" s="154" t="s">
        <v>866</v>
      </c>
      <c r="AR145" s="158"/>
      <c r="AU145" s="76">
        <f t="shared" si="14"/>
        <v>0</v>
      </c>
      <c r="AV145" s="76">
        <f t="shared" si="15"/>
        <v>0</v>
      </c>
    </row>
    <row r="146" spans="1:48" ht="24" customHeight="1">
      <c r="A146" s="188"/>
      <c r="B146" s="154" t="s">
        <v>867</v>
      </c>
      <c r="C146" s="174">
        <v>13.5</v>
      </c>
      <c r="D146" s="188"/>
      <c r="F146" s="155" t="s">
        <v>868</v>
      </c>
      <c r="G146" s="165" t="s">
        <v>307</v>
      </c>
      <c r="H146" s="154" t="s">
        <v>869</v>
      </c>
      <c r="AC146" s="217"/>
      <c r="AD146" s="220"/>
      <c r="AE146" s="221"/>
      <c r="AF146" s="220"/>
      <c r="AG146" s="217"/>
      <c r="AH146" s="217"/>
      <c r="AI146" s="217"/>
      <c r="AO146" s="156"/>
      <c r="AP146" s="162" t="s">
        <v>534</v>
      </c>
      <c r="AR146" s="158"/>
      <c r="AU146" s="76">
        <f t="shared" si="14"/>
        <v>0</v>
      </c>
      <c r="AV146" s="76">
        <f t="shared" si="15"/>
        <v>0</v>
      </c>
    </row>
    <row r="147" spans="1:48" ht="24" customHeight="1">
      <c r="A147" s="175">
        <f>(A145+1)</f>
        <v>88</v>
      </c>
      <c r="B147" s="176" t="s">
        <v>870</v>
      </c>
      <c r="C147" s="177">
        <v>15.25</v>
      </c>
      <c r="D147" s="176" t="s">
        <v>420</v>
      </c>
      <c r="H147" s="154" t="s">
        <v>871</v>
      </c>
      <c r="M147" s="155" t="s">
        <v>839</v>
      </c>
      <c r="N147" s="165" t="s">
        <v>307</v>
      </c>
      <c r="O147" s="154" t="s">
        <v>840</v>
      </c>
      <c r="Q147" s="158"/>
      <c r="AC147" s="217"/>
      <c r="AD147" s="220"/>
      <c r="AE147" s="221"/>
      <c r="AF147" s="220"/>
      <c r="AG147" s="217"/>
      <c r="AH147" s="217"/>
      <c r="AI147" s="217"/>
      <c r="AN147" s="167">
        <v>1.1000000000000001</v>
      </c>
      <c r="AO147" s="165" t="s">
        <v>577</v>
      </c>
      <c r="AP147" s="154" t="s">
        <v>872</v>
      </c>
      <c r="AQ147" s="167">
        <f>(AS142)</f>
        <v>6029.4797999773982</v>
      </c>
      <c r="AR147" s="154" t="s">
        <v>577</v>
      </c>
      <c r="AS147" s="173">
        <f>(AN147*AQ147)</f>
        <v>6632.4277799751389</v>
      </c>
      <c r="AU147" s="76">
        <f t="shared" si="14"/>
        <v>1504.897863276359</v>
      </c>
      <c r="AV147" s="76">
        <f t="shared" si="15"/>
        <v>5127.5299166987797</v>
      </c>
    </row>
    <row r="148" spans="1:48" ht="24" customHeight="1">
      <c r="A148" s="175">
        <f>(A147+1)</f>
        <v>89</v>
      </c>
      <c r="B148" s="176" t="s">
        <v>873</v>
      </c>
      <c r="C148" s="174">
        <v>141</v>
      </c>
      <c r="D148" s="176" t="s">
        <v>420</v>
      </c>
      <c r="H148" s="154" t="s">
        <v>874</v>
      </c>
      <c r="N148" s="156"/>
      <c r="O148" s="154" t="s">
        <v>875</v>
      </c>
      <c r="Q148" s="158"/>
      <c r="AC148" s="217"/>
      <c r="AD148" s="220"/>
      <c r="AE148" s="221"/>
      <c r="AF148" s="220"/>
      <c r="AG148" s="217"/>
      <c r="AH148" s="217"/>
      <c r="AI148" s="217"/>
      <c r="AN148" s="167">
        <v>1</v>
      </c>
      <c r="AO148" s="165" t="s">
        <v>680</v>
      </c>
      <c r="AP148" s="154" t="s">
        <v>778</v>
      </c>
      <c r="AQ148" s="167">
        <f>AQ134</f>
        <v>717.2</v>
      </c>
      <c r="AR148" s="154" t="s">
        <v>576</v>
      </c>
      <c r="AS148" s="173">
        <f>(AN148*AQ148)</f>
        <v>717.2</v>
      </c>
      <c r="AU148" s="76">
        <f t="shared" si="14"/>
        <v>162.73268000000002</v>
      </c>
      <c r="AV148" s="76">
        <f t="shared" si="15"/>
        <v>554.46731999999997</v>
      </c>
    </row>
    <row r="149" spans="1:48" ht="24" customHeight="1">
      <c r="A149" s="188"/>
      <c r="B149" s="188"/>
      <c r="C149" s="188"/>
      <c r="D149" s="188"/>
      <c r="H149" s="154" t="s">
        <v>876</v>
      </c>
      <c r="N149" s="156"/>
      <c r="O149" s="162" t="s">
        <v>534</v>
      </c>
      <c r="Q149" s="158"/>
      <c r="AC149" s="217"/>
      <c r="AD149" s="220"/>
      <c r="AE149" s="221"/>
      <c r="AF149" s="220"/>
      <c r="AG149" s="217"/>
      <c r="AH149" s="217"/>
      <c r="AI149" s="217"/>
      <c r="AO149" s="165" t="s">
        <v>589</v>
      </c>
      <c r="AP149" s="154" t="s">
        <v>590</v>
      </c>
      <c r="AQ149" s="154" t="s">
        <v>22</v>
      </c>
      <c r="AR149" s="154" t="s">
        <v>589</v>
      </c>
      <c r="AS149" s="173">
        <v>0</v>
      </c>
      <c r="AU149" s="76">
        <f t="shared" si="14"/>
        <v>0</v>
      </c>
      <c r="AV149" s="76">
        <f t="shared" si="15"/>
        <v>0</v>
      </c>
    </row>
    <row r="150" spans="1:48" ht="24" customHeight="1">
      <c r="A150" s="188"/>
      <c r="B150" s="188"/>
      <c r="C150" s="188"/>
      <c r="D150" s="188"/>
      <c r="H150" s="154" t="s">
        <v>877</v>
      </c>
      <c r="M150" s="167">
        <v>1</v>
      </c>
      <c r="N150" s="165" t="s">
        <v>577</v>
      </c>
      <c r="O150" s="154" t="s">
        <v>878</v>
      </c>
      <c r="P150" s="167">
        <f>AC43</f>
        <v>119</v>
      </c>
      <c r="Q150" s="154" t="s">
        <v>577</v>
      </c>
      <c r="R150" s="167">
        <f>(M150*P150)</f>
        <v>119</v>
      </c>
      <c r="AC150" s="217"/>
      <c r="AD150" s="220"/>
      <c r="AE150" s="221"/>
      <c r="AF150" s="220"/>
      <c r="AG150" s="217"/>
      <c r="AH150" s="217"/>
      <c r="AI150" s="217"/>
      <c r="AO150" s="156"/>
      <c r="AR150" s="158"/>
      <c r="AS150" s="222" t="s">
        <v>534</v>
      </c>
      <c r="AU150" s="76">
        <f t="shared" si="14"/>
        <v>0</v>
      </c>
      <c r="AV150" s="76">
        <f t="shared" si="15"/>
        <v>0</v>
      </c>
    </row>
    <row r="151" spans="1:48" ht="24" customHeight="1">
      <c r="A151" s="188"/>
      <c r="B151" s="188"/>
      <c r="C151" s="188"/>
      <c r="D151" s="188"/>
      <c r="H151" s="162" t="s">
        <v>534</v>
      </c>
      <c r="M151" s="167">
        <v>1</v>
      </c>
      <c r="N151" s="165" t="s">
        <v>577</v>
      </c>
      <c r="O151" s="154" t="s">
        <v>661</v>
      </c>
      <c r="P151" s="167">
        <f>AE28</f>
        <v>28.05</v>
      </c>
      <c r="Q151" s="154" t="s">
        <v>577</v>
      </c>
      <c r="R151" s="167">
        <f>(M151*P151)</f>
        <v>28.05</v>
      </c>
      <c r="AC151" s="217"/>
      <c r="AD151" s="217"/>
      <c r="AE151" s="218"/>
      <c r="AF151" s="217"/>
      <c r="AG151" s="217"/>
      <c r="AH151" s="217"/>
      <c r="AI151" s="217"/>
      <c r="AO151" s="156"/>
      <c r="AP151" s="154" t="s">
        <v>879</v>
      </c>
      <c r="AR151" s="158"/>
      <c r="AS151" s="166">
        <f>SUM(AS147:AS149)</f>
        <v>7349.6277799751388</v>
      </c>
      <c r="AU151" s="76">
        <f t="shared" si="14"/>
        <v>1667.630543276359</v>
      </c>
      <c r="AV151" s="76">
        <f t="shared" si="15"/>
        <v>5681.9972366987795</v>
      </c>
    </row>
    <row r="152" spans="1:48" ht="24" customHeight="1">
      <c r="A152" s="188"/>
      <c r="B152" s="188"/>
      <c r="C152" s="188"/>
      <c r="D152" s="188"/>
      <c r="F152" s="167">
        <v>0.7</v>
      </c>
      <c r="G152" s="165" t="s">
        <v>577</v>
      </c>
      <c r="H152" s="154" t="s">
        <v>643</v>
      </c>
      <c r="I152" s="167">
        <f>C79</f>
        <v>1514.4</v>
      </c>
      <c r="J152" s="154" t="s">
        <v>577</v>
      </c>
      <c r="K152" s="167">
        <f t="shared" ref="K152:K157" si="17">(F152*I152)</f>
        <v>1060.08</v>
      </c>
      <c r="N152" s="165" t="s">
        <v>589</v>
      </c>
      <c r="O152" s="154" t="s">
        <v>590</v>
      </c>
      <c r="P152" s="154" t="s">
        <v>22</v>
      </c>
      <c r="Q152" s="154" t="s">
        <v>589</v>
      </c>
      <c r="R152" s="167">
        <v>0</v>
      </c>
      <c r="AE152" s="173"/>
      <c r="AO152" s="156"/>
      <c r="AR152" s="158"/>
      <c r="AS152" s="222" t="s">
        <v>534</v>
      </c>
      <c r="AU152" s="76">
        <f t="shared" si="14"/>
        <v>0</v>
      </c>
      <c r="AV152" s="76">
        <f t="shared" si="15"/>
        <v>0</v>
      </c>
    </row>
    <row r="153" spans="1:48" ht="24" customHeight="1">
      <c r="A153" s="188"/>
      <c r="B153" s="188"/>
      <c r="C153" s="188"/>
      <c r="D153" s="188"/>
      <c r="F153" s="167">
        <v>0.7</v>
      </c>
      <c r="G153" s="165" t="s">
        <v>577</v>
      </c>
      <c r="H153" s="223" t="s">
        <v>880</v>
      </c>
      <c r="I153" s="224">
        <f>C812</f>
        <v>3.15</v>
      </c>
      <c r="J153" s="154" t="s">
        <v>577</v>
      </c>
      <c r="K153" s="167">
        <f t="shared" si="17"/>
        <v>2.2049999999999996</v>
      </c>
      <c r="N153" s="156"/>
      <c r="Q153" s="158"/>
      <c r="R153" s="162" t="s">
        <v>534</v>
      </c>
      <c r="AE153" s="173"/>
      <c r="AO153" s="156"/>
      <c r="AP153" s="154" t="s">
        <v>881</v>
      </c>
      <c r="AR153" s="158"/>
      <c r="AS153" s="173">
        <f>(AS151/10)</f>
        <v>734.96277799751385</v>
      </c>
      <c r="AU153" s="76">
        <f t="shared" si="14"/>
        <v>166.7630543276359</v>
      </c>
      <c r="AV153" s="76">
        <f t="shared" si="15"/>
        <v>568.19972366987793</v>
      </c>
    </row>
    <row r="154" spans="1:48" ht="24" customHeight="1">
      <c r="A154" s="188"/>
      <c r="B154" s="188"/>
      <c r="C154" s="188"/>
      <c r="D154" s="188"/>
      <c r="F154" s="167">
        <v>0.72</v>
      </c>
      <c r="G154" s="165" t="s">
        <v>577</v>
      </c>
      <c r="H154" s="154" t="s">
        <v>882</v>
      </c>
      <c r="I154" s="167">
        <f>C35</f>
        <v>346.88</v>
      </c>
      <c r="J154" s="154" t="s">
        <v>577</v>
      </c>
      <c r="K154" s="167">
        <f t="shared" si="17"/>
        <v>249.75359999999998</v>
      </c>
      <c r="N154" s="156"/>
      <c r="O154" s="154" t="s">
        <v>599</v>
      </c>
      <c r="Q154" s="158"/>
      <c r="R154" s="167">
        <f>SUM(R150:R152)</f>
        <v>147.05000000000001</v>
      </c>
      <c r="AE154" s="173"/>
      <c r="AO154" s="156"/>
      <c r="AR154" s="158"/>
      <c r="AS154" s="222" t="s">
        <v>528</v>
      </c>
      <c r="AU154" s="76">
        <f t="shared" si="14"/>
        <v>0</v>
      </c>
      <c r="AV154" s="76">
        <f t="shared" si="15"/>
        <v>0</v>
      </c>
    </row>
    <row r="155" spans="1:48" ht="24" customHeight="1">
      <c r="A155" s="188"/>
      <c r="B155" s="188"/>
      <c r="C155" s="188"/>
      <c r="D155" s="188"/>
      <c r="F155" s="167">
        <v>0.72</v>
      </c>
      <c r="G155" s="165" t="s">
        <v>577</v>
      </c>
      <c r="H155" s="223" t="s">
        <v>880</v>
      </c>
      <c r="I155" s="224">
        <f>C812</f>
        <v>3.15</v>
      </c>
      <c r="J155" s="154" t="s">
        <v>577</v>
      </c>
      <c r="K155" s="167">
        <f t="shared" si="17"/>
        <v>2.2679999999999998</v>
      </c>
      <c r="N155" s="156"/>
      <c r="O155" s="154" t="s">
        <v>864</v>
      </c>
      <c r="Q155" s="158"/>
      <c r="R155" s="162" t="s">
        <v>534</v>
      </c>
      <c r="AE155" s="173"/>
      <c r="AO155" s="156"/>
      <c r="AP155" s="154" t="s">
        <v>789</v>
      </c>
      <c r="AR155" s="158">
        <f>AS155-AS153</f>
        <v>6.2314999999999827</v>
      </c>
      <c r="AS155" s="166">
        <f>(AS153+C19/10*AN147)</f>
        <v>741.19427799751384</v>
      </c>
      <c r="AT155" s="76">
        <f>AS153-AS155</f>
        <v>-6.2314999999999827</v>
      </c>
      <c r="AU155" s="76">
        <f t="shared" si="14"/>
        <v>168.17698167763589</v>
      </c>
      <c r="AV155" s="76">
        <f t="shared" si="15"/>
        <v>573.01729631987791</v>
      </c>
    </row>
    <row r="156" spans="1:48" ht="24" customHeight="1">
      <c r="A156" s="188"/>
      <c r="B156" s="188"/>
      <c r="C156" s="188"/>
      <c r="D156" s="188"/>
      <c r="F156" s="167">
        <v>1</v>
      </c>
      <c r="G156" s="165" t="s">
        <v>577</v>
      </c>
      <c r="H156" s="154" t="s">
        <v>654</v>
      </c>
      <c r="I156" s="167">
        <f>C18</f>
        <v>83.27000000000001</v>
      </c>
      <c r="J156" s="154" t="s">
        <v>577</v>
      </c>
      <c r="K156" s="167">
        <f t="shared" si="17"/>
        <v>83.27000000000001</v>
      </c>
      <c r="AE156" s="173"/>
      <c r="AO156" s="156"/>
      <c r="AP156" s="154" t="s">
        <v>793</v>
      </c>
      <c r="AR156" s="158">
        <f>AS156-AS155</f>
        <v>12.559799999999996</v>
      </c>
      <c r="AS156" s="166">
        <f>(AS155+C20/10*AN147)</f>
        <v>753.75407799751383</v>
      </c>
      <c r="AT156" s="76">
        <f>AS156-AS155</f>
        <v>12.559799999999996</v>
      </c>
      <c r="AU156" s="76">
        <f t="shared" si="14"/>
        <v>171.0268002976359</v>
      </c>
      <c r="AV156" s="76">
        <f t="shared" si="15"/>
        <v>582.72727769987796</v>
      </c>
    </row>
    <row r="157" spans="1:48" ht="24" customHeight="1">
      <c r="A157" s="188"/>
      <c r="B157" s="188"/>
      <c r="C157" s="188"/>
      <c r="D157" s="188"/>
      <c r="F157" s="167">
        <v>1</v>
      </c>
      <c r="G157" s="165" t="s">
        <v>577</v>
      </c>
      <c r="H157" s="223" t="s">
        <v>883</v>
      </c>
      <c r="I157" s="221">
        <f>C146</f>
        <v>13.5</v>
      </c>
      <c r="J157" s="154" t="s">
        <v>577</v>
      </c>
      <c r="K157" s="167">
        <f t="shared" si="17"/>
        <v>13.5</v>
      </c>
      <c r="AE157" s="173"/>
      <c r="AO157" s="156"/>
      <c r="AP157" s="154" t="s">
        <v>796</v>
      </c>
      <c r="AR157" s="158">
        <f>AS157-AS156</f>
        <v>12.559799999999996</v>
      </c>
      <c r="AS157" s="166">
        <f>(AS156+C21/10*AN147)</f>
        <v>766.31387799751383</v>
      </c>
      <c r="AU157" s="76">
        <f t="shared" si="14"/>
        <v>173.87661891763591</v>
      </c>
      <c r="AV157" s="76">
        <f t="shared" si="15"/>
        <v>592.43725907987789</v>
      </c>
    </row>
    <row r="158" spans="1:48" ht="24" customHeight="1">
      <c r="A158" s="188"/>
      <c r="B158" s="188"/>
      <c r="C158" s="188"/>
      <c r="D158" s="188"/>
      <c r="H158" s="154" t="s">
        <v>884</v>
      </c>
      <c r="AE158" s="173"/>
      <c r="AO158" s="156"/>
      <c r="AP158" s="154" t="s">
        <v>798</v>
      </c>
      <c r="AR158" s="158">
        <f>AS158-AS157</f>
        <v>12.559799999999996</v>
      </c>
      <c r="AS158" s="166">
        <f>(AS157+C21/10*AN147)</f>
        <v>778.87367799751382</v>
      </c>
      <c r="AU158" s="76">
        <f t="shared" si="14"/>
        <v>176.72643753763589</v>
      </c>
      <c r="AV158" s="76">
        <f t="shared" si="15"/>
        <v>602.14724045987793</v>
      </c>
    </row>
    <row r="159" spans="1:48" ht="24" customHeight="1">
      <c r="A159" s="188"/>
      <c r="B159" s="188"/>
      <c r="C159" s="188"/>
      <c r="D159" s="188"/>
      <c r="G159" s="165" t="s">
        <v>589</v>
      </c>
      <c r="H159" s="154" t="s">
        <v>590</v>
      </c>
      <c r="I159" s="154" t="s">
        <v>22</v>
      </c>
      <c r="J159" s="154" t="s">
        <v>589</v>
      </c>
      <c r="K159" s="167">
        <v>0</v>
      </c>
      <c r="AE159" s="173"/>
      <c r="AO159" s="156"/>
      <c r="AP159" s="154" t="s">
        <v>885</v>
      </c>
      <c r="AR159" s="158">
        <f>AS159-AS158</f>
        <v>12.559799999999996</v>
      </c>
      <c r="AS159" s="166">
        <f>(AS158+C21/10*AN147)</f>
        <v>791.43347799751382</v>
      </c>
      <c r="AU159" s="76">
        <f t="shared" si="14"/>
        <v>179.5762561576359</v>
      </c>
      <c r="AV159" s="76">
        <f t="shared" si="15"/>
        <v>611.85722183987787</v>
      </c>
    </row>
    <row r="160" spans="1:48" ht="24" customHeight="1">
      <c r="A160" s="188"/>
      <c r="B160" s="188"/>
      <c r="C160" s="188"/>
      <c r="D160" s="188"/>
      <c r="K160" s="162" t="s">
        <v>534</v>
      </c>
      <c r="M160" s="155" t="s">
        <v>886</v>
      </c>
      <c r="N160" s="165" t="s">
        <v>307</v>
      </c>
      <c r="O160" s="154" t="s">
        <v>887</v>
      </c>
      <c r="Q160" s="158"/>
      <c r="AE160" s="173"/>
      <c r="AN160" s="225">
        <v>11</v>
      </c>
      <c r="AO160" s="226" t="s">
        <v>307</v>
      </c>
      <c r="AP160" s="157" t="s">
        <v>888</v>
      </c>
      <c r="AQ160" s="199"/>
      <c r="AR160" s="207"/>
      <c r="AS160" s="199"/>
      <c r="AU160" s="76">
        <f t="shared" si="14"/>
        <v>0</v>
      </c>
      <c r="AV160" s="76">
        <f t="shared" si="15"/>
        <v>0</v>
      </c>
    </row>
    <row r="161" spans="1:48" ht="24" customHeight="1">
      <c r="A161" s="188"/>
      <c r="B161" s="188"/>
      <c r="C161" s="188"/>
      <c r="D161" s="188"/>
      <c r="H161" s="169" t="s">
        <v>862</v>
      </c>
      <c r="K161" s="166">
        <f>SUM(K152:K159)</f>
        <v>1411.0765999999999</v>
      </c>
      <c r="N161" s="156"/>
      <c r="O161" s="154" t="s">
        <v>889</v>
      </c>
      <c r="Q161" s="158"/>
      <c r="AE161" s="173"/>
      <c r="AN161" s="199"/>
      <c r="AO161" s="227"/>
      <c r="AP161" s="166" t="str">
        <f>AP61</f>
        <v>Bricks of size 23x11x7 cm</v>
      </c>
      <c r="AQ161" s="199"/>
      <c r="AR161" s="207"/>
      <c r="AS161" s="199"/>
      <c r="AU161" s="76">
        <f t="shared" si="14"/>
        <v>0</v>
      </c>
      <c r="AV161" s="76">
        <f t="shared" si="15"/>
        <v>0</v>
      </c>
    </row>
    <row r="162" spans="1:48" ht="24" customHeight="1">
      <c r="A162" s="188"/>
      <c r="B162" s="188"/>
      <c r="C162" s="188"/>
      <c r="D162" s="188"/>
      <c r="K162" s="162" t="s">
        <v>534</v>
      </c>
      <c r="N162" s="156"/>
      <c r="O162" s="162" t="s">
        <v>534</v>
      </c>
      <c r="Q162" s="158"/>
      <c r="AE162" s="173"/>
      <c r="AO162" s="156"/>
      <c r="AP162" s="162" t="s">
        <v>534</v>
      </c>
      <c r="AR162" s="158"/>
      <c r="AU162" s="76">
        <f t="shared" si="14"/>
        <v>0</v>
      </c>
      <c r="AV162" s="76">
        <f t="shared" si="15"/>
        <v>0</v>
      </c>
    </row>
    <row r="163" spans="1:48" ht="24" customHeight="1">
      <c r="A163" s="188"/>
      <c r="B163" s="188"/>
      <c r="C163" s="188"/>
      <c r="D163" s="188"/>
      <c r="H163" s="154" t="s">
        <v>22</v>
      </c>
      <c r="K163" s="154" t="s">
        <v>22</v>
      </c>
      <c r="M163" s="167">
        <v>9</v>
      </c>
      <c r="N163" s="165" t="s">
        <v>577</v>
      </c>
      <c r="O163" s="154" t="s">
        <v>890</v>
      </c>
      <c r="P163" s="167">
        <f>I195</f>
        <v>1116.8800000000001</v>
      </c>
      <c r="Q163" s="154" t="s">
        <v>577</v>
      </c>
      <c r="R163" s="167">
        <f>(M163*P163)</f>
        <v>10051.920000000002</v>
      </c>
      <c r="AE163" s="173"/>
      <c r="AN163" s="167">
        <f>AN63</f>
        <v>1300</v>
      </c>
      <c r="AO163" s="165" t="s">
        <v>773</v>
      </c>
      <c r="AP163" s="167" t="str">
        <f>AP61</f>
        <v>Bricks of size 23x11x7 cm</v>
      </c>
      <c r="AQ163" s="167">
        <f>AC45</f>
        <v>6449.19</v>
      </c>
      <c r="AR163" s="154" t="s">
        <v>891</v>
      </c>
      <c r="AS163" s="167">
        <f>(AN163*AQ163)/1000</f>
        <v>8383.9469999999983</v>
      </c>
      <c r="AU163" s="76">
        <f t="shared" si="14"/>
        <v>1902.3175742999997</v>
      </c>
      <c r="AV163" s="76">
        <f t="shared" si="15"/>
        <v>6481.629425699999</v>
      </c>
    </row>
    <row r="164" spans="1:48" ht="24" customHeight="1">
      <c r="A164" s="188"/>
      <c r="B164" s="188"/>
      <c r="C164" s="188"/>
      <c r="D164" s="188"/>
      <c r="K164" s="154" t="s">
        <v>22</v>
      </c>
      <c r="M164" s="167">
        <v>4.5</v>
      </c>
      <c r="N164" s="165" t="s">
        <v>577</v>
      </c>
      <c r="O164" s="154" t="s">
        <v>702</v>
      </c>
      <c r="P164" s="167">
        <f>K40</f>
        <v>3667.67</v>
      </c>
      <c r="Q164" s="154" t="s">
        <v>577</v>
      </c>
      <c r="R164" s="167">
        <f>(M164*P164)</f>
        <v>16504.514999999999</v>
      </c>
      <c r="AE164" s="173"/>
      <c r="AN164" s="198">
        <f>AN133</f>
        <v>0.70799999999999996</v>
      </c>
      <c r="AO164" s="165" t="s">
        <v>577</v>
      </c>
      <c r="AP164" s="154" t="s">
        <v>702</v>
      </c>
      <c r="AQ164" s="167">
        <f>AQ133</f>
        <v>3667.67</v>
      </c>
      <c r="AR164" s="154" t="s">
        <v>577</v>
      </c>
      <c r="AS164" s="167">
        <f>(AN164*AQ164)</f>
        <v>2596.71036</v>
      </c>
      <c r="AU164" s="76">
        <f t="shared" ref="AU164:AU217" si="18">AS164*22.69/100</f>
        <v>589.19358068400004</v>
      </c>
      <c r="AV164" s="76">
        <f t="shared" ref="AV164:AV217" si="19">AS164-AU164</f>
        <v>2007.5167793159999</v>
      </c>
    </row>
    <row r="165" spans="1:48" ht="24" customHeight="1">
      <c r="A165" s="228">
        <v>2.2999999999999998</v>
      </c>
      <c r="B165" s="176" t="s">
        <v>892</v>
      </c>
      <c r="C165" s="188">
        <f>AC19+I168</f>
        <v>806.05</v>
      </c>
      <c r="D165" s="188"/>
      <c r="F165" s="200">
        <v>2.6</v>
      </c>
      <c r="G165" s="165" t="s">
        <v>307</v>
      </c>
      <c r="H165" s="154" t="s">
        <v>893</v>
      </c>
      <c r="M165" s="167">
        <v>1.8</v>
      </c>
      <c r="N165" s="165" t="s">
        <v>576</v>
      </c>
      <c r="O165" s="154" t="s">
        <v>752</v>
      </c>
      <c r="P165" s="167">
        <f>I197</f>
        <v>669.90000000000009</v>
      </c>
      <c r="Q165" s="154" t="s">
        <v>576</v>
      </c>
      <c r="R165" s="167">
        <f>(M165*P165)</f>
        <v>1205.8200000000002</v>
      </c>
      <c r="AE165" s="173"/>
      <c r="AN165" s="167">
        <v>1</v>
      </c>
      <c r="AO165" s="165" t="s">
        <v>576</v>
      </c>
      <c r="AP165" s="154" t="s">
        <v>778</v>
      </c>
      <c r="AQ165" s="167">
        <f>AQ134</f>
        <v>717.2</v>
      </c>
      <c r="AR165" s="154" t="s">
        <v>576</v>
      </c>
      <c r="AS165" s="167">
        <f>(AN165*AQ165)</f>
        <v>717.2</v>
      </c>
      <c r="AU165" s="76">
        <f t="shared" si="18"/>
        <v>162.73268000000002</v>
      </c>
      <c r="AV165" s="76">
        <f t="shared" si="19"/>
        <v>554.46731999999997</v>
      </c>
    </row>
    <row r="166" spans="1:48" ht="24" customHeight="1">
      <c r="A166" s="228">
        <v>2.4</v>
      </c>
      <c r="B166" s="176" t="s">
        <v>894</v>
      </c>
      <c r="C166" s="188">
        <f>AC20+I168</f>
        <v>882.05</v>
      </c>
      <c r="D166" s="188"/>
      <c r="H166" s="162" t="s">
        <v>534</v>
      </c>
      <c r="M166" s="167">
        <v>17.7</v>
      </c>
      <c r="N166" s="165" t="s">
        <v>576</v>
      </c>
      <c r="O166" s="154" t="s">
        <v>754</v>
      </c>
      <c r="P166" s="167">
        <f>I198</f>
        <v>468.6</v>
      </c>
      <c r="Q166" s="154" t="s">
        <v>576</v>
      </c>
      <c r="R166" s="167">
        <f>(M166*P166)</f>
        <v>8294.2199999999993</v>
      </c>
      <c r="AE166" s="173"/>
      <c r="AN166" s="167">
        <v>3</v>
      </c>
      <c r="AO166" s="165" t="s">
        <v>576</v>
      </c>
      <c r="AP166" s="154" t="s">
        <v>752</v>
      </c>
      <c r="AQ166" s="167">
        <f>AQ135</f>
        <v>669.90000000000009</v>
      </c>
      <c r="AR166" s="154" t="s">
        <v>576</v>
      </c>
      <c r="AS166" s="167">
        <f>(AN166*AQ166)</f>
        <v>2009.7000000000003</v>
      </c>
      <c r="AU166" s="76">
        <f t="shared" si="18"/>
        <v>456.0009300000001</v>
      </c>
      <c r="AV166" s="76">
        <f t="shared" si="19"/>
        <v>1553.6990700000001</v>
      </c>
    </row>
    <row r="167" spans="1:48" ht="24" customHeight="1">
      <c r="A167" s="188"/>
      <c r="B167" s="188"/>
      <c r="C167" s="188"/>
      <c r="D167" s="188"/>
      <c r="F167" s="167">
        <v>1</v>
      </c>
      <c r="G167" s="165" t="s">
        <v>577</v>
      </c>
      <c r="H167" s="154" t="s">
        <v>895</v>
      </c>
      <c r="I167" s="167">
        <f>AC15</f>
        <v>1116.8800000000001</v>
      </c>
      <c r="J167" s="154" t="s">
        <v>577</v>
      </c>
      <c r="K167" s="167">
        <f>(F167*I167)</f>
        <v>1116.8800000000001</v>
      </c>
      <c r="M167" s="167">
        <v>14.1</v>
      </c>
      <c r="N167" s="165" t="s">
        <v>576</v>
      </c>
      <c r="O167" s="154" t="s">
        <v>756</v>
      </c>
      <c r="P167" s="167">
        <f>I199</f>
        <v>404.8</v>
      </c>
      <c r="Q167" s="154" t="s">
        <v>576</v>
      </c>
      <c r="R167" s="167">
        <f>(M167*P167)</f>
        <v>5707.68</v>
      </c>
      <c r="AE167" s="173"/>
      <c r="AN167" s="167">
        <v>2</v>
      </c>
      <c r="AO167" s="165" t="s">
        <v>576</v>
      </c>
      <c r="AP167" s="154" t="s">
        <v>754</v>
      </c>
      <c r="AQ167" s="167">
        <f>AQ136</f>
        <v>468.6</v>
      </c>
      <c r="AR167" s="154" t="s">
        <v>576</v>
      </c>
      <c r="AS167" s="167">
        <f>(AN167*AQ167)</f>
        <v>937.2</v>
      </c>
      <c r="AU167" s="76">
        <f t="shared" si="18"/>
        <v>212.65068000000002</v>
      </c>
      <c r="AV167" s="76">
        <f t="shared" si="19"/>
        <v>724.54932000000008</v>
      </c>
    </row>
    <row r="168" spans="1:48" ht="24" customHeight="1">
      <c r="A168" s="188"/>
      <c r="B168" s="188"/>
      <c r="C168" s="188"/>
      <c r="D168" s="188"/>
      <c r="F168" s="167">
        <v>1</v>
      </c>
      <c r="G168" s="165" t="s">
        <v>577</v>
      </c>
      <c r="H168" s="154" t="s">
        <v>661</v>
      </c>
      <c r="I168" s="167">
        <f>C26</f>
        <v>28.05</v>
      </c>
      <c r="J168" s="154" t="s">
        <v>577</v>
      </c>
      <c r="K168" s="167">
        <f>(F168*I168)</f>
        <v>28.05</v>
      </c>
      <c r="N168" s="165" t="s">
        <v>589</v>
      </c>
      <c r="O168" s="154" t="s">
        <v>590</v>
      </c>
      <c r="Q168" s="154" t="s">
        <v>589</v>
      </c>
      <c r="R168" s="167">
        <v>0</v>
      </c>
      <c r="AE168" s="173"/>
      <c r="AN168" s="167">
        <v>6</v>
      </c>
      <c r="AO168" s="165" t="s">
        <v>576</v>
      </c>
      <c r="AP168" s="154" t="s">
        <v>756</v>
      </c>
      <c r="AQ168" s="167">
        <f>AQ137</f>
        <v>404.8</v>
      </c>
      <c r="AR168" s="154" t="s">
        <v>576</v>
      </c>
      <c r="AS168" s="167">
        <f>(AN168*AQ168)</f>
        <v>2428.8000000000002</v>
      </c>
      <c r="AU168" s="76">
        <f t="shared" si="18"/>
        <v>551.09472000000005</v>
      </c>
      <c r="AV168" s="76">
        <f t="shared" si="19"/>
        <v>1877.7052800000001</v>
      </c>
    </row>
    <row r="169" spans="1:48" ht="24" customHeight="1">
      <c r="A169" s="188"/>
      <c r="B169" s="188"/>
      <c r="C169" s="188"/>
      <c r="D169" s="188"/>
      <c r="G169" s="165" t="s">
        <v>589</v>
      </c>
      <c r="H169" s="154" t="s">
        <v>590</v>
      </c>
      <c r="I169" s="154" t="s">
        <v>22</v>
      </c>
      <c r="J169" s="154" t="s">
        <v>589</v>
      </c>
      <c r="K169" s="167">
        <v>0</v>
      </c>
      <c r="N169" s="156"/>
      <c r="Q169" s="158"/>
      <c r="R169" s="162" t="s">
        <v>534</v>
      </c>
      <c r="AE169" s="173"/>
      <c r="AO169" s="165" t="s">
        <v>589</v>
      </c>
      <c r="AP169" s="154" t="s">
        <v>590</v>
      </c>
      <c r="AQ169" s="154" t="s">
        <v>22</v>
      </c>
      <c r="AR169" s="154" t="s">
        <v>589</v>
      </c>
      <c r="AS169" s="167">
        <v>0</v>
      </c>
      <c r="AU169" s="76">
        <f t="shared" si="18"/>
        <v>0</v>
      </c>
      <c r="AV169" s="76">
        <f t="shared" si="19"/>
        <v>0</v>
      </c>
    </row>
    <row r="170" spans="1:48" ht="24" customHeight="1">
      <c r="A170" s="188"/>
      <c r="B170" s="188"/>
      <c r="C170" s="188"/>
      <c r="D170" s="188"/>
      <c r="K170" s="162" t="s">
        <v>534</v>
      </c>
      <c r="N170" s="156"/>
      <c r="Q170" s="158"/>
      <c r="R170" s="167">
        <f>SUM(R163:R168)</f>
        <v>41764.154999999999</v>
      </c>
      <c r="AE170" s="173"/>
      <c r="AO170" s="156"/>
      <c r="AR170" s="158"/>
      <c r="AS170" s="162" t="s">
        <v>534</v>
      </c>
      <c r="AU170" s="76">
        <f t="shared" si="18"/>
        <v>0</v>
      </c>
      <c r="AV170" s="76">
        <f t="shared" si="19"/>
        <v>0</v>
      </c>
    </row>
    <row r="171" spans="1:48" ht="24" customHeight="1">
      <c r="A171" s="188"/>
      <c r="B171" s="188"/>
      <c r="C171" s="188"/>
      <c r="D171" s="188"/>
      <c r="H171" s="169" t="s">
        <v>862</v>
      </c>
      <c r="K171" s="166">
        <f>SUM(K166:K169)</f>
        <v>1144.93</v>
      </c>
      <c r="N171" s="156"/>
      <c r="O171" s="229" t="s">
        <v>760</v>
      </c>
      <c r="Q171" s="158"/>
      <c r="R171" s="162" t="s">
        <v>534</v>
      </c>
      <c r="AE171" s="173"/>
      <c r="AO171" s="156"/>
      <c r="AP171" s="154" t="s">
        <v>760</v>
      </c>
      <c r="AR171" s="158"/>
      <c r="AS171" s="167">
        <f>SUM(AS163:AS169)</f>
        <v>17073.557359999999</v>
      </c>
      <c r="AU171" s="76">
        <f t="shared" si="18"/>
        <v>3873.9901649840003</v>
      </c>
      <c r="AV171" s="76">
        <f t="shared" si="19"/>
        <v>13199.567195015999</v>
      </c>
    </row>
    <row r="172" spans="1:48" ht="24" customHeight="1">
      <c r="A172" s="188"/>
      <c r="B172" s="188"/>
      <c r="C172" s="188"/>
      <c r="D172" s="188"/>
      <c r="K172" s="162" t="s">
        <v>534</v>
      </c>
      <c r="N172" s="156"/>
      <c r="Q172" s="158"/>
      <c r="R172" s="166">
        <f>(R170/10)</f>
        <v>4176.4155000000001</v>
      </c>
      <c r="AE172" s="173"/>
      <c r="AO172" s="156"/>
      <c r="AR172" s="158"/>
      <c r="AS172" s="162" t="s">
        <v>534</v>
      </c>
      <c r="AU172" s="76">
        <f t="shared" si="18"/>
        <v>0</v>
      </c>
      <c r="AV172" s="76">
        <f t="shared" si="19"/>
        <v>0</v>
      </c>
    </row>
    <row r="173" spans="1:48" ht="24" customHeight="1">
      <c r="A173" s="188"/>
      <c r="B173" s="188"/>
      <c r="C173" s="188"/>
      <c r="D173" s="188"/>
      <c r="F173" s="200">
        <v>2.7</v>
      </c>
      <c r="G173" s="165" t="s">
        <v>307</v>
      </c>
      <c r="H173" s="154" t="s">
        <v>896</v>
      </c>
      <c r="N173" s="156"/>
      <c r="O173" s="169" t="s">
        <v>685</v>
      </c>
      <c r="Q173" s="158"/>
      <c r="R173" s="162" t="s">
        <v>528</v>
      </c>
      <c r="AE173" s="173"/>
      <c r="AO173" s="156"/>
      <c r="AP173" s="154" t="s">
        <v>685</v>
      </c>
      <c r="AR173" s="158"/>
      <c r="AS173" s="167">
        <f>(AS171/2.83168)</f>
        <v>6029.4797999773982</v>
      </c>
      <c r="AU173" s="76">
        <f t="shared" si="18"/>
        <v>1368.0889666148717</v>
      </c>
      <c r="AV173" s="76">
        <f t="shared" si="19"/>
        <v>4661.3908333625268</v>
      </c>
    </row>
    <row r="174" spans="1:48" ht="24" customHeight="1">
      <c r="A174" s="188"/>
      <c r="B174" s="188"/>
      <c r="C174" s="188"/>
      <c r="D174" s="188"/>
      <c r="H174" s="162" t="s">
        <v>534</v>
      </c>
      <c r="AE174" s="173"/>
      <c r="AO174" s="156"/>
      <c r="AR174" s="158"/>
      <c r="AS174" s="162" t="s">
        <v>528</v>
      </c>
      <c r="AU174" s="76">
        <f t="shared" si="18"/>
        <v>0</v>
      </c>
      <c r="AV174" s="76">
        <f t="shared" si="19"/>
        <v>0</v>
      </c>
    </row>
    <row r="175" spans="1:48" ht="24" customHeight="1">
      <c r="A175" s="188"/>
      <c r="B175" s="188"/>
      <c r="C175" s="188"/>
      <c r="D175" s="188"/>
      <c r="F175" s="167">
        <v>1</v>
      </c>
      <c r="G175" s="165" t="s">
        <v>577</v>
      </c>
      <c r="H175" s="154" t="s">
        <v>897</v>
      </c>
      <c r="I175" s="167">
        <f>AC14</f>
        <v>1500.88</v>
      </c>
      <c r="J175" s="154" t="s">
        <v>577</v>
      </c>
      <c r="K175" s="167">
        <f>(F175*I175)</f>
        <v>1500.88</v>
      </c>
      <c r="AE175" s="173"/>
      <c r="AN175" s="154" t="s">
        <v>535</v>
      </c>
      <c r="AO175" s="156"/>
      <c r="AR175" s="158"/>
      <c r="AU175" s="76">
        <f t="shared" si="18"/>
        <v>0</v>
      </c>
      <c r="AV175" s="76">
        <f t="shared" si="19"/>
        <v>0</v>
      </c>
    </row>
    <row r="176" spans="1:48" ht="24" customHeight="1">
      <c r="A176" s="188"/>
      <c r="B176" s="188"/>
      <c r="C176" s="188"/>
      <c r="D176" s="188"/>
      <c r="F176" s="167">
        <v>1</v>
      </c>
      <c r="G176" s="165" t="s">
        <v>577</v>
      </c>
      <c r="H176" s="154" t="s">
        <v>661</v>
      </c>
      <c r="I176" s="167">
        <f>C26</f>
        <v>28.05</v>
      </c>
      <c r="J176" s="154" t="s">
        <v>577</v>
      </c>
      <c r="K176" s="167">
        <f>(F176*I176)</f>
        <v>28.05</v>
      </c>
      <c r="AE176" s="173"/>
      <c r="AO176" s="156"/>
      <c r="AR176" s="158"/>
      <c r="AU176" s="76">
        <f t="shared" si="18"/>
        <v>0</v>
      </c>
      <c r="AV176" s="76">
        <f t="shared" si="19"/>
        <v>0</v>
      </c>
    </row>
    <row r="177" spans="1:48" ht="24" customHeight="1">
      <c r="A177" s="188"/>
      <c r="B177" s="188"/>
      <c r="C177" s="188"/>
      <c r="D177" s="188"/>
      <c r="G177" s="165" t="s">
        <v>589</v>
      </c>
      <c r="H177" s="154" t="s">
        <v>590</v>
      </c>
      <c r="I177" s="154" t="s">
        <v>22</v>
      </c>
      <c r="J177" s="154" t="s">
        <v>589</v>
      </c>
      <c r="K177" s="167">
        <v>0</v>
      </c>
      <c r="AE177" s="173"/>
      <c r="AO177" s="165" t="s">
        <v>898</v>
      </c>
      <c r="AP177" s="154" t="s">
        <v>899</v>
      </c>
      <c r="AR177" s="158"/>
      <c r="AU177" s="76">
        <f t="shared" si="18"/>
        <v>0</v>
      </c>
      <c r="AV177" s="76">
        <f t="shared" si="19"/>
        <v>0</v>
      </c>
    </row>
    <row r="178" spans="1:48" ht="24" customHeight="1">
      <c r="A178" s="188"/>
      <c r="B178" s="188"/>
      <c r="C178" s="188"/>
      <c r="D178" s="188"/>
      <c r="K178" s="162" t="s">
        <v>534</v>
      </c>
      <c r="AE178" s="173"/>
      <c r="AO178" s="156"/>
      <c r="AP178" s="162" t="s">
        <v>534</v>
      </c>
      <c r="AR178" s="158"/>
      <c r="AU178" s="76">
        <f t="shared" si="18"/>
        <v>0</v>
      </c>
      <c r="AV178" s="76">
        <f t="shared" si="19"/>
        <v>0</v>
      </c>
    </row>
    <row r="179" spans="1:48" ht="24" customHeight="1">
      <c r="A179" s="188"/>
      <c r="B179" s="188"/>
      <c r="C179" s="188"/>
      <c r="D179" s="188"/>
      <c r="H179" s="169" t="s">
        <v>862</v>
      </c>
      <c r="K179" s="166">
        <f>SUM(K174:K177)</f>
        <v>1528.93</v>
      </c>
      <c r="AE179" s="173"/>
      <c r="AN179" s="167">
        <v>0.7</v>
      </c>
      <c r="AO179" s="165" t="s">
        <v>577</v>
      </c>
      <c r="AP179" s="154" t="s">
        <v>900</v>
      </c>
      <c r="AQ179" s="167">
        <f>AQ147</f>
        <v>6029.4797999773982</v>
      </c>
      <c r="AR179" s="154" t="s">
        <v>576</v>
      </c>
      <c r="AS179" s="167">
        <f>(AN179*AQ179)</f>
        <v>4220.6358599841788</v>
      </c>
      <c r="AU179" s="76">
        <f t="shared" si="18"/>
        <v>957.66227663041025</v>
      </c>
      <c r="AV179" s="76">
        <f t="shared" si="19"/>
        <v>3262.9735833537684</v>
      </c>
    </row>
    <row r="180" spans="1:48" ht="24" customHeight="1">
      <c r="K180" s="162" t="s">
        <v>534</v>
      </c>
      <c r="M180" s="167">
        <v>2.5</v>
      </c>
      <c r="N180" s="154" t="s">
        <v>577</v>
      </c>
      <c r="O180" s="154" t="s">
        <v>749</v>
      </c>
      <c r="P180" s="167">
        <f>(K58)</f>
        <v>2977.67</v>
      </c>
      <c r="Q180" s="154" t="s">
        <v>577</v>
      </c>
      <c r="R180" s="167">
        <f>(M180*P180)</f>
        <v>7444.1750000000002</v>
      </c>
      <c r="AE180" s="173"/>
      <c r="AG180" s="154"/>
      <c r="AN180" s="167">
        <v>1</v>
      </c>
      <c r="AO180" s="165" t="s">
        <v>680</v>
      </c>
      <c r="AP180" s="154" t="s">
        <v>778</v>
      </c>
      <c r="AQ180" s="167">
        <f>AQ165</f>
        <v>717.2</v>
      </c>
      <c r="AR180" s="154" t="s">
        <v>576</v>
      </c>
      <c r="AS180" s="167">
        <f>(AN180*AQ180)</f>
        <v>717.2</v>
      </c>
      <c r="AU180" s="76">
        <f t="shared" si="18"/>
        <v>162.73268000000002</v>
      </c>
      <c r="AV180" s="76">
        <f t="shared" si="19"/>
        <v>554.46731999999997</v>
      </c>
    </row>
    <row r="181" spans="1:48" ht="24" customHeight="1">
      <c r="H181" s="154" t="s">
        <v>22</v>
      </c>
      <c r="M181" s="167">
        <v>3.5</v>
      </c>
      <c r="N181" s="154" t="s">
        <v>576</v>
      </c>
      <c r="O181" s="154" t="s">
        <v>778</v>
      </c>
      <c r="P181" s="167">
        <f>(C10)</f>
        <v>717.2</v>
      </c>
      <c r="Q181" s="154" t="s">
        <v>576</v>
      </c>
      <c r="R181" s="167">
        <f>(M181*P181)</f>
        <v>2510.2000000000003</v>
      </c>
      <c r="AE181" s="173"/>
      <c r="AG181" s="154"/>
      <c r="AO181" s="165" t="s">
        <v>589</v>
      </c>
      <c r="AP181" s="154" t="s">
        <v>590</v>
      </c>
      <c r="AQ181" s="154" t="s">
        <v>22</v>
      </c>
      <c r="AR181" s="154" t="s">
        <v>589</v>
      </c>
      <c r="AS181" s="167">
        <v>0</v>
      </c>
      <c r="AU181" s="76">
        <f t="shared" si="18"/>
        <v>0</v>
      </c>
      <c r="AV181" s="76">
        <f t="shared" si="19"/>
        <v>0</v>
      </c>
    </row>
    <row r="182" spans="1:48" ht="24" customHeight="1">
      <c r="F182" s="155" t="s">
        <v>901</v>
      </c>
      <c r="H182" s="154" t="s">
        <v>902</v>
      </c>
      <c r="AE182" s="173"/>
      <c r="AO182" s="156"/>
      <c r="AR182" s="158"/>
      <c r="AS182" s="162" t="s">
        <v>534</v>
      </c>
      <c r="AU182" s="76">
        <f t="shared" si="18"/>
        <v>0</v>
      </c>
      <c r="AV182" s="76">
        <f t="shared" si="19"/>
        <v>0</v>
      </c>
    </row>
    <row r="183" spans="1:48" ht="24" customHeight="1">
      <c r="A183" s="188"/>
      <c r="B183" s="188"/>
      <c r="C183" s="188"/>
      <c r="D183" s="188"/>
      <c r="AE183" s="173"/>
      <c r="AO183" s="156"/>
      <c r="AP183" s="154" t="s">
        <v>879</v>
      </c>
      <c r="AR183" s="158"/>
      <c r="AS183" s="166">
        <f>SUM(AS179:AS181)</f>
        <v>4937.8358599841786</v>
      </c>
      <c r="AU183" s="76">
        <f t="shared" si="18"/>
        <v>1120.3949566304102</v>
      </c>
      <c r="AV183" s="76">
        <f t="shared" si="19"/>
        <v>3817.4409033537686</v>
      </c>
    </row>
    <row r="184" spans="1:48" ht="24" customHeight="1">
      <c r="A184" s="188"/>
      <c r="B184" s="188"/>
      <c r="C184" s="188"/>
      <c r="D184" s="188"/>
      <c r="F184" s="167">
        <v>1</v>
      </c>
      <c r="G184" s="165" t="s">
        <v>577</v>
      </c>
      <c r="H184" s="154" t="s">
        <v>903</v>
      </c>
      <c r="I184" s="167">
        <f>C35</f>
        <v>346.88</v>
      </c>
      <c r="J184" s="154" t="s">
        <v>577</v>
      </c>
      <c r="K184" s="167">
        <f>(F184*I184)</f>
        <v>346.88</v>
      </c>
      <c r="AE184" s="173"/>
      <c r="AO184" s="156"/>
      <c r="AR184" s="158"/>
      <c r="AS184" s="162" t="s">
        <v>534</v>
      </c>
      <c r="AU184" s="76">
        <f t="shared" si="18"/>
        <v>0</v>
      </c>
      <c r="AV184" s="76">
        <f t="shared" si="19"/>
        <v>0</v>
      </c>
    </row>
    <row r="185" spans="1:48" ht="24" customHeight="1">
      <c r="A185" s="188"/>
      <c r="B185" s="188"/>
      <c r="C185" s="188"/>
      <c r="D185" s="188"/>
      <c r="F185" s="167">
        <v>1</v>
      </c>
      <c r="G185" s="165" t="s">
        <v>577</v>
      </c>
      <c r="H185" s="154" t="s">
        <v>880</v>
      </c>
      <c r="I185" s="230">
        <f>C812</f>
        <v>3.15</v>
      </c>
      <c r="J185" s="154" t="s">
        <v>577</v>
      </c>
      <c r="K185" s="167">
        <f>(F185*I185)</f>
        <v>3.15</v>
      </c>
      <c r="AE185" s="173"/>
      <c r="AO185" s="156"/>
      <c r="AP185" s="154" t="s">
        <v>881</v>
      </c>
      <c r="AR185" s="158"/>
      <c r="AS185" s="167">
        <f>(AS183/10)</f>
        <v>493.78358599841783</v>
      </c>
      <c r="AU185" s="76">
        <f t="shared" si="18"/>
        <v>112.03949566304101</v>
      </c>
      <c r="AV185" s="76">
        <f t="shared" si="19"/>
        <v>381.74409033537682</v>
      </c>
    </row>
    <row r="186" spans="1:48" ht="24" customHeight="1">
      <c r="A186" s="188"/>
      <c r="B186" s="188"/>
      <c r="C186" s="188"/>
      <c r="D186" s="188"/>
      <c r="F186" s="167">
        <v>1</v>
      </c>
      <c r="G186" s="165" t="s">
        <v>577</v>
      </c>
      <c r="H186" s="154" t="s">
        <v>883</v>
      </c>
      <c r="I186" s="230">
        <f>C146</f>
        <v>13.5</v>
      </c>
      <c r="J186" s="154" t="s">
        <v>577</v>
      </c>
      <c r="K186" s="167">
        <f>(F186*I186)</f>
        <v>13.5</v>
      </c>
      <c r="AE186" s="173"/>
      <c r="AO186" s="156"/>
      <c r="AR186" s="158"/>
      <c r="AS186" s="162" t="s">
        <v>528</v>
      </c>
      <c r="AU186" s="76">
        <f t="shared" si="18"/>
        <v>0</v>
      </c>
      <c r="AV186" s="76">
        <f t="shared" si="19"/>
        <v>0</v>
      </c>
    </row>
    <row r="187" spans="1:48" ht="24" customHeight="1">
      <c r="A187" s="188"/>
      <c r="B187" s="188"/>
      <c r="C187" s="188"/>
      <c r="D187" s="188"/>
      <c r="H187" s="154" t="s">
        <v>884</v>
      </c>
      <c r="AE187" s="173"/>
      <c r="AO187" s="156"/>
      <c r="AP187" s="154" t="s">
        <v>789</v>
      </c>
      <c r="AR187" s="158">
        <f>AS187-AS185</f>
        <v>3.96550000000002</v>
      </c>
      <c r="AS187" s="166">
        <f>(AS185+C19/10*AN179)</f>
        <v>497.74908599841785</v>
      </c>
      <c r="AU187" s="76">
        <f t="shared" si="18"/>
        <v>112.93926761304101</v>
      </c>
      <c r="AV187" s="76">
        <f t="shared" si="19"/>
        <v>384.80981838537684</v>
      </c>
    </row>
    <row r="188" spans="1:48" ht="24" customHeight="1">
      <c r="A188" s="188"/>
      <c r="B188" s="188"/>
      <c r="C188" s="188"/>
      <c r="D188" s="188"/>
      <c r="K188" s="162" t="s">
        <v>534</v>
      </c>
      <c r="AE188" s="173"/>
      <c r="AO188" s="156"/>
      <c r="AP188" s="154" t="s">
        <v>793</v>
      </c>
      <c r="AR188" s="158">
        <f>AS188-AS187</f>
        <v>7.9925999999999817</v>
      </c>
      <c r="AS188" s="166">
        <f>(AS187+C20/10*AN179)</f>
        <v>505.74168599841784</v>
      </c>
      <c r="AU188" s="76">
        <f t="shared" si="18"/>
        <v>114.75278855304101</v>
      </c>
      <c r="AV188" s="76">
        <f t="shared" si="19"/>
        <v>390.98889744537684</v>
      </c>
    </row>
    <row r="189" spans="1:48" ht="24" customHeight="1">
      <c r="A189" s="188"/>
      <c r="B189" s="188"/>
      <c r="C189" s="188"/>
      <c r="D189" s="188"/>
      <c r="H189" s="169" t="s">
        <v>862</v>
      </c>
      <c r="K189" s="166">
        <f>SUM(K182:K187)</f>
        <v>363.53</v>
      </c>
      <c r="AE189" s="173"/>
      <c r="AO189" s="156"/>
      <c r="AP189" s="154" t="s">
        <v>796</v>
      </c>
      <c r="AR189" s="158">
        <f>AS189-AS188</f>
        <v>7.9925999999999817</v>
      </c>
      <c r="AS189" s="166">
        <f>(AS188+C21/10*AN179)</f>
        <v>513.73428599841782</v>
      </c>
      <c r="AU189" s="76">
        <f t="shared" si="18"/>
        <v>116.566309493041</v>
      </c>
      <c r="AV189" s="76">
        <f t="shared" si="19"/>
        <v>397.16797650537683</v>
      </c>
    </row>
    <row r="190" spans="1:48" ht="24" customHeight="1">
      <c r="A190" s="188"/>
      <c r="B190" s="188"/>
      <c r="C190" s="188"/>
      <c r="D190" s="188"/>
      <c r="F190" s="154" t="s">
        <v>22</v>
      </c>
      <c r="K190" s="162" t="s">
        <v>534</v>
      </c>
      <c r="AE190" s="173"/>
      <c r="AO190" s="156"/>
      <c r="AP190" s="154" t="s">
        <v>798</v>
      </c>
      <c r="AR190" s="158">
        <f>AS190-AS189</f>
        <v>7.9926000000000386</v>
      </c>
      <c r="AS190" s="166">
        <f>(AS189+C21/10*AN179)</f>
        <v>521.72688599841786</v>
      </c>
      <c r="AU190" s="76">
        <f t="shared" si="18"/>
        <v>118.37983043304102</v>
      </c>
      <c r="AV190" s="76">
        <f t="shared" si="19"/>
        <v>403.34705556537682</v>
      </c>
    </row>
    <row r="191" spans="1:48" ht="24" customHeight="1">
      <c r="A191" s="188"/>
      <c r="B191" s="188"/>
      <c r="C191" s="188"/>
      <c r="D191" s="188"/>
      <c r="K191" s="154" t="s">
        <v>22</v>
      </c>
      <c r="AE191" s="173"/>
      <c r="AO191" s="156"/>
      <c r="AP191" s="154" t="s">
        <v>904</v>
      </c>
      <c r="AR191" s="158">
        <f>AS191-AS190</f>
        <v>7.9926000000000386</v>
      </c>
      <c r="AS191" s="166">
        <f>(AS190+C21/10*AN179)</f>
        <v>529.71948599841789</v>
      </c>
      <c r="AU191" s="76">
        <f t="shared" si="18"/>
        <v>120.19335137304103</v>
      </c>
      <c r="AV191" s="76">
        <f t="shared" si="19"/>
        <v>409.52613462537687</v>
      </c>
    </row>
    <row r="192" spans="1:48" ht="24" customHeight="1">
      <c r="A192" s="175">
        <f>(A148+1)</f>
        <v>90</v>
      </c>
      <c r="B192" s="176" t="s">
        <v>905</v>
      </c>
      <c r="C192" s="177">
        <v>65</v>
      </c>
      <c r="D192" s="176" t="s">
        <v>906</v>
      </c>
      <c r="F192" s="155" t="s">
        <v>886</v>
      </c>
      <c r="G192" s="165" t="s">
        <v>307</v>
      </c>
      <c r="H192" s="154" t="s">
        <v>907</v>
      </c>
      <c r="M192" s="155" t="s">
        <v>886</v>
      </c>
      <c r="N192" s="165" t="s">
        <v>307</v>
      </c>
      <c r="O192" s="154" t="s">
        <v>908</v>
      </c>
      <c r="Q192" s="158"/>
      <c r="S192" s="155" t="s">
        <v>886</v>
      </c>
      <c r="T192" s="165" t="s">
        <v>307</v>
      </c>
      <c r="U192" s="154" t="s">
        <v>908</v>
      </c>
      <c r="W192" s="158"/>
      <c r="AE192" s="173"/>
      <c r="AG192" s="154"/>
      <c r="AP192" s="154"/>
      <c r="AR192" s="158"/>
      <c r="AS192" s="166"/>
      <c r="AU192" s="76">
        <f t="shared" si="18"/>
        <v>0</v>
      </c>
      <c r="AV192" s="76">
        <f t="shared" si="19"/>
        <v>0</v>
      </c>
    </row>
    <row r="193" spans="1:48" ht="24" customHeight="1">
      <c r="A193" s="175">
        <f t="shared" ref="A193:A208" si="20">(A192+1)</f>
        <v>91</v>
      </c>
      <c r="B193" s="176" t="s">
        <v>909</v>
      </c>
      <c r="C193" s="177">
        <v>25</v>
      </c>
      <c r="D193" s="176" t="s">
        <v>906</v>
      </c>
      <c r="H193" s="154" t="s">
        <v>889</v>
      </c>
      <c r="N193" s="156"/>
      <c r="O193" s="154" t="s">
        <v>772</v>
      </c>
      <c r="Q193" s="158"/>
      <c r="S193" s="76"/>
      <c r="T193" s="156"/>
      <c r="U193" s="154" t="s">
        <v>889</v>
      </c>
      <c r="W193" s="158"/>
      <c r="AE193" s="173"/>
      <c r="AG193" s="154"/>
      <c r="AP193" s="154"/>
      <c r="AR193" s="158"/>
      <c r="AS193" s="166"/>
      <c r="AU193" s="76">
        <f t="shared" si="18"/>
        <v>0</v>
      </c>
      <c r="AV193" s="76">
        <f t="shared" si="19"/>
        <v>0</v>
      </c>
    </row>
    <row r="194" spans="1:48" ht="24" customHeight="1">
      <c r="A194" s="175">
        <f t="shared" si="20"/>
        <v>92</v>
      </c>
      <c r="B194" s="176" t="s">
        <v>910</v>
      </c>
      <c r="C194" s="174">
        <v>264</v>
      </c>
      <c r="D194" s="176" t="s">
        <v>906</v>
      </c>
      <c r="H194" s="162" t="s">
        <v>534</v>
      </c>
      <c r="N194" s="156"/>
      <c r="O194" s="162" t="s">
        <v>534</v>
      </c>
      <c r="Q194" s="158"/>
      <c r="S194" s="76"/>
      <c r="T194" s="156"/>
      <c r="U194" s="162" t="s">
        <v>534</v>
      </c>
      <c r="W194" s="158"/>
      <c r="AE194" s="173"/>
      <c r="AG194" s="154"/>
      <c r="AU194" s="76">
        <f t="shared" si="18"/>
        <v>0</v>
      </c>
      <c r="AV194" s="76">
        <f t="shared" si="19"/>
        <v>0</v>
      </c>
    </row>
    <row r="195" spans="1:48" ht="24" customHeight="1">
      <c r="A195" s="175">
        <f t="shared" si="20"/>
        <v>93</v>
      </c>
      <c r="B195" s="176" t="s">
        <v>911</v>
      </c>
      <c r="C195" s="174">
        <v>232</v>
      </c>
      <c r="D195" s="195">
        <v>96.11</v>
      </c>
      <c r="F195" s="167">
        <v>9</v>
      </c>
      <c r="G195" s="165" t="s">
        <v>577</v>
      </c>
      <c r="H195" s="154" t="s">
        <v>890</v>
      </c>
      <c r="I195" s="167">
        <f>(C74)</f>
        <v>1116.8800000000001</v>
      </c>
      <c r="J195" s="154" t="s">
        <v>577</v>
      </c>
      <c r="K195" s="167">
        <f>(F195*I195)</f>
        <v>10051.920000000002</v>
      </c>
      <c r="M195" s="167">
        <v>9</v>
      </c>
      <c r="N195" s="165" t="s">
        <v>577</v>
      </c>
      <c r="O195" s="154" t="s">
        <v>912</v>
      </c>
      <c r="P195" s="167">
        <f>(C73)</f>
        <v>1500.88</v>
      </c>
      <c r="Q195" s="154" t="s">
        <v>577</v>
      </c>
      <c r="R195" s="167">
        <f>(M195*P195)</f>
        <v>13507.920000000002</v>
      </c>
      <c r="S195" s="167">
        <v>9</v>
      </c>
      <c r="T195" s="165" t="s">
        <v>577</v>
      </c>
      <c r="U195" s="154" t="s">
        <v>890</v>
      </c>
      <c r="V195" s="167">
        <f>(C74)</f>
        <v>1116.8800000000001</v>
      </c>
      <c r="W195" s="154" t="s">
        <v>577</v>
      </c>
      <c r="X195" s="167">
        <f>(S195*V195)</f>
        <v>10051.920000000002</v>
      </c>
      <c r="AE195" s="173"/>
      <c r="AG195" s="154"/>
      <c r="AP195" s="154"/>
      <c r="AR195" s="158"/>
      <c r="AS195" s="166"/>
      <c r="AU195" s="76">
        <f t="shared" si="18"/>
        <v>0</v>
      </c>
      <c r="AV195" s="76">
        <f t="shared" si="19"/>
        <v>0</v>
      </c>
    </row>
    <row r="196" spans="1:48" ht="24" customHeight="1">
      <c r="A196" s="175">
        <f t="shared" si="20"/>
        <v>94</v>
      </c>
      <c r="B196" s="176" t="s">
        <v>913</v>
      </c>
      <c r="C196" s="174">
        <v>143.30000000000001</v>
      </c>
      <c r="D196" s="176" t="s">
        <v>906</v>
      </c>
      <c r="F196" s="167">
        <v>4.5</v>
      </c>
      <c r="G196" s="165" t="s">
        <v>577</v>
      </c>
      <c r="H196" s="154" t="s">
        <v>729</v>
      </c>
      <c r="I196" s="167">
        <f>(K49)</f>
        <v>3253.6699999999996</v>
      </c>
      <c r="J196" s="154" t="s">
        <v>577</v>
      </c>
      <c r="K196" s="167">
        <f>(F196*I196)</f>
        <v>14641.514999999998</v>
      </c>
      <c r="M196" s="167">
        <v>4.5</v>
      </c>
      <c r="N196" s="165" t="s">
        <v>577</v>
      </c>
      <c r="O196" s="154" t="s">
        <v>660</v>
      </c>
      <c r="P196" s="167">
        <f>K32</f>
        <v>4357.67</v>
      </c>
      <c r="Q196" s="154" t="s">
        <v>577</v>
      </c>
      <c r="R196" s="167">
        <f>(M196*P196)</f>
        <v>19609.514999999999</v>
      </c>
      <c r="S196" s="167">
        <v>4.5</v>
      </c>
      <c r="T196" s="165" t="s">
        <v>577</v>
      </c>
      <c r="U196" s="154" t="s">
        <v>660</v>
      </c>
      <c r="V196" s="167">
        <f>P196</f>
        <v>4357.67</v>
      </c>
      <c r="W196" s="154" t="s">
        <v>577</v>
      </c>
      <c r="X196" s="167">
        <f>(S196*V196)</f>
        <v>19609.514999999999</v>
      </c>
      <c r="AE196" s="173"/>
      <c r="AG196" s="154"/>
      <c r="AP196" s="154"/>
      <c r="AS196" s="166"/>
      <c r="AU196" s="76">
        <f t="shared" si="18"/>
        <v>0</v>
      </c>
      <c r="AV196" s="76">
        <f t="shared" si="19"/>
        <v>0</v>
      </c>
    </row>
    <row r="197" spans="1:48" ht="24" customHeight="1">
      <c r="A197" s="175">
        <f t="shared" si="20"/>
        <v>95</v>
      </c>
      <c r="B197" s="176" t="s">
        <v>914</v>
      </c>
      <c r="C197" s="177">
        <v>0.25</v>
      </c>
      <c r="D197" s="176" t="s">
        <v>576</v>
      </c>
      <c r="F197" s="167">
        <v>1.8</v>
      </c>
      <c r="G197" s="165" t="s">
        <v>576</v>
      </c>
      <c r="H197" s="154" t="s">
        <v>752</v>
      </c>
      <c r="I197" s="167">
        <f>(C11)</f>
        <v>669.90000000000009</v>
      </c>
      <c r="J197" s="154" t="s">
        <v>576</v>
      </c>
      <c r="K197" s="167">
        <f>(F197*I197)</f>
        <v>1205.8200000000002</v>
      </c>
      <c r="M197" s="167">
        <v>1.8</v>
      </c>
      <c r="N197" s="165" t="s">
        <v>576</v>
      </c>
      <c r="O197" s="154" t="s">
        <v>752</v>
      </c>
      <c r="P197" s="167">
        <f>I197</f>
        <v>669.90000000000009</v>
      </c>
      <c r="Q197" s="154" t="s">
        <v>576</v>
      </c>
      <c r="R197" s="167">
        <f>(M197*P197)</f>
        <v>1205.8200000000002</v>
      </c>
      <c r="S197" s="167">
        <v>1.8</v>
      </c>
      <c r="T197" s="165" t="s">
        <v>576</v>
      </c>
      <c r="U197" s="154" t="s">
        <v>752</v>
      </c>
      <c r="V197" s="167">
        <f>P197</f>
        <v>669.90000000000009</v>
      </c>
      <c r="W197" s="154" t="s">
        <v>576</v>
      </c>
      <c r="X197" s="167">
        <f>(S197*V197)</f>
        <v>1205.8200000000002</v>
      </c>
      <c r="AE197" s="173"/>
      <c r="AG197" s="154"/>
      <c r="AP197" s="154"/>
      <c r="AS197" s="166"/>
      <c r="AU197" s="76">
        <f t="shared" si="18"/>
        <v>0</v>
      </c>
      <c r="AV197" s="76">
        <f t="shared" si="19"/>
        <v>0</v>
      </c>
    </row>
    <row r="198" spans="1:48" ht="24" customHeight="1">
      <c r="A198" s="175">
        <f t="shared" si="20"/>
        <v>96</v>
      </c>
      <c r="B198" s="176" t="s">
        <v>915</v>
      </c>
      <c r="C198" s="172">
        <v>31.65</v>
      </c>
      <c r="D198" s="176" t="s">
        <v>916</v>
      </c>
      <c r="F198" s="167">
        <v>17.7</v>
      </c>
      <c r="G198" s="165" t="s">
        <v>576</v>
      </c>
      <c r="H198" s="154" t="s">
        <v>754</v>
      </c>
      <c r="I198" s="167">
        <f>(C12)</f>
        <v>468.6</v>
      </c>
      <c r="J198" s="154" t="s">
        <v>576</v>
      </c>
      <c r="K198" s="167">
        <f>(F198*I198)</f>
        <v>8294.2199999999993</v>
      </c>
      <c r="M198" s="167">
        <v>17.7</v>
      </c>
      <c r="N198" s="165" t="s">
        <v>576</v>
      </c>
      <c r="O198" s="154" t="s">
        <v>754</v>
      </c>
      <c r="P198" s="167">
        <f>I198</f>
        <v>468.6</v>
      </c>
      <c r="Q198" s="154" t="s">
        <v>576</v>
      </c>
      <c r="R198" s="167">
        <f>(M198*P198)</f>
        <v>8294.2199999999993</v>
      </c>
      <c r="S198" s="167">
        <v>17.7</v>
      </c>
      <c r="T198" s="165" t="s">
        <v>576</v>
      </c>
      <c r="U198" s="154" t="s">
        <v>754</v>
      </c>
      <c r="V198" s="167">
        <f>P198</f>
        <v>468.6</v>
      </c>
      <c r="W198" s="154" t="s">
        <v>576</v>
      </c>
      <c r="X198" s="167">
        <f>(S198*V198)</f>
        <v>8294.2199999999993</v>
      </c>
      <c r="AE198" s="173"/>
      <c r="AG198" s="154"/>
      <c r="AP198" s="154"/>
      <c r="AS198" s="166"/>
      <c r="AU198" s="76">
        <f t="shared" si="18"/>
        <v>0</v>
      </c>
      <c r="AV198" s="76">
        <f t="shared" si="19"/>
        <v>0</v>
      </c>
    </row>
    <row r="199" spans="1:48" ht="24" customHeight="1">
      <c r="A199" s="175">
        <f t="shared" si="20"/>
        <v>97</v>
      </c>
      <c r="B199" s="176" t="s">
        <v>917</v>
      </c>
      <c r="C199" s="172">
        <v>295</v>
      </c>
      <c r="D199" s="172">
        <v>91</v>
      </c>
      <c r="E199" s="176" t="s">
        <v>916</v>
      </c>
      <c r="F199" s="167">
        <v>14.1</v>
      </c>
      <c r="G199" s="165" t="s">
        <v>576</v>
      </c>
      <c r="H199" s="154" t="s">
        <v>756</v>
      </c>
      <c r="I199" s="167">
        <f>(C13)</f>
        <v>404.8</v>
      </c>
      <c r="J199" s="154" t="s">
        <v>576</v>
      </c>
      <c r="K199" s="167">
        <f>(F199*I199)</f>
        <v>5707.68</v>
      </c>
      <c r="M199" s="167">
        <v>14.1</v>
      </c>
      <c r="N199" s="165" t="s">
        <v>576</v>
      </c>
      <c r="O199" s="154" t="s">
        <v>756</v>
      </c>
      <c r="P199" s="167">
        <f>I199</f>
        <v>404.8</v>
      </c>
      <c r="Q199" s="154" t="s">
        <v>576</v>
      </c>
      <c r="R199" s="167">
        <f>(M199*P199)</f>
        <v>5707.68</v>
      </c>
      <c r="S199" s="167">
        <v>14.1</v>
      </c>
      <c r="T199" s="165" t="s">
        <v>576</v>
      </c>
      <c r="U199" s="154" t="s">
        <v>756</v>
      </c>
      <c r="V199" s="167">
        <f>P199</f>
        <v>404.8</v>
      </c>
      <c r="W199" s="154" t="s">
        <v>576</v>
      </c>
      <c r="X199" s="167">
        <f>(S199*V199)</f>
        <v>5707.68</v>
      </c>
      <c r="AE199" s="173"/>
      <c r="AG199" s="154"/>
      <c r="AP199" s="154"/>
      <c r="AS199" s="166"/>
      <c r="AU199" s="76">
        <f t="shared" si="18"/>
        <v>0</v>
      </c>
      <c r="AV199" s="76">
        <f t="shared" si="19"/>
        <v>0</v>
      </c>
    </row>
    <row r="200" spans="1:48" ht="24" customHeight="1">
      <c r="A200" s="175">
        <f t="shared" si="20"/>
        <v>98</v>
      </c>
      <c r="B200" s="176" t="s">
        <v>918</v>
      </c>
      <c r="C200" s="172">
        <v>143</v>
      </c>
      <c r="D200" s="176" t="s">
        <v>680</v>
      </c>
      <c r="G200" s="165" t="s">
        <v>589</v>
      </c>
      <c r="H200" s="154" t="s">
        <v>590</v>
      </c>
      <c r="J200" s="154" t="s">
        <v>589</v>
      </c>
      <c r="K200" s="167">
        <v>0</v>
      </c>
      <c r="N200" s="165" t="s">
        <v>589</v>
      </c>
      <c r="O200" s="154" t="s">
        <v>590</v>
      </c>
      <c r="Q200" s="154" t="s">
        <v>589</v>
      </c>
      <c r="R200" s="167">
        <v>0</v>
      </c>
      <c r="S200" s="76"/>
      <c r="T200" s="165" t="s">
        <v>589</v>
      </c>
      <c r="U200" s="154" t="s">
        <v>590</v>
      </c>
      <c r="W200" s="154" t="s">
        <v>589</v>
      </c>
      <c r="X200" s="167">
        <v>0</v>
      </c>
      <c r="AE200" s="173"/>
      <c r="AG200" s="154"/>
      <c r="AU200" s="76">
        <f t="shared" si="18"/>
        <v>0</v>
      </c>
      <c r="AV200" s="76">
        <f t="shared" si="19"/>
        <v>0</v>
      </c>
    </row>
    <row r="201" spans="1:48" ht="24" customHeight="1">
      <c r="A201" s="175">
        <f t="shared" si="20"/>
        <v>99</v>
      </c>
      <c r="B201" s="176" t="s">
        <v>919</v>
      </c>
      <c r="C201" s="172">
        <v>1170</v>
      </c>
      <c r="D201" s="176" t="s">
        <v>680</v>
      </c>
      <c r="K201" s="162" t="s">
        <v>534</v>
      </c>
      <c r="N201" s="156"/>
      <c r="Q201" s="158"/>
      <c r="R201" s="162" t="s">
        <v>534</v>
      </c>
      <c r="S201" s="76"/>
      <c r="T201" s="156"/>
      <c r="W201" s="158"/>
      <c r="X201" s="162" t="s">
        <v>534</v>
      </c>
      <c r="AE201" s="173"/>
      <c r="AG201" s="154"/>
      <c r="AU201" s="76">
        <f t="shared" si="18"/>
        <v>0</v>
      </c>
      <c r="AV201" s="76">
        <f t="shared" si="19"/>
        <v>0</v>
      </c>
    </row>
    <row r="202" spans="1:48" ht="24" customHeight="1">
      <c r="A202" s="175">
        <f t="shared" si="20"/>
        <v>100</v>
      </c>
      <c r="B202" s="176" t="s">
        <v>920</v>
      </c>
      <c r="C202" s="185">
        <v>47.2</v>
      </c>
      <c r="D202" s="176" t="s">
        <v>680</v>
      </c>
      <c r="K202" s="167">
        <f>SUM(K195:K200)</f>
        <v>39901.154999999999</v>
      </c>
      <c r="N202" s="156"/>
      <c r="Q202" s="158"/>
      <c r="R202" s="167">
        <f>SUM(R195:R200)</f>
        <v>48325.154999999999</v>
      </c>
      <c r="S202" s="76"/>
      <c r="T202" s="156"/>
      <c r="W202" s="158"/>
      <c r="X202" s="167">
        <f>SUM(X195:X200)</f>
        <v>44869.154999999999</v>
      </c>
      <c r="AE202" s="173"/>
      <c r="AG202" s="154"/>
      <c r="AU202" s="76">
        <f t="shared" si="18"/>
        <v>0</v>
      </c>
      <c r="AV202" s="76">
        <f t="shared" si="19"/>
        <v>0</v>
      </c>
    </row>
    <row r="203" spans="1:48" ht="24" customHeight="1">
      <c r="A203" s="175">
        <f t="shared" si="20"/>
        <v>101</v>
      </c>
      <c r="B203" s="176" t="s">
        <v>921</v>
      </c>
      <c r="C203" s="174">
        <v>124.4</v>
      </c>
      <c r="D203" s="176" t="s">
        <v>680</v>
      </c>
      <c r="E203" s="231">
        <v>161.30000000000001</v>
      </c>
      <c r="H203" s="229" t="s">
        <v>760</v>
      </c>
      <c r="K203" s="162" t="s">
        <v>534</v>
      </c>
      <c r="N203" s="156"/>
      <c r="O203" s="154" t="s">
        <v>760</v>
      </c>
      <c r="Q203" s="158"/>
      <c r="R203" s="162" t="s">
        <v>534</v>
      </c>
      <c r="S203" s="76"/>
      <c r="T203" s="156"/>
      <c r="U203" s="154" t="s">
        <v>760</v>
      </c>
      <c r="W203" s="158"/>
      <c r="X203" s="162" t="s">
        <v>534</v>
      </c>
      <c r="AE203" s="173"/>
      <c r="AG203" s="154"/>
      <c r="AU203" s="76">
        <f t="shared" si="18"/>
        <v>0</v>
      </c>
      <c r="AV203" s="76">
        <f t="shared" si="19"/>
        <v>0</v>
      </c>
    </row>
    <row r="204" spans="1:48" ht="24" customHeight="1">
      <c r="A204" s="175">
        <f t="shared" si="20"/>
        <v>102</v>
      </c>
      <c r="B204" s="176" t="s">
        <v>922</v>
      </c>
      <c r="C204" s="174">
        <v>61.6</v>
      </c>
      <c r="D204" s="176" t="s">
        <v>680</v>
      </c>
      <c r="K204" s="166">
        <f>(K202/10)</f>
        <v>3990.1154999999999</v>
      </c>
      <c r="N204" s="156"/>
      <c r="Q204" s="158"/>
      <c r="R204" s="167">
        <f>(R202/10)</f>
        <v>4832.5154999999995</v>
      </c>
      <c r="S204" s="76"/>
      <c r="T204" s="156"/>
      <c r="W204" s="158"/>
      <c r="X204" s="167">
        <f>(X202/10)</f>
        <v>4486.9155000000001</v>
      </c>
      <c r="AE204" s="173"/>
      <c r="AU204" s="76">
        <f t="shared" si="18"/>
        <v>0</v>
      </c>
      <c r="AV204" s="76">
        <f t="shared" si="19"/>
        <v>0</v>
      </c>
    </row>
    <row r="205" spans="1:48" ht="24" customHeight="1">
      <c r="A205" s="175">
        <f t="shared" si="20"/>
        <v>103</v>
      </c>
      <c r="B205" s="176" t="s">
        <v>923</v>
      </c>
      <c r="C205" s="174">
        <v>99.2</v>
      </c>
      <c r="D205" s="176" t="s">
        <v>680</v>
      </c>
      <c r="H205" s="169" t="s">
        <v>685</v>
      </c>
      <c r="K205" s="162" t="s">
        <v>528</v>
      </c>
      <c r="N205" s="156"/>
      <c r="O205" s="154" t="s">
        <v>685</v>
      </c>
      <c r="Q205" s="158"/>
      <c r="R205" s="162" t="s">
        <v>528</v>
      </c>
      <c r="S205" s="76"/>
      <c r="T205" s="156"/>
      <c r="U205" s="154" t="s">
        <v>685</v>
      </c>
      <c r="W205" s="158"/>
      <c r="X205" s="162" t="s">
        <v>528</v>
      </c>
      <c r="AE205" s="173"/>
      <c r="AU205" s="76">
        <f t="shared" si="18"/>
        <v>0</v>
      </c>
      <c r="AV205" s="76">
        <f t="shared" si="19"/>
        <v>0</v>
      </c>
    </row>
    <row r="206" spans="1:48" ht="24" customHeight="1">
      <c r="A206" s="175">
        <f t="shared" si="20"/>
        <v>104</v>
      </c>
      <c r="B206" s="176" t="s">
        <v>924</v>
      </c>
      <c r="C206" s="174">
        <v>98.7</v>
      </c>
      <c r="D206" s="176" t="s">
        <v>680</v>
      </c>
      <c r="E206" s="231">
        <v>136.69999999999999</v>
      </c>
      <c r="AE206" s="173"/>
      <c r="AG206" s="154"/>
      <c r="AU206" s="76">
        <f t="shared" si="18"/>
        <v>0</v>
      </c>
      <c r="AV206" s="76">
        <f t="shared" si="19"/>
        <v>0</v>
      </c>
    </row>
    <row r="207" spans="1:48" ht="24" customHeight="1">
      <c r="A207" s="175">
        <f t="shared" si="20"/>
        <v>105</v>
      </c>
      <c r="B207" s="176" t="s">
        <v>925</v>
      </c>
      <c r="C207" s="174">
        <v>221</v>
      </c>
      <c r="D207" s="176" t="s">
        <v>926</v>
      </c>
      <c r="F207" s="155" t="s">
        <v>927</v>
      </c>
      <c r="G207" s="165" t="s">
        <v>307</v>
      </c>
      <c r="H207" s="154" t="s">
        <v>928</v>
      </c>
      <c r="AE207" s="173"/>
      <c r="AU207" s="76">
        <f t="shared" si="18"/>
        <v>0</v>
      </c>
      <c r="AV207" s="76">
        <f t="shared" si="19"/>
        <v>0</v>
      </c>
    </row>
    <row r="208" spans="1:48" ht="24" customHeight="1">
      <c r="A208" s="175">
        <f t="shared" si="20"/>
        <v>106</v>
      </c>
      <c r="B208" s="176" t="s">
        <v>929</v>
      </c>
      <c r="C208" s="174">
        <v>161.30000000000001</v>
      </c>
      <c r="D208" s="176" t="s">
        <v>680</v>
      </c>
      <c r="H208" s="154" t="s">
        <v>772</v>
      </c>
      <c r="N208" s="154" t="s">
        <v>930</v>
      </c>
      <c r="O208" s="154" t="s">
        <v>931</v>
      </c>
      <c r="AE208" s="173"/>
      <c r="AU208" s="76">
        <f t="shared" si="18"/>
        <v>0</v>
      </c>
      <c r="AV208" s="76">
        <f t="shared" si="19"/>
        <v>0</v>
      </c>
    </row>
    <row r="209" spans="1:48" ht="24" customHeight="1">
      <c r="A209" s="188"/>
      <c r="B209" s="188"/>
      <c r="C209" s="188"/>
      <c r="D209" s="188"/>
      <c r="H209" s="162" t="s">
        <v>534</v>
      </c>
      <c r="O209" s="162" t="s">
        <v>534</v>
      </c>
      <c r="AE209" s="173"/>
      <c r="AU209" s="76">
        <f t="shared" si="18"/>
        <v>0</v>
      </c>
      <c r="AV209" s="76">
        <f t="shared" si="19"/>
        <v>0</v>
      </c>
    </row>
    <row r="210" spans="1:48" ht="24" customHeight="1">
      <c r="A210" s="188"/>
      <c r="B210" s="188"/>
      <c r="C210" s="188"/>
      <c r="D210" s="188"/>
      <c r="F210" s="167">
        <v>9</v>
      </c>
      <c r="G210" s="165" t="s">
        <v>577</v>
      </c>
      <c r="H210" s="154" t="s">
        <v>912</v>
      </c>
      <c r="I210" s="167">
        <f>C73</f>
        <v>1500.88</v>
      </c>
      <c r="J210" s="154" t="s">
        <v>577</v>
      </c>
      <c r="K210" s="167">
        <f>(F210*I210)</f>
        <v>13507.920000000002</v>
      </c>
      <c r="M210" s="232">
        <v>1.153E-2</v>
      </c>
      <c r="N210" s="154" t="s">
        <v>577</v>
      </c>
      <c r="O210" s="154" t="s">
        <v>932</v>
      </c>
      <c r="P210" s="167">
        <f>C88</f>
        <v>111600</v>
      </c>
      <c r="Q210" s="154" t="s">
        <v>577</v>
      </c>
      <c r="R210" s="167">
        <f t="shared" ref="R210:R219" si="21">(M210*P210)</f>
        <v>1286.748</v>
      </c>
      <c r="AE210" s="173"/>
      <c r="AU210" s="76">
        <f t="shared" si="18"/>
        <v>0</v>
      </c>
      <c r="AV210" s="76">
        <f t="shared" si="19"/>
        <v>0</v>
      </c>
    </row>
    <row r="211" spans="1:48" ht="24" customHeight="1">
      <c r="A211" s="188"/>
      <c r="B211" s="188"/>
      <c r="C211" s="188"/>
      <c r="D211" s="188"/>
      <c r="F211" s="167">
        <v>4.5</v>
      </c>
      <c r="G211" s="165" t="s">
        <v>577</v>
      </c>
      <c r="H211" s="154" t="s">
        <v>608</v>
      </c>
      <c r="I211" s="167">
        <f>K23</f>
        <v>5737.67</v>
      </c>
      <c r="J211" s="154" t="s">
        <v>577</v>
      </c>
      <c r="K211" s="167">
        <f>(F211*I211)</f>
        <v>25819.514999999999</v>
      </c>
      <c r="M211" s="232">
        <v>1.013E-2</v>
      </c>
      <c r="N211" s="154" t="s">
        <v>577</v>
      </c>
      <c r="O211" s="154" t="s">
        <v>933</v>
      </c>
      <c r="P211" s="167">
        <f>C89</f>
        <v>99400</v>
      </c>
      <c r="Q211" s="154" t="s">
        <v>577</v>
      </c>
      <c r="R211" s="167">
        <f t="shared" si="21"/>
        <v>1006.922</v>
      </c>
      <c r="AE211" s="173"/>
      <c r="AU211" s="76">
        <f t="shared" si="18"/>
        <v>0</v>
      </c>
      <c r="AV211" s="76">
        <f t="shared" si="19"/>
        <v>0</v>
      </c>
    </row>
    <row r="212" spans="1:48" ht="24" customHeight="1">
      <c r="A212" s="188"/>
      <c r="B212" s="188"/>
      <c r="C212" s="188"/>
      <c r="D212" s="188"/>
      <c r="F212" s="167">
        <v>1.8</v>
      </c>
      <c r="G212" s="165" t="s">
        <v>576</v>
      </c>
      <c r="H212" s="154" t="s">
        <v>752</v>
      </c>
      <c r="I212" s="167">
        <f>C11</f>
        <v>669.90000000000009</v>
      </c>
      <c r="J212" s="154" t="s">
        <v>576</v>
      </c>
      <c r="K212" s="167">
        <f>(F212*I212)</f>
        <v>1205.8200000000002</v>
      </c>
      <c r="M212" s="232">
        <v>0.77780000000000005</v>
      </c>
      <c r="N212" s="154" t="s">
        <v>916</v>
      </c>
      <c r="O212" s="154" t="s">
        <v>934</v>
      </c>
      <c r="P212" s="167">
        <f>C783</f>
        <v>387.4</v>
      </c>
      <c r="Q212" s="154" t="s">
        <v>916</v>
      </c>
      <c r="R212" s="167">
        <f t="shared" si="21"/>
        <v>301.31972000000002</v>
      </c>
      <c r="AE212" s="173"/>
      <c r="AU212" s="76">
        <f t="shared" si="18"/>
        <v>0</v>
      </c>
      <c r="AV212" s="76">
        <f t="shared" si="19"/>
        <v>0</v>
      </c>
    </row>
    <row r="213" spans="1:48" ht="24" customHeight="1">
      <c r="A213" s="188"/>
      <c r="B213" s="188"/>
      <c r="C213" s="188"/>
      <c r="D213" s="188"/>
      <c r="F213" s="167">
        <v>17.7</v>
      </c>
      <c r="G213" s="165" t="s">
        <v>576</v>
      </c>
      <c r="H213" s="154" t="s">
        <v>754</v>
      </c>
      <c r="I213" s="167">
        <f>C12</f>
        <v>468.6</v>
      </c>
      <c r="J213" s="154" t="s">
        <v>576</v>
      </c>
      <c r="K213" s="167">
        <f>(F213*I213)</f>
        <v>8294.2199999999993</v>
      </c>
      <c r="M213" s="232">
        <v>1.23</v>
      </c>
      <c r="N213" s="154" t="s">
        <v>916</v>
      </c>
      <c r="O213" s="154" t="s">
        <v>935</v>
      </c>
      <c r="P213" s="167">
        <f>D30</f>
        <v>921.80000000000007</v>
      </c>
      <c r="Q213" s="154" t="s">
        <v>916</v>
      </c>
      <c r="R213" s="167">
        <f t="shared" si="21"/>
        <v>1133.8140000000001</v>
      </c>
      <c r="AE213" s="173"/>
      <c r="AU213" s="76">
        <f t="shared" si="18"/>
        <v>0</v>
      </c>
      <c r="AV213" s="76">
        <f t="shared" si="19"/>
        <v>0</v>
      </c>
    </row>
    <row r="214" spans="1:48" ht="24" customHeight="1">
      <c r="A214" s="188"/>
      <c r="B214" s="188"/>
      <c r="C214" s="188"/>
      <c r="D214" s="188"/>
      <c r="F214" s="167">
        <v>14.1</v>
      </c>
      <c r="G214" s="165" t="s">
        <v>576</v>
      </c>
      <c r="H214" s="154" t="s">
        <v>756</v>
      </c>
      <c r="I214" s="167">
        <f>C13</f>
        <v>404.8</v>
      </c>
      <c r="J214" s="154" t="s">
        <v>576</v>
      </c>
      <c r="K214" s="167">
        <f>(F214*I214)</f>
        <v>5707.68</v>
      </c>
      <c r="M214" s="167">
        <v>2</v>
      </c>
      <c r="N214" s="154" t="s">
        <v>576</v>
      </c>
      <c r="O214" s="154" t="s">
        <v>936</v>
      </c>
      <c r="P214" s="167">
        <f>C284</f>
        <v>56.7</v>
      </c>
      <c r="Q214" s="154" t="s">
        <v>576</v>
      </c>
      <c r="R214" s="167">
        <f t="shared" si="21"/>
        <v>113.4</v>
      </c>
      <c r="AE214" s="173"/>
      <c r="AU214" s="76">
        <f t="shared" si="18"/>
        <v>0</v>
      </c>
      <c r="AV214" s="76">
        <f t="shared" si="19"/>
        <v>0</v>
      </c>
    </row>
    <row r="215" spans="1:48" ht="24" customHeight="1">
      <c r="A215" s="188"/>
      <c r="B215" s="188"/>
      <c r="C215" s="188"/>
      <c r="D215" s="188"/>
      <c r="G215" s="165" t="s">
        <v>589</v>
      </c>
      <c r="H215" s="154" t="s">
        <v>590</v>
      </c>
      <c r="J215" s="154" t="s">
        <v>589</v>
      </c>
      <c r="K215" s="167">
        <v>0</v>
      </c>
      <c r="M215" s="167">
        <v>3</v>
      </c>
      <c r="N215" s="154" t="s">
        <v>576</v>
      </c>
      <c r="O215" s="154" t="s">
        <v>937</v>
      </c>
      <c r="P215" s="167">
        <f>C279</f>
        <v>78.400000000000006</v>
      </c>
      <c r="Q215" s="154" t="s">
        <v>576</v>
      </c>
      <c r="R215" s="167">
        <f t="shared" si="21"/>
        <v>235.20000000000002</v>
      </c>
      <c r="AE215" s="173"/>
      <c r="AU215" s="76">
        <f t="shared" si="18"/>
        <v>0</v>
      </c>
      <c r="AV215" s="76">
        <f t="shared" si="19"/>
        <v>0</v>
      </c>
    </row>
    <row r="216" spans="1:48" ht="24" customHeight="1">
      <c r="A216" s="188"/>
      <c r="B216" s="188"/>
      <c r="C216" s="188"/>
      <c r="D216" s="188"/>
      <c r="K216" s="162" t="s">
        <v>534</v>
      </c>
      <c r="M216" s="167">
        <v>1</v>
      </c>
      <c r="N216" s="154" t="s">
        <v>576</v>
      </c>
      <c r="O216" s="154" t="s">
        <v>938</v>
      </c>
      <c r="P216" s="167">
        <f>C286</f>
        <v>158.19999999999999</v>
      </c>
      <c r="Q216" s="154" t="s">
        <v>576</v>
      </c>
      <c r="R216" s="167">
        <f t="shared" si="21"/>
        <v>158.19999999999999</v>
      </c>
      <c r="T216" s="76">
        <v>0</v>
      </c>
      <c r="AE216" s="173"/>
      <c r="AU216" s="76">
        <f t="shared" si="18"/>
        <v>0</v>
      </c>
      <c r="AV216" s="76">
        <f t="shared" si="19"/>
        <v>0</v>
      </c>
    </row>
    <row r="217" spans="1:48" ht="24" customHeight="1">
      <c r="A217" s="188"/>
      <c r="B217" s="188"/>
      <c r="C217" s="188"/>
      <c r="D217" s="188"/>
      <c r="K217" s="167">
        <f>SUM(K210:K215)</f>
        <v>54535.154999999999</v>
      </c>
      <c r="M217" s="167">
        <v>1</v>
      </c>
      <c r="N217" s="154" t="s">
        <v>576</v>
      </c>
      <c r="O217" s="154" t="s">
        <v>939</v>
      </c>
      <c r="P217" s="167">
        <f>C288</f>
        <v>7.3</v>
      </c>
      <c r="Q217" s="154" t="s">
        <v>576</v>
      </c>
      <c r="R217" s="167">
        <f t="shared" si="21"/>
        <v>7.3</v>
      </c>
      <c r="AE217" s="173"/>
      <c r="AU217" s="76">
        <f t="shared" si="18"/>
        <v>0</v>
      </c>
      <c r="AV217" s="76">
        <f t="shared" si="19"/>
        <v>0</v>
      </c>
    </row>
    <row r="218" spans="1:48" ht="24" customHeight="1">
      <c r="A218" s="188"/>
      <c r="B218" s="188"/>
      <c r="C218" s="188"/>
      <c r="D218" s="188"/>
      <c r="H218" s="154" t="s">
        <v>760</v>
      </c>
      <c r="K218" s="162" t="s">
        <v>534</v>
      </c>
      <c r="M218" s="167">
        <v>1</v>
      </c>
      <c r="N218" s="154" t="s">
        <v>576</v>
      </c>
      <c r="O218" s="154" t="s">
        <v>940</v>
      </c>
      <c r="P218" s="167">
        <f>C598</f>
        <v>50.4</v>
      </c>
      <c r="Q218" s="154" t="s">
        <v>576</v>
      </c>
      <c r="R218" s="167">
        <f t="shared" si="21"/>
        <v>50.4</v>
      </c>
      <c r="AE218" s="173"/>
    </row>
    <row r="219" spans="1:48" ht="24" customHeight="1">
      <c r="A219" s="188"/>
      <c r="B219" s="188"/>
      <c r="C219" s="188"/>
      <c r="D219" s="188"/>
      <c r="K219" s="166">
        <f>(K217/10)</f>
        <v>5453.5154999999995</v>
      </c>
      <c r="M219" s="167">
        <v>1</v>
      </c>
      <c r="N219" s="154" t="s">
        <v>576</v>
      </c>
      <c r="O219" s="154" t="s">
        <v>941</v>
      </c>
      <c r="P219" s="167">
        <f>D598</f>
        <v>43.8</v>
      </c>
      <c r="Q219" s="154" t="s">
        <v>576</v>
      </c>
      <c r="R219" s="167">
        <f t="shared" si="21"/>
        <v>43.8</v>
      </c>
      <c r="AE219" s="173"/>
    </row>
    <row r="220" spans="1:48" ht="24" customHeight="1">
      <c r="A220" s="188"/>
      <c r="B220" s="188"/>
      <c r="C220" s="188"/>
      <c r="D220" s="188"/>
      <c r="H220" s="169" t="s">
        <v>685</v>
      </c>
      <c r="K220" s="162" t="s">
        <v>528</v>
      </c>
      <c r="R220" s="162" t="s">
        <v>534</v>
      </c>
      <c r="AE220" s="173"/>
    </row>
    <row r="221" spans="1:48" ht="24" customHeight="1">
      <c r="A221" s="188"/>
      <c r="B221" s="188"/>
      <c r="C221" s="188"/>
      <c r="D221" s="188"/>
      <c r="O221" s="155" t="s">
        <v>942</v>
      </c>
      <c r="R221" s="167">
        <f>SUM(R210:R219)</f>
        <v>4337.1037200000001</v>
      </c>
      <c r="AE221" s="173"/>
    </row>
    <row r="222" spans="1:48" ht="24" customHeight="1">
      <c r="A222" s="188"/>
      <c r="B222" s="188"/>
      <c r="C222" s="188"/>
      <c r="D222" s="188"/>
      <c r="F222" s="155" t="s">
        <v>943</v>
      </c>
      <c r="G222" s="165" t="s">
        <v>307</v>
      </c>
      <c r="H222" s="154" t="s">
        <v>944</v>
      </c>
      <c r="N222" s="154" t="s">
        <v>22</v>
      </c>
      <c r="R222" s="162" t="s">
        <v>534</v>
      </c>
      <c r="AE222" s="173"/>
    </row>
    <row r="223" spans="1:48" ht="24" customHeight="1">
      <c r="A223" s="188"/>
      <c r="B223" s="188"/>
      <c r="C223" s="188"/>
      <c r="D223" s="188"/>
      <c r="H223" s="154" t="s">
        <v>945</v>
      </c>
      <c r="M223" s="154" t="s">
        <v>22</v>
      </c>
      <c r="AE223" s="173"/>
    </row>
    <row r="224" spans="1:48" ht="24" customHeight="1">
      <c r="A224" s="188"/>
      <c r="B224" s="188"/>
      <c r="C224" s="188"/>
      <c r="D224" s="188"/>
      <c r="H224" s="162" t="s">
        <v>534</v>
      </c>
      <c r="O224" s="155" t="s">
        <v>881</v>
      </c>
      <c r="R224" s="167">
        <f>R221/M213</f>
        <v>3526.1005853658539</v>
      </c>
      <c r="AE224" s="173"/>
    </row>
    <row r="225" spans="1:31" ht="24" customHeight="1">
      <c r="A225" s="188"/>
      <c r="B225" s="188"/>
      <c r="C225" s="188"/>
      <c r="D225" s="188"/>
      <c r="F225" s="167">
        <v>9</v>
      </c>
      <c r="G225" s="165" t="s">
        <v>577</v>
      </c>
      <c r="H225" s="154" t="s">
        <v>946</v>
      </c>
      <c r="I225" s="167">
        <f>AC20</f>
        <v>854</v>
      </c>
      <c r="J225" s="154" t="s">
        <v>577</v>
      </c>
      <c r="K225" s="167">
        <f>(F225*I225)</f>
        <v>7686</v>
      </c>
      <c r="M225" s="154" t="s">
        <v>947</v>
      </c>
      <c r="AE225" s="173"/>
    </row>
    <row r="226" spans="1:31" ht="24" customHeight="1">
      <c r="A226" s="188"/>
      <c r="B226" s="188"/>
      <c r="C226" s="188"/>
      <c r="D226" s="188"/>
      <c r="F226" s="167">
        <v>4.5</v>
      </c>
      <c r="G226" s="165" t="s">
        <v>577</v>
      </c>
      <c r="H226" s="154" t="s">
        <v>750</v>
      </c>
      <c r="I226" s="167">
        <f>K77</f>
        <v>2632.67</v>
      </c>
      <c r="J226" s="154" t="s">
        <v>577</v>
      </c>
      <c r="K226" s="167">
        <f>(F226*I226)</f>
        <v>11847.014999999999</v>
      </c>
      <c r="AE226" s="173"/>
    </row>
    <row r="227" spans="1:31" ht="24" customHeight="1">
      <c r="A227" s="188"/>
      <c r="B227" s="188"/>
      <c r="C227" s="188"/>
      <c r="D227" s="188"/>
      <c r="F227" s="167">
        <v>1.8</v>
      </c>
      <c r="G227" s="165" t="s">
        <v>576</v>
      </c>
      <c r="H227" s="154" t="s">
        <v>752</v>
      </c>
      <c r="I227" s="167">
        <f>C11</f>
        <v>669.90000000000009</v>
      </c>
      <c r="J227" s="154" t="s">
        <v>576</v>
      </c>
      <c r="K227" s="167">
        <f>(F227*I227)</f>
        <v>1205.8200000000002</v>
      </c>
      <c r="AE227" s="173"/>
    </row>
    <row r="228" spans="1:31" ht="24" customHeight="1">
      <c r="A228" s="188"/>
      <c r="B228" s="188"/>
      <c r="C228" s="188"/>
      <c r="D228" s="188"/>
      <c r="F228" s="167">
        <v>17.7</v>
      </c>
      <c r="G228" s="165" t="s">
        <v>576</v>
      </c>
      <c r="H228" s="154" t="s">
        <v>754</v>
      </c>
      <c r="I228" s="167">
        <f>C12</f>
        <v>468.6</v>
      </c>
      <c r="J228" s="154" t="s">
        <v>576</v>
      </c>
      <c r="K228" s="167">
        <f>(F228*I228)</f>
        <v>8294.2199999999993</v>
      </c>
      <c r="M228" s="155" t="s">
        <v>943</v>
      </c>
      <c r="N228" s="165" t="s">
        <v>307</v>
      </c>
      <c r="O228" s="154" t="s">
        <v>948</v>
      </c>
      <c r="Q228" s="158"/>
      <c r="AE228" s="173"/>
    </row>
    <row r="229" spans="1:31" ht="24" customHeight="1">
      <c r="A229" s="188"/>
      <c r="B229" s="188"/>
      <c r="C229" s="188"/>
      <c r="D229" s="188"/>
      <c r="F229" s="167">
        <v>14.1</v>
      </c>
      <c r="G229" s="165" t="s">
        <v>576</v>
      </c>
      <c r="H229" s="154" t="s">
        <v>756</v>
      </c>
      <c r="I229" s="167">
        <f>C13</f>
        <v>404.8</v>
      </c>
      <c r="J229" s="154" t="s">
        <v>576</v>
      </c>
      <c r="K229" s="167">
        <f>(F229*I229)</f>
        <v>5707.68</v>
      </c>
      <c r="N229" s="156"/>
      <c r="O229" s="154" t="s">
        <v>949</v>
      </c>
      <c r="Q229" s="158"/>
      <c r="AE229" s="173"/>
    </row>
    <row r="230" spans="1:31" ht="24" customHeight="1">
      <c r="A230" s="188"/>
      <c r="B230" s="188"/>
      <c r="C230" s="188"/>
      <c r="D230" s="188"/>
      <c r="G230" s="165" t="s">
        <v>589</v>
      </c>
      <c r="H230" s="154" t="s">
        <v>590</v>
      </c>
      <c r="J230" s="154" t="s">
        <v>589</v>
      </c>
      <c r="K230" s="167">
        <v>0</v>
      </c>
      <c r="N230" s="156"/>
      <c r="O230" s="162" t="s">
        <v>534</v>
      </c>
      <c r="Q230" s="158"/>
      <c r="AE230" s="173"/>
    </row>
    <row r="231" spans="1:31" ht="24" customHeight="1">
      <c r="A231" s="188"/>
      <c r="B231" s="188"/>
      <c r="C231" s="188"/>
      <c r="D231" s="188"/>
      <c r="K231" s="162" t="s">
        <v>534</v>
      </c>
      <c r="M231" s="167">
        <v>9</v>
      </c>
      <c r="N231" s="165" t="s">
        <v>577</v>
      </c>
      <c r="O231" s="154" t="s">
        <v>950</v>
      </c>
      <c r="P231" s="167">
        <f>AC15</f>
        <v>1116.8800000000001</v>
      </c>
      <c r="Q231" s="154" t="s">
        <v>577</v>
      </c>
      <c r="R231" s="167">
        <f>(M231*P231)</f>
        <v>10051.920000000002</v>
      </c>
      <c r="AE231" s="173"/>
    </row>
    <row r="232" spans="1:31" ht="24" customHeight="1">
      <c r="A232" s="188"/>
      <c r="B232" s="188"/>
      <c r="C232" s="188"/>
      <c r="D232" s="188"/>
      <c r="K232" s="167">
        <f>SUM(K225:K230)</f>
        <v>34740.735000000001</v>
      </c>
      <c r="M232" s="167">
        <v>4.5</v>
      </c>
      <c r="N232" s="165" t="s">
        <v>577</v>
      </c>
      <c r="O232" s="154" t="s">
        <v>702</v>
      </c>
      <c r="P232" s="167">
        <f>K40</f>
        <v>3667.67</v>
      </c>
      <c r="Q232" s="154" t="s">
        <v>577</v>
      </c>
      <c r="R232" s="167">
        <f>(M232*P232)</f>
        <v>16504.514999999999</v>
      </c>
      <c r="AE232" s="173"/>
    </row>
    <row r="233" spans="1:31" ht="24" customHeight="1">
      <c r="A233" s="188"/>
      <c r="B233" s="188"/>
      <c r="C233" s="188"/>
      <c r="D233" s="188"/>
      <c r="H233" s="154" t="s">
        <v>760</v>
      </c>
      <c r="K233" s="162" t="s">
        <v>534</v>
      </c>
      <c r="M233" s="167">
        <v>1.8</v>
      </c>
      <c r="N233" s="165" t="s">
        <v>576</v>
      </c>
      <c r="O233" s="154" t="s">
        <v>752</v>
      </c>
      <c r="P233" s="167">
        <f>I227</f>
        <v>669.90000000000009</v>
      </c>
      <c r="Q233" s="154" t="s">
        <v>576</v>
      </c>
      <c r="R233" s="167">
        <f>(M233*P233)</f>
        <v>1205.8200000000002</v>
      </c>
      <c r="AE233" s="173"/>
    </row>
    <row r="234" spans="1:31" ht="24" customHeight="1">
      <c r="A234" s="188"/>
      <c r="B234" s="188"/>
      <c r="C234" s="188"/>
      <c r="D234" s="188"/>
      <c r="K234" s="166">
        <f>(K232/10)</f>
        <v>3474.0735</v>
      </c>
      <c r="M234" s="167">
        <v>17.7</v>
      </c>
      <c r="N234" s="165" t="s">
        <v>576</v>
      </c>
      <c r="O234" s="154" t="s">
        <v>754</v>
      </c>
      <c r="P234" s="167">
        <f>I228</f>
        <v>468.6</v>
      </c>
      <c r="Q234" s="154" t="s">
        <v>576</v>
      </c>
      <c r="R234" s="167">
        <f>(M234*P234)</f>
        <v>8294.2199999999993</v>
      </c>
      <c r="AE234" s="173"/>
    </row>
    <row r="235" spans="1:31" ht="24" customHeight="1">
      <c r="A235" s="188"/>
      <c r="B235" s="188"/>
      <c r="C235" s="188"/>
      <c r="D235" s="188"/>
      <c r="H235" s="169" t="s">
        <v>685</v>
      </c>
      <c r="K235" s="162" t="s">
        <v>528</v>
      </c>
      <c r="M235" s="167">
        <v>14.1</v>
      </c>
      <c r="N235" s="165" t="s">
        <v>576</v>
      </c>
      <c r="O235" s="154" t="s">
        <v>756</v>
      </c>
      <c r="P235" s="167">
        <f>I229</f>
        <v>404.8</v>
      </c>
      <c r="Q235" s="154" t="s">
        <v>576</v>
      </c>
      <c r="R235" s="167">
        <f>(M235*P235)</f>
        <v>5707.68</v>
      </c>
      <c r="AE235" s="173"/>
    </row>
    <row r="236" spans="1:31" ht="24" customHeight="1">
      <c r="A236" s="188"/>
      <c r="B236" s="188"/>
      <c r="C236" s="188"/>
      <c r="D236" s="188"/>
      <c r="N236" s="165" t="s">
        <v>589</v>
      </c>
      <c r="O236" s="154" t="s">
        <v>590</v>
      </c>
      <c r="Q236" s="154" t="s">
        <v>589</v>
      </c>
      <c r="R236" s="167">
        <v>0</v>
      </c>
      <c r="AE236" s="173"/>
    </row>
    <row r="237" spans="1:31" ht="24" customHeight="1">
      <c r="A237" s="188"/>
      <c r="B237" s="188"/>
      <c r="C237" s="188"/>
      <c r="D237" s="188"/>
      <c r="N237" s="156"/>
      <c r="Q237" s="158"/>
      <c r="R237" s="162" t="s">
        <v>534</v>
      </c>
      <c r="AE237" s="173"/>
    </row>
    <row r="238" spans="1:31" ht="24" customHeight="1">
      <c r="A238" s="188"/>
      <c r="B238" s="188"/>
      <c r="C238" s="188"/>
      <c r="D238" s="188"/>
      <c r="F238" s="200">
        <v>3.6</v>
      </c>
      <c r="H238" s="154" t="s">
        <v>951</v>
      </c>
      <c r="N238" s="156"/>
      <c r="Q238" s="158"/>
      <c r="R238" s="167">
        <f>SUM(R231:R236)</f>
        <v>41764.154999999999</v>
      </c>
      <c r="AE238" s="173"/>
    </row>
    <row r="239" spans="1:31" ht="24" customHeight="1">
      <c r="A239" s="188"/>
      <c r="B239" s="188"/>
      <c r="C239" s="188"/>
      <c r="D239" s="188"/>
      <c r="H239" s="154" t="s">
        <v>952</v>
      </c>
      <c r="N239" s="156"/>
      <c r="O239" s="154" t="s">
        <v>760</v>
      </c>
      <c r="Q239" s="158"/>
      <c r="R239" s="162" t="s">
        <v>534</v>
      </c>
      <c r="AE239" s="173"/>
    </row>
    <row r="240" spans="1:31" ht="24" customHeight="1">
      <c r="A240" s="188"/>
      <c r="B240" s="188"/>
      <c r="C240" s="188"/>
      <c r="D240" s="188"/>
      <c r="H240" s="162" t="s">
        <v>528</v>
      </c>
      <c r="N240" s="156"/>
      <c r="Q240" s="158"/>
      <c r="R240" s="166">
        <f>(R238/10)</f>
        <v>4176.4155000000001</v>
      </c>
      <c r="AE240" s="173"/>
    </row>
    <row r="241" spans="1:31" ht="24" customHeight="1">
      <c r="A241" s="188"/>
      <c r="B241" s="188"/>
      <c r="C241" s="188"/>
      <c r="D241" s="188"/>
      <c r="F241" s="167">
        <v>1.25</v>
      </c>
      <c r="G241" s="165" t="s">
        <v>421</v>
      </c>
      <c r="H241" s="154" t="s">
        <v>953</v>
      </c>
      <c r="I241" s="230">
        <f>C812</f>
        <v>3.15</v>
      </c>
      <c r="J241" s="154" t="s">
        <v>421</v>
      </c>
      <c r="K241" s="167">
        <f>(F241*I241)</f>
        <v>3.9375</v>
      </c>
      <c r="N241" s="156"/>
      <c r="O241" s="169" t="s">
        <v>685</v>
      </c>
      <c r="Q241" s="158"/>
      <c r="R241" s="162" t="s">
        <v>528</v>
      </c>
      <c r="AE241" s="173"/>
    </row>
    <row r="242" spans="1:31" ht="24" customHeight="1">
      <c r="A242" s="188"/>
      <c r="B242" s="188"/>
      <c r="C242" s="188"/>
      <c r="D242" s="188"/>
      <c r="F242" s="167">
        <v>0.75</v>
      </c>
      <c r="G242" s="165" t="s">
        <v>421</v>
      </c>
      <c r="H242" s="154" t="s">
        <v>954</v>
      </c>
      <c r="I242" s="167">
        <f>AC37</f>
        <v>899.38</v>
      </c>
      <c r="J242" s="154" t="s">
        <v>421</v>
      </c>
      <c r="K242" s="167">
        <f>(F242*I242)</f>
        <v>674.53499999999997</v>
      </c>
      <c r="AE242" s="173"/>
    </row>
    <row r="243" spans="1:31" ht="24" customHeight="1">
      <c r="A243" s="188"/>
      <c r="B243" s="188"/>
      <c r="C243" s="188"/>
      <c r="D243" s="188"/>
      <c r="F243" s="167">
        <v>0.5</v>
      </c>
      <c r="G243" s="165" t="s">
        <v>421</v>
      </c>
      <c r="H243" s="154" t="s">
        <v>955</v>
      </c>
      <c r="I243" s="167">
        <f>AC36</f>
        <v>1038.3800000000001</v>
      </c>
      <c r="J243" s="154" t="s">
        <v>421</v>
      </c>
      <c r="K243" s="167">
        <f>(F243*I243)</f>
        <v>519.19000000000005</v>
      </c>
      <c r="AE243" s="173"/>
    </row>
    <row r="244" spans="1:31" ht="24" customHeight="1">
      <c r="A244" s="188"/>
      <c r="B244" s="188"/>
      <c r="C244" s="188"/>
      <c r="D244" s="188"/>
      <c r="F244" s="167">
        <v>0.45</v>
      </c>
      <c r="G244" s="165" t="s">
        <v>421</v>
      </c>
      <c r="H244" s="154" t="s">
        <v>956</v>
      </c>
      <c r="I244" s="167">
        <f>AC38</f>
        <v>346.88</v>
      </c>
      <c r="J244" s="154" t="s">
        <v>421</v>
      </c>
      <c r="K244" s="167">
        <f>(F244*I244)</f>
        <v>156.096</v>
      </c>
      <c r="AE244" s="173"/>
    </row>
    <row r="245" spans="1:31" ht="24" customHeight="1">
      <c r="A245" s="188"/>
      <c r="B245" s="188"/>
      <c r="C245" s="188"/>
      <c r="D245" s="188"/>
      <c r="F245" s="167">
        <v>10</v>
      </c>
      <c r="G245" s="165" t="s">
        <v>141</v>
      </c>
      <c r="H245" s="154" t="s">
        <v>957</v>
      </c>
      <c r="I245" s="230">
        <v>17.82</v>
      </c>
      <c r="J245" s="154" t="s">
        <v>141</v>
      </c>
      <c r="K245" s="167">
        <f>(F245*I245)</f>
        <v>178.2</v>
      </c>
      <c r="AE245" s="173"/>
    </row>
    <row r="246" spans="1:31" ht="24" customHeight="1">
      <c r="A246" s="188"/>
      <c r="B246" s="188"/>
      <c r="C246" s="188"/>
      <c r="D246" s="188"/>
      <c r="H246" s="154" t="s">
        <v>958</v>
      </c>
      <c r="K246" s="162" t="s">
        <v>534</v>
      </c>
      <c r="AE246" s="173"/>
    </row>
    <row r="247" spans="1:31" ht="24" customHeight="1">
      <c r="A247" s="188"/>
      <c r="B247" s="188"/>
      <c r="C247" s="188"/>
      <c r="D247" s="188"/>
      <c r="H247" s="154" t="s">
        <v>959</v>
      </c>
      <c r="K247" s="167">
        <f>SUM(K241:K245)</f>
        <v>1531.9585</v>
      </c>
      <c r="AE247" s="173"/>
    </row>
    <row r="248" spans="1:31" ht="24" customHeight="1">
      <c r="A248" s="188"/>
      <c r="B248" s="188"/>
      <c r="C248" s="188"/>
      <c r="D248" s="188"/>
      <c r="K248" s="162" t="s">
        <v>534</v>
      </c>
      <c r="AE248" s="173"/>
    </row>
    <row r="249" spans="1:31" ht="24" customHeight="1">
      <c r="A249" s="188"/>
      <c r="B249" s="188"/>
      <c r="C249" s="188"/>
      <c r="D249" s="188"/>
      <c r="H249" s="169" t="s">
        <v>960</v>
      </c>
      <c r="K249" s="166">
        <f>K247/10</f>
        <v>153.19585000000001</v>
      </c>
      <c r="AE249" s="173"/>
    </row>
    <row r="250" spans="1:31" ht="24" customHeight="1">
      <c r="A250" s="188"/>
      <c r="B250" s="188"/>
      <c r="C250" s="188"/>
      <c r="D250" s="188"/>
      <c r="K250" s="162" t="s">
        <v>528</v>
      </c>
      <c r="AE250" s="173"/>
    </row>
    <row r="251" spans="1:31" ht="24" customHeight="1">
      <c r="A251" s="188"/>
      <c r="B251" s="188"/>
      <c r="C251" s="188"/>
      <c r="D251" s="188"/>
      <c r="AE251" s="173"/>
    </row>
    <row r="252" spans="1:31" ht="24" customHeight="1">
      <c r="A252" s="188"/>
      <c r="B252" s="188"/>
      <c r="C252" s="188"/>
      <c r="D252" s="188"/>
      <c r="F252" s="200">
        <v>3.7</v>
      </c>
      <c r="H252" s="154" t="s">
        <v>961</v>
      </c>
      <c r="AE252" s="173"/>
    </row>
    <row r="253" spans="1:31" ht="24" customHeight="1">
      <c r="A253" s="188"/>
      <c r="B253" s="188"/>
      <c r="C253" s="188"/>
      <c r="D253" s="188"/>
      <c r="H253" s="162" t="s">
        <v>534</v>
      </c>
      <c r="AE253" s="173"/>
    </row>
    <row r="254" spans="1:31" ht="24" customHeight="1">
      <c r="A254" s="188"/>
      <c r="B254" s="188"/>
      <c r="C254" s="188"/>
      <c r="D254" s="188"/>
      <c r="F254" s="167">
        <v>2.7</v>
      </c>
      <c r="G254" s="165" t="s">
        <v>421</v>
      </c>
      <c r="H254" s="154" t="s">
        <v>962</v>
      </c>
      <c r="I254" s="167">
        <f>AC35</f>
        <v>936.88</v>
      </c>
      <c r="J254" s="154" t="s">
        <v>421</v>
      </c>
      <c r="K254" s="167">
        <f>(F254*I254)</f>
        <v>2529.576</v>
      </c>
      <c r="AE254" s="173"/>
    </row>
    <row r="255" spans="1:31" ht="24" customHeight="1">
      <c r="A255" s="188"/>
      <c r="B255" s="188"/>
      <c r="C255" s="188"/>
      <c r="D255" s="188"/>
      <c r="F255" s="233">
        <v>0.14499999999999999</v>
      </c>
      <c r="G255" s="165" t="s">
        <v>421</v>
      </c>
      <c r="H255" s="154" t="s">
        <v>286</v>
      </c>
      <c r="I255" s="167">
        <f>AC17</f>
        <v>1514.4</v>
      </c>
      <c r="J255" s="154" t="s">
        <v>421</v>
      </c>
      <c r="K255" s="167">
        <f>(F255*I255)</f>
        <v>219.58799999999999</v>
      </c>
      <c r="AE255" s="173"/>
    </row>
    <row r="256" spans="1:31" ht="24" customHeight="1">
      <c r="A256" s="188"/>
      <c r="B256" s="188"/>
      <c r="C256" s="188"/>
      <c r="D256" s="188"/>
      <c r="F256" s="167">
        <v>218.8</v>
      </c>
      <c r="G256" s="165" t="s">
        <v>31</v>
      </c>
      <c r="H256" s="154" t="s">
        <v>963</v>
      </c>
      <c r="I256" s="167">
        <f>C142</f>
        <v>43563.69</v>
      </c>
      <c r="J256" s="154" t="s">
        <v>31</v>
      </c>
      <c r="K256" s="167">
        <f>(F256*I256)/1000</f>
        <v>9531.735372000001</v>
      </c>
      <c r="AE256" s="173"/>
    </row>
    <row r="257" spans="1:33" ht="24" customHeight="1">
      <c r="A257" s="188"/>
      <c r="B257" s="188"/>
      <c r="C257" s="188"/>
      <c r="D257" s="188"/>
      <c r="F257" s="167">
        <v>100</v>
      </c>
      <c r="G257" s="165" t="s">
        <v>141</v>
      </c>
      <c r="H257" s="154" t="s">
        <v>964</v>
      </c>
      <c r="I257" s="230">
        <v>14.3</v>
      </c>
      <c r="J257" s="154" t="s">
        <v>141</v>
      </c>
      <c r="K257" s="167">
        <f>(F257*I257)</f>
        <v>1430</v>
      </c>
      <c r="AE257" s="173"/>
    </row>
    <row r="258" spans="1:33" ht="24" customHeight="1">
      <c r="A258" s="188"/>
      <c r="B258" s="188"/>
      <c r="C258" s="188"/>
      <c r="D258" s="188"/>
      <c r="K258" s="162" t="s">
        <v>534</v>
      </c>
      <c r="AE258" s="173"/>
    </row>
    <row r="259" spans="1:33" ht="24" customHeight="1">
      <c r="A259" s="188"/>
      <c r="B259" s="188"/>
      <c r="C259" s="188"/>
      <c r="D259" s="188"/>
      <c r="H259" s="154" t="s">
        <v>965</v>
      </c>
      <c r="K259" s="167">
        <f>SUM(K254:K257)</f>
        <v>13710.899372000002</v>
      </c>
      <c r="AE259" s="173"/>
    </row>
    <row r="260" spans="1:33" ht="24" customHeight="1">
      <c r="A260" s="188"/>
      <c r="B260" s="188"/>
      <c r="C260" s="188"/>
      <c r="D260" s="188"/>
      <c r="K260" s="162" t="s">
        <v>534</v>
      </c>
      <c r="AE260" s="173"/>
    </row>
    <row r="261" spans="1:33" ht="24" customHeight="1">
      <c r="A261" s="188"/>
      <c r="B261" s="188"/>
      <c r="C261" s="188"/>
      <c r="D261" s="188"/>
      <c r="H261" s="169" t="s">
        <v>960</v>
      </c>
      <c r="K261" s="166">
        <f>K259/100</f>
        <v>137.10899372000003</v>
      </c>
      <c r="AE261" s="173"/>
    </row>
    <row r="262" spans="1:33" ht="24" customHeight="1">
      <c r="A262" s="188"/>
      <c r="B262" s="188"/>
      <c r="C262" s="188"/>
      <c r="D262" s="188"/>
      <c r="F262" s="154" t="s">
        <v>22</v>
      </c>
      <c r="G262" s="165" t="s">
        <v>22</v>
      </c>
      <c r="K262" s="162" t="s">
        <v>528</v>
      </c>
      <c r="AE262" s="173"/>
    </row>
    <row r="263" spans="1:33" ht="24" customHeight="1">
      <c r="A263" s="188"/>
      <c r="B263" s="188"/>
      <c r="C263" s="188"/>
      <c r="D263" s="188"/>
      <c r="AE263" s="173"/>
    </row>
    <row r="264" spans="1:33" ht="24" customHeight="1">
      <c r="A264" s="188"/>
      <c r="B264" s="188"/>
      <c r="C264" s="188"/>
      <c r="D264" s="188"/>
      <c r="AE264" s="173"/>
    </row>
    <row r="265" spans="1:33" ht="24" customHeight="1">
      <c r="A265" s="175">
        <f>(A206+1)</f>
        <v>105</v>
      </c>
      <c r="B265" s="234" t="s">
        <v>966</v>
      </c>
      <c r="C265" s="172">
        <v>136.69999999999999</v>
      </c>
      <c r="D265" s="176" t="s">
        <v>680</v>
      </c>
      <c r="F265" s="155" t="s">
        <v>967</v>
      </c>
      <c r="H265" s="154" t="s">
        <v>968</v>
      </c>
      <c r="N265" s="154" t="s">
        <v>865</v>
      </c>
      <c r="O265" s="154" t="s">
        <v>969</v>
      </c>
      <c r="AE265" s="173"/>
      <c r="AG265" s="154"/>
    </row>
    <row r="266" spans="1:33" ht="24" customHeight="1">
      <c r="A266" s="175">
        <f t="shared" ref="A266:A280" si="22">(A265+1)</f>
        <v>106</v>
      </c>
      <c r="B266" s="234" t="s">
        <v>970</v>
      </c>
      <c r="C266" s="174">
        <v>165.5</v>
      </c>
      <c r="D266" s="176" t="s">
        <v>680</v>
      </c>
      <c r="H266" s="162" t="s">
        <v>528</v>
      </c>
      <c r="O266" s="162" t="s">
        <v>534</v>
      </c>
      <c r="AE266" s="173"/>
      <c r="AG266" s="154"/>
    </row>
    <row r="267" spans="1:33" ht="24" customHeight="1">
      <c r="A267" s="175">
        <f t="shared" si="22"/>
        <v>107</v>
      </c>
      <c r="B267" s="235" t="s">
        <v>971</v>
      </c>
      <c r="C267" s="236">
        <v>63</v>
      </c>
      <c r="D267" s="174">
        <v>131.4</v>
      </c>
      <c r="G267" s="165" t="s">
        <v>307</v>
      </c>
      <c r="H267" s="154" t="s">
        <v>972</v>
      </c>
      <c r="M267" s="167">
        <v>1.1399999999999999</v>
      </c>
      <c r="N267" s="154" t="s">
        <v>577</v>
      </c>
      <c r="O267" s="154" t="s">
        <v>900</v>
      </c>
      <c r="P267" s="167">
        <f>(K420)</f>
        <v>5402.6017300000003</v>
      </c>
      <c r="Q267" s="154" t="s">
        <v>576</v>
      </c>
      <c r="R267" s="167">
        <f>(M267*P267)</f>
        <v>6158.9659721999997</v>
      </c>
      <c r="AE267" s="173"/>
      <c r="AG267" s="154"/>
    </row>
    <row r="268" spans="1:33" ht="39" customHeight="1">
      <c r="A268" s="175">
        <f t="shared" si="22"/>
        <v>108</v>
      </c>
      <c r="B268" s="237" t="s">
        <v>973</v>
      </c>
      <c r="C268" s="172">
        <v>17600</v>
      </c>
      <c r="D268" s="176" t="s">
        <v>577</v>
      </c>
      <c r="H268" s="154" t="s">
        <v>974</v>
      </c>
      <c r="M268" s="167">
        <v>1</v>
      </c>
      <c r="N268" s="154" t="s">
        <v>680</v>
      </c>
      <c r="O268" s="154" t="s">
        <v>778</v>
      </c>
      <c r="P268" s="167">
        <f>(C10)</f>
        <v>717.2</v>
      </c>
      <c r="Q268" s="154" t="s">
        <v>576</v>
      </c>
      <c r="R268" s="167">
        <f>(M268*P268)</f>
        <v>717.2</v>
      </c>
      <c r="AE268" s="173"/>
      <c r="AG268" s="154"/>
    </row>
    <row r="269" spans="1:33" ht="24" customHeight="1">
      <c r="A269" s="175">
        <f t="shared" si="22"/>
        <v>109</v>
      </c>
      <c r="B269" s="176" t="s">
        <v>975</v>
      </c>
      <c r="C269" s="172">
        <v>15500</v>
      </c>
      <c r="D269" s="176" t="s">
        <v>577</v>
      </c>
      <c r="H269" s="162" t="s">
        <v>534</v>
      </c>
      <c r="N269" s="154" t="s">
        <v>589</v>
      </c>
      <c r="O269" s="154" t="s">
        <v>590</v>
      </c>
      <c r="P269" s="154" t="s">
        <v>22</v>
      </c>
      <c r="Q269" s="154" t="s">
        <v>589</v>
      </c>
      <c r="R269" s="167">
        <v>0.05</v>
      </c>
      <c r="AE269" s="173"/>
      <c r="AG269" s="154"/>
    </row>
    <row r="270" spans="1:33" ht="24" customHeight="1">
      <c r="A270" s="175">
        <f t="shared" si="22"/>
        <v>110</v>
      </c>
      <c r="B270" s="176" t="s">
        <v>976</v>
      </c>
      <c r="C270" s="172">
        <v>25.2</v>
      </c>
      <c r="D270" s="176" t="s">
        <v>680</v>
      </c>
      <c r="F270" s="167">
        <v>9</v>
      </c>
      <c r="G270" s="165" t="s">
        <v>577</v>
      </c>
      <c r="H270" s="154" t="s">
        <v>977</v>
      </c>
      <c r="I270" s="167">
        <f>(C73)</f>
        <v>1500.88</v>
      </c>
      <c r="J270" s="154" t="s">
        <v>577</v>
      </c>
      <c r="K270" s="167">
        <f t="shared" ref="K270:K275" si="23">(F270*I270)</f>
        <v>13507.920000000002</v>
      </c>
      <c r="R270" s="162" t="s">
        <v>534</v>
      </c>
      <c r="AE270" s="173"/>
      <c r="AG270" s="154"/>
    </row>
    <row r="271" spans="1:33" ht="24" customHeight="1">
      <c r="A271" s="175">
        <f t="shared" si="22"/>
        <v>111</v>
      </c>
      <c r="B271" s="176" t="s">
        <v>978</v>
      </c>
      <c r="C271" s="174">
        <v>48.5</v>
      </c>
      <c r="D271" s="176" t="s">
        <v>420</v>
      </c>
      <c r="E271" s="231">
        <v>154</v>
      </c>
      <c r="F271" s="198">
        <v>3.2309999999999999</v>
      </c>
      <c r="G271" s="165" t="s">
        <v>567</v>
      </c>
      <c r="H271" s="154" t="s">
        <v>568</v>
      </c>
      <c r="I271" s="167">
        <f>(C67)</f>
        <v>5750</v>
      </c>
      <c r="J271" s="154" t="s">
        <v>567</v>
      </c>
      <c r="K271" s="167">
        <f t="shared" si="23"/>
        <v>18578.25</v>
      </c>
      <c r="O271" s="154" t="s">
        <v>879</v>
      </c>
      <c r="R271" s="167">
        <f>SUM(R267:R269)</f>
        <v>6876.2159721999997</v>
      </c>
      <c r="AE271" s="173"/>
      <c r="AG271" s="154"/>
    </row>
    <row r="272" spans="1:33" ht="24" customHeight="1">
      <c r="A272" s="175">
        <f t="shared" si="22"/>
        <v>112</v>
      </c>
      <c r="B272" s="176" t="s">
        <v>979</v>
      </c>
      <c r="C272" s="174">
        <v>298</v>
      </c>
      <c r="D272" s="195">
        <v>452.09</v>
      </c>
      <c r="E272" s="238">
        <v>250</v>
      </c>
      <c r="F272" s="167">
        <v>4.5</v>
      </c>
      <c r="G272" s="165" t="s">
        <v>577</v>
      </c>
      <c r="H272" s="154" t="s">
        <v>578</v>
      </c>
      <c r="I272" s="167">
        <f>(C78)</f>
        <v>1514.4</v>
      </c>
      <c r="J272" s="154" t="s">
        <v>577</v>
      </c>
      <c r="K272" s="167">
        <f t="shared" si="23"/>
        <v>6814.8</v>
      </c>
      <c r="R272" s="162" t="s">
        <v>534</v>
      </c>
      <c r="AE272" s="173"/>
      <c r="AG272" s="154"/>
    </row>
    <row r="273" spans="1:33" ht="24" customHeight="1">
      <c r="A273" s="175">
        <f t="shared" si="22"/>
        <v>113</v>
      </c>
      <c r="B273" s="176" t="s">
        <v>980</v>
      </c>
      <c r="C273" s="174">
        <v>139.9</v>
      </c>
      <c r="D273" s="176" t="s">
        <v>410</v>
      </c>
      <c r="F273" s="167">
        <v>3.5</v>
      </c>
      <c r="G273" s="165" t="s">
        <v>576</v>
      </c>
      <c r="H273" s="154" t="s">
        <v>752</v>
      </c>
      <c r="I273" s="167">
        <f>(C11)</f>
        <v>669.90000000000009</v>
      </c>
      <c r="J273" s="154" t="s">
        <v>576</v>
      </c>
      <c r="K273" s="167">
        <f t="shared" si="23"/>
        <v>2344.6500000000005</v>
      </c>
      <c r="O273" s="154" t="s">
        <v>881</v>
      </c>
      <c r="R273" s="167">
        <f>(R271/10)</f>
        <v>687.62159722000001</v>
      </c>
      <c r="AE273" s="173"/>
      <c r="AG273" s="154"/>
    </row>
    <row r="274" spans="1:33" ht="24" customHeight="1">
      <c r="A274" s="175">
        <f t="shared" si="22"/>
        <v>114</v>
      </c>
      <c r="B274" s="176" t="s">
        <v>981</v>
      </c>
      <c r="C274" s="174">
        <v>50.8</v>
      </c>
      <c r="D274" s="176" t="s">
        <v>680</v>
      </c>
      <c r="F274" s="167">
        <v>21.2</v>
      </c>
      <c r="G274" s="165" t="s">
        <v>576</v>
      </c>
      <c r="H274" s="154" t="s">
        <v>754</v>
      </c>
      <c r="I274" s="167">
        <f>(C12)</f>
        <v>468.6</v>
      </c>
      <c r="J274" s="154" t="s">
        <v>576</v>
      </c>
      <c r="K274" s="167">
        <f t="shared" si="23"/>
        <v>9934.32</v>
      </c>
      <c r="R274" s="162" t="s">
        <v>528</v>
      </c>
      <c r="Y274" s="159">
        <v>1.51</v>
      </c>
      <c r="Z274" s="159">
        <v>1.08</v>
      </c>
      <c r="AB274" s="76">
        <v>55.07</v>
      </c>
      <c r="AC274" s="76">
        <f>Y274*AB274</f>
        <v>83.155699999999996</v>
      </c>
      <c r="AD274" s="76">
        <f>Z274*AB274</f>
        <v>59.475600000000007</v>
      </c>
      <c r="AE274" s="173"/>
      <c r="AG274" s="154"/>
    </row>
    <row r="275" spans="1:33" ht="24" customHeight="1">
      <c r="A275" s="175">
        <f t="shared" si="22"/>
        <v>115</v>
      </c>
      <c r="B275" s="176" t="s">
        <v>982</v>
      </c>
      <c r="C275" s="174">
        <v>44.4</v>
      </c>
      <c r="D275" s="176" t="s">
        <v>680</v>
      </c>
      <c r="F275" s="167">
        <v>35.299999999999997</v>
      </c>
      <c r="G275" s="165" t="s">
        <v>576</v>
      </c>
      <c r="H275" s="154" t="s">
        <v>756</v>
      </c>
      <c r="I275" s="167">
        <f>(C13)</f>
        <v>404.8</v>
      </c>
      <c r="J275" s="154" t="s">
        <v>576</v>
      </c>
      <c r="K275" s="167">
        <f t="shared" si="23"/>
        <v>14289.439999999999</v>
      </c>
      <c r="N275" s="154" t="s">
        <v>983</v>
      </c>
      <c r="O275" s="154" t="s">
        <v>789</v>
      </c>
      <c r="R275" s="167">
        <f>(R273+C19/10*M267)</f>
        <v>694.07969721999996</v>
      </c>
      <c r="Y275" s="159">
        <v>0.216</v>
      </c>
      <c r="Z275" s="159">
        <v>0.216</v>
      </c>
      <c r="AB275" s="76">
        <v>993.48</v>
      </c>
      <c r="AC275" s="76">
        <f>Y275*AB275</f>
        <v>214.59168</v>
      </c>
      <c r="AD275" s="76">
        <f>Z275*AB275</f>
        <v>214.59168</v>
      </c>
      <c r="AE275" s="173"/>
      <c r="AG275" s="154"/>
    </row>
    <row r="276" spans="1:33" ht="24" customHeight="1">
      <c r="A276" s="175">
        <f t="shared" si="22"/>
        <v>116</v>
      </c>
      <c r="B276" s="176" t="s">
        <v>984</v>
      </c>
      <c r="C276" s="185">
        <v>16.440000000000001</v>
      </c>
      <c r="D276" s="176" t="s">
        <v>680</v>
      </c>
      <c r="G276" s="165" t="s">
        <v>589</v>
      </c>
      <c r="H276" s="154" t="s">
        <v>590</v>
      </c>
      <c r="I276" s="154" t="s">
        <v>22</v>
      </c>
      <c r="J276" s="154" t="s">
        <v>589</v>
      </c>
      <c r="K276" s="167">
        <v>0</v>
      </c>
      <c r="N276" s="154" t="s">
        <v>985</v>
      </c>
      <c r="O276" s="154" t="s">
        <v>793</v>
      </c>
      <c r="R276" s="167">
        <f>(R275+C20/10*M267)</f>
        <v>707.09621721999997</v>
      </c>
      <c r="Y276" s="159">
        <v>0.71599999999999997</v>
      </c>
      <c r="Z276" s="159">
        <v>0.48699999999999999</v>
      </c>
      <c r="AB276" s="76">
        <v>1762.91</v>
      </c>
      <c r="AC276" s="76">
        <f>Y276*AB276</f>
        <v>1262.2435600000001</v>
      </c>
      <c r="AD276" s="76">
        <f>Z276*AB276</f>
        <v>858.53717000000006</v>
      </c>
      <c r="AE276" s="173"/>
      <c r="AG276" s="154"/>
    </row>
    <row r="277" spans="1:33" ht="24" customHeight="1">
      <c r="A277" s="175">
        <f t="shared" si="22"/>
        <v>117</v>
      </c>
      <c r="B277" s="176" t="s">
        <v>986</v>
      </c>
      <c r="C277" s="174">
        <v>31.2</v>
      </c>
      <c r="D277" s="177">
        <v>6.25</v>
      </c>
      <c r="K277" s="162" t="s">
        <v>534</v>
      </c>
      <c r="N277" s="154" t="s">
        <v>987</v>
      </c>
      <c r="O277" s="154" t="s">
        <v>796</v>
      </c>
      <c r="R277" s="167">
        <f>(R276+C21/10*M267)</f>
        <v>720.11273721999999</v>
      </c>
      <c r="Y277" s="159">
        <v>7.35</v>
      </c>
      <c r="Z277" s="159">
        <v>5.36</v>
      </c>
      <c r="AB277" s="76">
        <v>69.709999999999994</v>
      </c>
      <c r="AC277" s="76">
        <f>Y277*AB277</f>
        <v>512.36849999999993</v>
      </c>
      <c r="AD277" s="76">
        <f>Z277*AB277</f>
        <v>373.6456</v>
      </c>
      <c r="AE277" s="173"/>
      <c r="AG277" s="154"/>
    </row>
    <row r="278" spans="1:33" ht="24" customHeight="1">
      <c r="A278" s="175">
        <f t="shared" si="22"/>
        <v>118</v>
      </c>
      <c r="B278" s="176" t="s">
        <v>988</v>
      </c>
      <c r="C278" s="174">
        <v>354</v>
      </c>
      <c r="D278" s="176" t="s">
        <v>916</v>
      </c>
      <c r="H278" s="154" t="s">
        <v>989</v>
      </c>
      <c r="K278" s="167">
        <f>SUM(K270:K276)</f>
        <v>65469.380000000005</v>
      </c>
      <c r="N278" s="154" t="s">
        <v>990</v>
      </c>
      <c r="O278" s="154" t="s">
        <v>798</v>
      </c>
      <c r="R278" s="167">
        <f>(R277+C21/10*M267)</f>
        <v>733.12925722</v>
      </c>
      <c r="Y278" s="159">
        <v>3.2000000000000001E-2</v>
      </c>
      <c r="Z278" s="159">
        <v>3.2000000000000001E-2</v>
      </c>
      <c r="AB278" s="76">
        <v>2824.15</v>
      </c>
      <c r="AC278" s="76">
        <f>Y278*AB278</f>
        <v>90.372799999999998</v>
      </c>
      <c r="AD278" s="76">
        <f>Z278*AB278</f>
        <v>90.372799999999998</v>
      </c>
      <c r="AE278" s="173"/>
      <c r="AG278" s="154"/>
    </row>
    <row r="279" spans="1:33" ht="24" customHeight="1">
      <c r="A279" s="175">
        <f t="shared" si="22"/>
        <v>119</v>
      </c>
      <c r="B279" s="176" t="s">
        <v>991</v>
      </c>
      <c r="C279" s="174">
        <v>78.400000000000006</v>
      </c>
      <c r="D279" s="176" t="s">
        <v>680</v>
      </c>
      <c r="K279" s="162" t="s">
        <v>534</v>
      </c>
      <c r="Z279" s="159"/>
      <c r="AD279" s="76">
        <v>13.38</v>
      </c>
      <c r="AE279" s="173"/>
      <c r="AG279" s="154"/>
    </row>
    <row r="280" spans="1:33" ht="24" customHeight="1">
      <c r="A280" s="175">
        <f t="shared" si="22"/>
        <v>120</v>
      </c>
      <c r="B280" s="176" t="s">
        <v>992</v>
      </c>
      <c r="C280" s="174">
        <v>62.9</v>
      </c>
      <c r="D280" s="176" t="s">
        <v>680</v>
      </c>
      <c r="H280" s="169" t="s">
        <v>685</v>
      </c>
      <c r="K280" s="166">
        <f>(K278/10)</f>
        <v>6546.9380000000001</v>
      </c>
      <c r="R280" s="154" t="s">
        <v>22</v>
      </c>
      <c r="AC280" s="76">
        <f>SUM(AC274:AC279)</f>
        <v>2162.7322400000003</v>
      </c>
      <c r="AD280" s="76">
        <f>SUM(AD274:AD279)</f>
        <v>1610.0028500000003</v>
      </c>
      <c r="AE280" s="173"/>
      <c r="AG280" s="154"/>
    </row>
    <row r="281" spans="1:33" ht="24" customHeight="1">
      <c r="A281" s="188"/>
      <c r="B281" s="188"/>
      <c r="C281" s="231"/>
      <c r="D281" s="188"/>
      <c r="F281" s="154" t="s">
        <v>22</v>
      </c>
      <c r="N281" s="154" t="s">
        <v>865</v>
      </c>
      <c r="O281" s="154" t="s">
        <v>993</v>
      </c>
      <c r="AE281" s="173"/>
    </row>
    <row r="282" spans="1:33" ht="24" customHeight="1">
      <c r="A282" s="175">
        <f>(A280+1)</f>
        <v>121</v>
      </c>
      <c r="B282" s="176" t="s">
        <v>994</v>
      </c>
      <c r="C282" s="174">
        <v>43.2</v>
      </c>
      <c r="D282" s="176" t="s">
        <v>680</v>
      </c>
      <c r="O282" s="154" t="s">
        <v>995</v>
      </c>
      <c r="AE282" s="173"/>
      <c r="AG282" s="154"/>
    </row>
    <row r="283" spans="1:33" ht="24" customHeight="1">
      <c r="A283" s="175">
        <f t="shared" ref="A283:A346" si="24">(A282+1)</f>
        <v>122</v>
      </c>
      <c r="B283" s="176" t="s">
        <v>996</v>
      </c>
      <c r="C283" s="174">
        <v>34.799999999999997</v>
      </c>
      <c r="D283" s="176" t="s">
        <v>680</v>
      </c>
      <c r="F283" s="167">
        <v>1</v>
      </c>
      <c r="G283" s="165" t="s">
        <v>577</v>
      </c>
      <c r="H283" s="154" t="s">
        <v>997</v>
      </c>
      <c r="K283" s="167">
        <f>(C25)</f>
        <v>67.650000000000006</v>
      </c>
      <c r="O283" s="162" t="s">
        <v>534</v>
      </c>
      <c r="AE283" s="173"/>
      <c r="AG283" s="154"/>
    </row>
    <row r="284" spans="1:33" ht="24" customHeight="1">
      <c r="A284" s="175">
        <f t="shared" si="24"/>
        <v>123</v>
      </c>
      <c r="B284" s="176" t="s">
        <v>998</v>
      </c>
      <c r="C284" s="174">
        <v>56.7</v>
      </c>
      <c r="D284" s="176" t="s">
        <v>680</v>
      </c>
      <c r="K284" s="162" t="s">
        <v>534</v>
      </c>
      <c r="M284" s="167">
        <v>10</v>
      </c>
      <c r="N284" s="154" t="s">
        <v>916</v>
      </c>
      <c r="O284" s="154" t="s">
        <v>999</v>
      </c>
      <c r="P284" s="167">
        <f>(K1241)</f>
        <v>970.35007000000007</v>
      </c>
      <c r="Q284" s="154" t="s">
        <v>916</v>
      </c>
      <c r="R284" s="167">
        <f>(M284*P284)</f>
        <v>9703.5007000000005</v>
      </c>
      <c r="AE284" s="173"/>
      <c r="AG284" s="154"/>
    </row>
    <row r="285" spans="1:33" ht="24" customHeight="1">
      <c r="A285" s="175">
        <f t="shared" si="24"/>
        <v>124</v>
      </c>
      <c r="B285" s="176" t="s">
        <v>1000</v>
      </c>
      <c r="C285" s="174">
        <v>34.799999999999997</v>
      </c>
      <c r="D285" s="176" t="s">
        <v>680</v>
      </c>
      <c r="E285" s="231">
        <v>49.8</v>
      </c>
      <c r="H285" s="154" t="s">
        <v>1001</v>
      </c>
      <c r="K285" s="166">
        <f>SUM(K280:K283)</f>
        <v>6614.5879999999997</v>
      </c>
      <c r="M285" s="167">
        <v>1.1000000000000001</v>
      </c>
      <c r="N285" s="154" t="s">
        <v>576</v>
      </c>
      <c r="O285" s="154" t="s">
        <v>752</v>
      </c>
      <c r="P285" s="167">
        <f>(C11)</f>
        <v>669.90000000000009</v>
      </c>
      <c r="Q285" s="154" t="s">
        <v>576</v>
      </c>
      <c r="R285" s="167">
        <f>(M285*P285)</f>
        <v>736.89000000000021</v>
      </c>
      <c r="AE285" s="173"/>
      <c r="AG285" s="154"/>
    </row>
    <row r="286" spans="1:33" ht="24" customHeight="1">
      <c r="A286" s="175">
        <f t="shared" si="24"/>
        <v>125</v>
      </c>
      <c r="B286" s="176" t="s">
        <v>1002</v>
      </c>
      <c r="C286" s="174">
        <v>158.19999999999999</v>
      </c>
      <c r="D286" s="176" t="s">
        <v>680</v>
      </c>
      <c r="K286" s="162" t="s">
        <v>534</v>
      </c>
      <c r="M286" s="167">
        <v>1.1000000000000001</v>
      </c>
      <c r="N286" s="154" t="s">
        <v>576</v>
      </c>
      <c r="O286" s="154" t="s">
        <v>754</v>
      </c>
      <c r="P286" s="167">
        <f>(C12)</f>
        <v>468.6</v>
      </c>
      <c r="Q286" s="154" t="s">
        <v>576</v>
      </c>
      <c r="R286" s="167">
        <f>(M286*P286)</f>
        <v>515.46</v>
      </c>
      <c r="AE286" s="173"/>
      <c r="AG286" s="154"/>
    </row>
    <row r="287" spans="1:33" ht="24" customHeight="1">
      <c r="A287" s="175">
        <f t="shared" si="24"/>
        <v>126</v>
      </c>
      <c r="B287" s="176" t="s">
        <v>1003</v>
      </c>
      <c r="C287" s="174">
        <v>88.9</v>
      </c>
      <c r="D287" s="176" t="s">
        <v>680</v>
      </c>
      <c r="H287" s="154" t="s">
        <v>789</v>
      </c>
      <c r="K287" s="166">
        <f>(K285+C22)</f>
        <v>6700.6080000000002</v>
      </c>
      <c r="L287" s="76">
        <v>54</v>
      </c>
      <c r="M287" s="167">
        <v>1.1000000000000001</v>
      </c>
      <c r="N287" s="154" t="s">
        <v>576</v>
      </c>
      <c r="O287" s="154" t="s">
        <v>535</v>
      </c>
      <c r="P287" s="167">
        <f>(C13)</f>
        <v>404.8</v>
      </c>
      <c r="Q287" s="154" t="s">
        <v>576</v>
      </c>
      <c r="R287" s="167">
        <f>(M287*P287)</f>
        <v>445.28000000000003</v>
      </c>
      <c r="AE287" s="173"/>
      <c r="AG287" s="154"/>
    </row>
    <row r="288" spans="1:33" ht="24" customHeight="1">
      <c r="A288" s="175">
        <f t="shared" si="24"/>
        <v>127</v>
      </c>
      <c r="B288" s="176" t="s">
        <v>1004</v>
      </c>
      <c r="C288" s="195">
        <v>7.3</v>
      </c>
      <c r="D288" s="176" t="s">
        <v>680</v>
      </c>
      <c r="H288" s="154" t="s">
        <v>793</v>
      </c>
      <c r="K288" s="166">
        <f>(K287+C23)</f>
        <v>6870.0079999999998</v>
      </c>
      <c r="L288" s="76">
        <v>107</v>
      </c>
      <c r="R288" s="162" t="s">
        <v>534</v>
      </c>
      <c r="AE288" s="173"/>
      <c r="AG288" s="154"/>
    </row>
    <row r="289" spans="1:33" ht="24" customHeight="1">
      <c r="A289" s="175">
        <f t="shared" si="24"/>
        <v>128</v>
      </c>
      <c r="B289" s="176" t="s">
        <v>1005</v>
      </c>
      <c r="C289" s="195">
        <v>7.3</v>
      </c>
      <c r="D289" s="176" t="s">
        <v>680</v>
      </c>
      <c r="H289" s="154" t="s">
        <v>796</v>
      </c>
      <c r="K289" s="166">
        <f>(K288+C24)</f>
        <v>7039.4079999999994</v>
      </c>
      <c r="O289" s="154" t="s">
        <v>879</v>
      </c>
      <c r="R289" s="167">
        <f>SUM(R284:R287)</f>
        <v>11401.1307</v>
      </c>
      <c r="AE289" s="173"/>
      <c r="AG289" s="154"/>
    </row>
    <row r="290" spans="1:33" ht="24" customHeight="1">
      <c r="A290" s="175">
        <f t="shared" si="24"/>
        <v>129</v>
      </c>
      <c r="B290" s="176" t="s">
        <v>1006</v>
      </c>
      <c r="C290" s="185">
        <v>2.9</v>
      </c>
      <c r="D290" s="176" t="s">
        <v>1007</v>
      </c>
      <c r="H290" s="154" t="s">
        <v>798</v>
      </c>
      <c r="K290" s="166">
        <f>(K289+C24)</f>
        <v>7208.8079999999991</v>
      </c>
      <c r="R290" s="162" t="s">
        <v>534</v>
      </c>
      <c r="AE290" s="173"/>
      <c r="AG290" s="154"/>
    </row>
    <row r="291" spans="1:33" ht="24" customHeight="1">
      <c r="A291" s="175">
        <f t="shared" si="24"/>
        <v>130</v>
      </c>
      <c r="B291" s="176" t="s">
        <v>1008</v>
      </c>
      <c r="C291" s="195">
        <v>11.8</v>
      </c>
      <c r="D291" s="176" t="s">
        <v>1007</v>
      </c>
      <c r="H291" s="154" t="s">
        <v>803</v>
      </c>
      <c r="K291" s="166">
        <f>(K290+C24)</f>
        <v>7378.2079999999987</v>
      </c>
      <c r="O291" s="154" t="s">
        <v>881</v>
      </c>
      <c r="R291" s="167">
        <f>(R289/10)</f>
        <v>1140.1130699999999</v>
      </c>
      <c r="AE291" s="173"/>
      <c r="AG291" s="154"/>
    </row>
    <row r="292" spans="1:33" ht="24" customHeight="1">
      <c r="A292" s="175">
        <f t="shared" si="24"/>
        <v>131</v>
      </c>
      <c r="B292" s="176" t="s">
        <v>1009</v>
      </c>
      <c r="C292" s="195">
        <v>8.9</v>
      </c>
      <c r="D292" s="176" t="s">
        <v>680</v>
      </c>
      <c r="R292" s="162" t="s">
        <v>528</v>
      </c>
      <c r="AE292" s="173"/>
      <c r="AG292" s="154"/>
    </row>
    <row r="293" spans="1:33" ht="24" customHeight="1">
      <c r="A293" s="175">
        <f t="shared" si="24"/>
        <v>132</v>
      </c>
      <c r="B293" s="176" t="s">
        <v>1010</v>
      </c>
      <c r="C293" s="195">
        <v>6.1</v>
      </c>
      <c r="D293" s="176" t="s">
        <v>680</v>
      </c>
      <c r="F293" s="155" t="s">
        <v>595</v>
      </c>
      <c r="G293" s="165" t="s">
        <v>307</v>
      </c>
      <c r="H293" s="154" t="s">
        <v>1011</v>
      </c>
      <c r="AE293" s="173"/>
      <c r="AG293" s="154"/>
    </row>
    <row r="294" spans="1:33" ht="24" customHeight="1">
      <c r="A294" s="175">
        <f t="shared" si="24"/>
        <v>133</v>
      </c>
      <c r="B294" s="176" t="s">
        <v>1012</v>
      </c>
      <c r="C294" s="185">
        <v>5.75</v>
      </c>
      <c r="D294" s="176" t="s">
        <v>680</v>
      </c>
      <c r="H294" s="162" t="s">
        <v>528</v>
      </c>
      <c r="N294" s="154" t="s">
        <v>307</v>
      </c>
      <c r="O294" s="154" t="s">
        <v>1013</v>
      </c>
      <c r="AE294" s="173"/>
      <c r="AG294" s="154"/>
    </row>
    <row r="295" spans="1:33" ht="24" customHeight="1">
      <c r="A295" s="175">
        <f t="shared" si="24"/>
        <v>134</v>
      </c>
      <c r="B295" s="176" t="s">
        <v>1014</v>
      </c>
      <c r="C295" s="185">
        <v>8.5</v>
      </c>
      <c r="D295" s="176" t="s">
        <v>680</v>
      </c>
      <c r="F295" s="167">
        <v>10</v>
      </c>
      <c r="G295" s="165" t="s">
        <v>577</v>
      </c>
      <c r="H295" s="154" t="s">
        <v>1015</v>
      </c>
      <c r="I295" s="167">
        <f>(C68)</f>
        <v>569.88</v>
      </c>
      <c r="J295" s="154" t="s">
        <v>577</v>
      </c>
      <c r="K295" s="167">
        <f t="shared" ref="K295:K301" si="25">(F295*I295)</f>
        <v>5698.8</v>
      </c>
      <c r="O295" s="162" t="s">
        <v>534</v>
      </c>
      <c r="AE295" s="173"/>
      <c r="AG295" s="154"/>
    </row>
    <row r="296" spans="1:33" ht="24" customHeight="1">
      <c r="A296" s="175">
        <f t="shared" si="24"/>
        <v>135</v>
      </c>
      <c r="B296" s="176" t="s">
        <v>1016</v>
      </c>
      <c r="C296" s="185">
        <v>10</v>
      </c>
      <c r="D296" s="176" t="s">
        <v>680</v>
      </c>
      <c r="F296" s="167">
        <v>1</v>
      </c>
      <c r="G296" s="165" t="s">
        <v>577</v>
      </c>
      <c r="H296" s="154" t="s">
        <v>781</v>
      </c>
      <c r="I296" s="167">
        <f>(C69)</f>
        <v>760.88</v>
      </c>
      <c r="J296" s="154" t="s">
        <v>577</v>
      </c>
      <c r="K296" s="167">
        <f t="shared" si="25"/>
        <v>760.88</v>
      </c>
      <c r="M296" s="167">
        <v>0.14000000000000001</v>
      </c>
      <c r="N296" s="154" t="s">
        <v>577</v>
      </c>
      <c r="O296" s="154" t="s">
        <v>660</v>
      </c>
      <c r="P296" s="167">
        <f>(K32)</f>
        <v>4357.67</v>
      </c>
      <c r="Q296" s="154" t="s">
        <v>577</v>
      </c>
      <c r="R296" s="167">
        <f>(M296*P296)</f>
        <v>610.07380000000012</v>
      </c>
      <c r="AE296" s="173"/>
      <c r="AG296" s="154"/>
    </row>
    <row r="297" spans="1:33" ht="24" customHeight="1">
      <c r="A297" s="175">
        <f t="shared" si="24"/>
        <v>136</v>
      </c>
      <c r="B297" s="176" t="s">
        <v>1017</v>
      </c>
      <c r="C297" s="195">
        <v>7</v>
      </c>
      <c r="D297" s="176" t="s">
        <v>680</v>
      </c>
      <c r="F297" s="167">
        <v>3.4</v>
      </c>
      <c r="G297" s="165" t="s">
        <v>577</v>
      </c>
      <c r="H297" s="154" t="s">
        <v>729</v>
      </c>
      <c r="I297" s="167">
        <f>(K49)</f>
        <v>3253.6699999999996</v>
      </c>
      <c r="J297" s="154" t="s">
        <v>577</v>
      </c>
      <c r="K297" s="167">
        <f t="shared" si="25"/>
        <v>11062.477999999999</v>
      </c>
      <c r="M297" s="167">
        <v>1.1000000000000001</v>
      </c>
      <c r="N297" s="154" t="s">
        <v>576</v>
      </c>
      <c r="O297" s="154" t="s">
        <v>778</v>
      </c>
      <c r="P297" s="167">
        <f>(C10)</f>
        <v>717.2</v>
      </c>
      <c r="Q297" s="154" t="s">
        <v>576</v>
      </c>
      <c r="R297" s="167">
        <f>(M297*P297)</f>
        <v>788.92000000000007</v>
      </c>
      <c r="AE297" s="173"/>
      <c r="AG297" s="154"/>
    </row>
    <row r="298" spans="1:33" ht="24" customHeight="1">
      <c r="A298" s="175">
        <f t="shared" si="24"/>
        <v>137</v>
      </c>
      <c r="B298" s="176" t="s">
        <v>1018</v>
      </c>
      <c r="C298" s="185">
        <v>2.2000000000000002</v>
      </c>
      <c r="D298" s="176" t="s">
        <v>680</v>
      </c>
      <c r="F298" s="167">
        <v>7.1</v>
      </c>
      <c r="G298" s="165" t="s">
        <v>576</v>
      </c>
      <c r="H298" s="154" t="s">
        <v>778</v>
      </c>
      <c r="I298" s="167">
        <f>(C10)</f>
        <v>717.2</v>
      </c>
      <c r="J298" s="154" t="s">
        <v>576</v>
      </c>
      <c r="K298" s="167">
        <f t="shared" si="25"/>
        <v>5092.12</v>
      </c>
      <c r="M298" s="167">
        <v>0.5</v>
      </c>
      <c r="N298" s="154" t="s">
        <v>576</v>
      </c>
      <c r="O298" s="154" t="s">
        <v>754</v>
      </c>
      <c r="P298" s="167">
        <f>(C12)</f>
        <v>468.6</v>
      </c>
      <c r="Q298" s="154" t="s">
        <v>576</v>
      </c>
      <c r="R298" s="167">
        <f>(M298*P298)</f>
        <v>234.3</v>
      </c>
      <c r="AE298" s="173"/>
      <c r="AG298" s="154"/>
    </row>
    <row r="299" spans="1:33" ht="24" customHeight="1">
      <c r="A299" s="175">
        <f t="shared" si="24"/>
        <v>138</v>
      </c>
      <c r="B299" s="176" t="s">
        <v>1019</v>
      </c>
      <c r="C299" s="185">
        <v>10.5</v>
      </c>
      <c r="D299" s="176" t="s">
        <v>680</v>
      </c>
      <c r="F299" s="167">
        <v>10.6</v>
      </c>
      <c r="G299" s="165" t="s">
        <v>576</v>
      </c>
      <c r="H299" s="154" t="s">
        <v>752</v>
      </c>
      <c r="I299" s="167">
        <f>(C11)</f>
        <v>669.90000000000009</v>
      </c>
      <c r="J299" s="154" t="s">
        <v>576</v>
      </c>
      <c r="K299" s="167">
        <f t="shared" si="25"/>
        <v>7100.9400000000005</v>
      </c>
      <c r="M299" s="167">
        <v>1.1000000000000001</v>
      </c>
      <c r="N299" s="154" t="s">
        <v>576</v>
      </c>
      <c r="O299" s="154" t="s">
        <v>756</v>
      </c>
      <c r="P299" s="167">
        <f>(C13)</f>
        <v>404.8</v>
      </c>
      <c r="Q299" s="154" t="s">
        <v>576</v>
      </c>
      <c r="R299" s="167">
        <f>(M299*P299)</f>
        <v>445.28000000000003</v>
      </c>
      <c r="AE299" s="173"/>
      <c r="AG299" s="154"/>
    </row>
    <row r="300" spans="1:33" ht="24" customHeight="1">
      <c r="A300" s="175">
        <f t="shared" si="24"/>
        <v>139</v>
      </c>
      <c r="B300" s="176" t="s">
        <v>1020</v>
      </c>
      <c r="C300" s="185">
        <v>5.5</v>
      </c>
      <c r="D300" s="176" t="s">
        <v>680</v>
      </c>
      <c r="F300" s="167">
        <v>14.1</v>
      </c>
      <c r="G300" s="165" t="s">
        <v>576</v>
      </c>
      <c r="H300" s="154" t="s">
        <v>754</v>
      </c>
      <c r="I300" s="167">
        <f>(C12)</f>
        <v>468.6</v>
      </c>
      <c r="J300" s="154" t="s">
        <v>576</v>
      </c>
      <c r="K300" s="167">
        <f t="shared" si="25"/>
        <v>6607.26</v>
      </c>
      <c r="N300" s="154" t="s">
        <v>589</v>
      </c>
      <c r="O300" s="154" t="s">
        <v>590</v>
      </c>
      <c r="P300" s="154" t="s">
        <v>22</v>
      </c>
      <c r="Q300" s="154" t="s">
        <v>589</v>
      </c>
      <c r="R300" s="167">
        <v>0</v>
      </c>
      <c r="AE300" s="173"/>
      <c r="AG300" s="154"/>
    </row>
    <row r="301" spans="1:33" ht="24" customHeight="1">
      <c r="A301" s="175">
        <f t="shared" si="24"/>
        <v>140</v>
      </c>
      <c r="B301" s="176" t="s">
        <v>1021</v>
      </c>
      <c r="C301" s="185">
        <v>21</v>
      </c>
      <c r="D301" s="176" t="s">
        <v>680</v>
      </c>
      <c r="F301" s="167">
        <v>14.1</v>
      </c>
      <c r="G301" s="165" t="s">
        <v>576</v>
      </c>
      <c r="H301" s="154" t="s">
        <v>756</v>
      </c>
      <c r="I301" s="167">
        <f>(C13)</f>
        <v>404.8</v>
      </c>
      <c r="J301" s="154" t="s">
        <v>576</v>
      </c>
      <c r="K301" s="167">
        <f t="shared" si="25"/>
        <v>5707.68</v>
      </c>
      <c r="R301" s="162" t="s">
        <v>534</v>
      </c>
      <c r="AE301" s="173"/>
      <c r="AG301" s="154"/>
    </row>
    <row r="302" spans="1:33" ht="24" customHeight="1">
      <c r="A302" s="175">
        <f t="shared" si="24"/>
        <v>141</v>
      </c>
      <c r="B302" s="176" t="s">
        <v>1022</v>
      </c>
      <c r="C302" s="185">
        <v>10</v>
      </c>
      <c r="D302" s="176" t="s">
        <v>680</v>
      </c>
      <c r="G302" s="165" t="s">
        <v>589</v>
      </c>
      <c r="H302" s="154" t="s">
        <v>590</v>
      </c>
      <c r="J302" s="154" t="s">
        <v>589</v>
      </c>
      <c r="K302" s="167">
        <v>0</v>
      </c>
      <c r="O302" s="154" t="s">
        <v>22</v>
      </c>
      <c r="R302" s="167">
        <f>SUM(R296:R300)</f>
        <v>2078.5738000000001</v>
      </c>
      <c r="AE302" s="173"/>
      <c r="AG302" s="154"/>
    </row>
    <row r="303" spans="1:33" ht="24" customHeight="1">
      <c r="A303" s="175">
        <f t="shared" si="24"/>
        <v>142</v>
      </c>
      <c r="B303" s="176" t="s">
        <v>1023</v>
      </c>
      <c r="C303" s="185">
        <v>4</v>
      </c>
      <c r="D303" s="176" t="s">
        <v>680</v>
      </c>
      <c r="K303" s="162" t="s">
        <v>534</v>
      </c>
      <c r="R303" s="162" t="s">
        <v>534</v>
      </c>
      <c r="AE303" s="173"/>
      <c r="AG303" s="154"/>
    </row>
    <row r="304" spans="1:33" ht="24" customHeight="1">
      <c r="A304" s="175">
        <f t="shared" si="24"/>
        <v>143</v>
      </c>
      <c r="B304" s="176" t="s">
        <v>1005</v>
      </c>
      <c r="C304" s="185">
        <v>8</v>
      </c>
      <c r="D304" s="176" t="s">
        <v>576</v>
      </c>
      <c r="H304" s="154" t="s">
        <v>760</v>
      </c>
      <c r="K304" s="167">
        <f>SUM(K295:K302)</f>
        <v>42030.158000000003</v>
      </c>
      <c r="O304" s="154" t="s">
        <v>881</v>
      </c>
      <c r="R304" s="167">
        <f>(R302/10)</f>
        <v>207.85738000000001</v>
      </c>
      <c r="AE304" s="173"/>
      <c r="AG304" s="154"/>
    </row>
    <row r="305" spans="1:33" ht="24" customHeight="1">
      <c r="A305" s="175">
        <f t="shared" si="24"/>
        <v>144</v>
      </c>
      <c r="B305" s="176" t="s">
        <v>1006</v>
      </c>
      <c r="C305" s="185">
        <v>8.5</v>
      </c>
      <c r="D305" s="176" t="s">
        <v>680</v>
      </c>
      <c r="K305" s="162" t="s">
        <v>534</v>
      </c>
      <c r="N305" s="154" t="s">
        <v>307</v>
      </c>
      <c r="O305" s="154" t="s">
        <v>1024</v>
      </c>
      <c r="R305" s="162" t="s">
        <v>528</v>
      </c>
      <c r="AE305" s="173"/>
      <c r="AG305" s="154"/>
    </row>
    <row r="306" spans="1:33" ht="24" customHeight="1">
      <c r="A306" s="175">
        <f t="shared" si="24"/>
        <v>145</v>
      </c>
      <c r="B306" s="176" t="s">
        <v>1025</v>
      </c>
      <c r="C306" s="185">
        <v>2.8</v>
      </c>
      <c r="D306" s="176" t="s">
        <v>680</v>
      </c>
      <c r="H306" s="169" t="s">
        <v>685</v>
      </c>
      <c r="K306" s="166">
        <f>(K304/10)</f>
        <v>4203.0158000000001</v>
      </c>
      <c r="O306" s="162" t="s">
        <v>534</v>
      </c>
      <c r="AE306" s="173"/>
      <c r="AG306" s="154"/>
    </row>
    <row r="307" spans="1:33" ht="24" customHeight="1">
      <c r="A307" s="175">
        <f t="shared" si="24"/>
        <v>146</v>
      </c>
      <c r="B307" s="176" t="s">
        <v>1026</v>
      </c>
      <c r="C307" s="185">
        <v>1.8</v>
      </c>
      <c r="D307" s="176" t="s">
        <v>680</v>
      </c>
      <c r="K307" s="162" t="s">
        <v>528</v>
      </c>
      <c r="M307" s="167">
        <v>0.14000000000000001</v>
      </c>
      <c r="N307" s="154" t="s">
        <v>577</v>
      </c>
      <c r="O307" s="154" t="s">
        <v>608</v>
      </c>
      <c r="P307" s="167">
        <f>(K23)</f>
        <v>5737.67</v>
      </c>
      <c r="Q307" s="154" t="s">
        <v>577</v>
      </c>
      <c r="R307" s="167">
        <f>(M307*P307)</f>
        <v>803.27380000000005</v>
      </c>
      <c r="AE307" s="173"/>
      <c r="AG307" s="154"/>
    </row>
    <row r="308" spans="1:33" ht="24" customHeight="1">
      <c r="A308" s="175">
        <f t="shared" si="24"/>
        <v>147</v>
      </c>
      <c r="B308" s="195" t="s">
        <v>1027</v>
      </c>
      <c r="C308" s="195">
        <v>3</v>
      </c>
      <c r="D308" s="176" t="s">
        <v>680</v>
      </c>
      <c r="F308" s="200">
        <v>6.5</v>
      </c>
      <c r="G308" s="165" t="s">
        <v>307</v>
      </c>
      <c r="H308" s="154" t="s">
        <v>1028</v>
      </c>
      <c r="M308" s="167">
        <v>1.1000000000000001</v>
      </c>
      <c r="N308" s="154" t="s">
        <v>576</v>
      </c>
      <c r="O308" s="154" t="s">
        <v>778</v>
      </c>
      <c r="P308" s="167">
        <f>(C10)</f>
        <v>717.2</v>
      </c>
      <c r="Q308" s="154" t="s">
        <v>576</v>
      </c>
      <c r="R308" s="167">
        <f>(M308*P308)</f>
        <v>788.92000000000007</v>
      </c>
      <c r="S308" s="159">
        <v>6.1</v>
      </c>
      <c r="T308" s="76" t="s">
        <v>307</v>
      </c>
      <c r="U308" s="76" t="s">
        <v>1029</v>
      </c>
      <c r="AB308" s="187">
        <v>6</v>
      </c>
      <c r="AC308" s="165" t="s">
        <v>307</v>
      </c>
      <c r="AD308" s="154" t="s">
        <v>1030</v>
      </c>
      <c r="AF308" s="158"/>
    </row>
    <row r="309" spans="1:33" ht="24" customHeight="1">
      <c r="A309" s="175">
        <f t="shared" si="24"/>
        <v>148</v>
      </c>
      <c r="B309" s="176" t="s">
        <v>1031</v>
      </c>
      <c r="C309" s="239" t="s">
        <v>22</v>
      </c>
      <c r="D309" s="240"/>
      <c r="H309" s="154" t="s">
        <v>1032</v>
      </c>
      <c r="M309" s="167">
        <v>0.5</v>
      </c>
      <c r="N309" s="154" t="s">
        <v>576</v>
      </c>
      <c r="O309" s="154" t="s">
        <v>754</v>
      </c>
      <c r="P309" s="167">
        <f>(C12)</f>
        <v>468.6</v>
      </c>
      <c r="Q309" s="154" t="s">
        <v>576</v>
      </c>
      <c r="R309" s="167">
        <f>(M309*P309)</f>
        <v>234.3</v>
      </c>
      <c r="U309" s="76" t="s">
        <v>1033</v>
      </c>
      <c r="AC309" s="156"/>
      <c r="AD309" s="154" t="s">
        <v>1034</v>
      </c>
      <c r="AF309" s="158"/>
    </row>
    <row r="310" spans="1:33" ht="24" customHeight="1">
      <c r="A310" s="175">
        <f t="shared" si="24"/>
        <v>149</v>
      </c>
      <c r="B310" s="176" t="s">
        <v>1035</v>
      </c>
      <c r="C310" s="218">
        <v>66.44</v>
      </c>
      <c r="D310" s="241" t="s">
        <v>410</v>
      </c>
      <c r="H310" s="162" t="s">
        <v>534</v>
      </c>
      <c r="M310" s="167">
        <v>1.1000000000000001</v>
      </c>
      <c r="N310" s="154" t="s">
        <v>576</v>
      </c>
      <c r="O310" s="154" t="s">
        <v>756</v>
      </c>
      <c r="P310" s="167">
        <f>(C13)</f>
        <v>404.8</v>
      </c>
      <c r="Q310" s="154" t="s">
        <v>576</v>
      </c>
      <c r="R310" s="167">
        <f>(M310*P310)</f>
        <v>445.28000000000003</v>
      </c>
      <c r="U310" s="76" t="s">
        <v>534</v>
      </c>
      <c r="AC310" s="156"/>
      <c r="AD310" s="162" t="s">
        <v>534</v>
      </c>
      <c r="AF310" s="158"/>
    </row>
    <row r="311" spans="1:33" ht="24" customHeight="1">
      <c r="A311" s="175">
        <f t="shared" si="24"/>
        <v>150</v>
      </c>
      <c r="B311" s="176" t="s">
        <v>1036</v>
      </c>
      <c r="C311" s="218">
        <v>83.5</v>
      </c>
      <c r="D311" s="241" t="s">
        <v>410</v>
      </c>
      <c r="F311" s="167">
        <v>4800</v>
      </c>
      <c r="G311" s="165" t="s">
        <v>773</v>
      </c>
      <c r="H311" s="167" t="str">
        <f>H309</f>
        <v>Bricks of size 22x11x7 cm</v>
      </c>
      <c r="I311" s="167">
        <f>C80</f>
        <v>5522.69</v>
      </c>
      <c r="J311" s="154" t="s">
        <v>774</v>
      </c>
      <c r="K311" s="167">
        <f>(F311*I311)/1000</f>
        <v>26508.911999999997</v>
      </c>
      <c r="N311" s="154" t="s">
        <v>589</v>
      </c>
      <c r="O311" s="154" t="s">
        <v>590</v>
      </c>
      <c r="P311" s="154" t="s">
        <v>22</v>
      </c>
      <c r="Q311" s="154" t="s">
        <v>589</v>
      </c>
      <c r="R311" s="167">
        <v>0</v>
      </c>
      <c r="S311" s="159">
        <v>4600</v>
      </c>
      <c r="T311" s="76" t="s">
        <v>773</v>
      </c>
      <c r="U311" s="76" t="s">
        <v>1033</v>
      </c>
      <c r="V311" s="242">
        <f>AC41</f>
        <v>6449.19</v>
      </c>
      <c r="W311" s="159" t="s">
        <v>1037</v>
      </c>
      <c r="X311" s="76">
        <f>(V311*S311)/1000</f>
        <v>29666.274000000001</v>
      </c>
      <c r="AB311" s="167">
        <v>4240</v>
      </c>
      <c r="AC311" s="165" t="s">
        <v>773</v>
      </c>
      <c r="AD311" s="167" t="str">
        <f>AD309</f>
        <v>Bricks of size 23x11.4x7.5 cm</v>
      </c>
      <c r="AE311" s="167">
        <f>AC42</f>
        <v>6634.19</v>
      </c>
      <c r="AF311" s="154" t="s">
        <v>774</v>
      </c>
      <c r="AG311" s="167">
        <f>(AB311*AE311)/1000</f>
        <v>28128.9656</v>
      </c>
    </row>
    <row r="312" spans="1:33" ht="24" customHeight="1">
      <c r="A312" s="175">
        <f t="shared" si="24"/>
        <v>151</v>
      </c>
      <c r="B312" s="176" t="s">
        <v>1038</v>
      </c>
      <c r="C312" s="218">
        <v>102.12</v>
      </c>
      <c r="D312" s="241" t="s">
        <v>410</v>
      </c>
      <c r="F312" s="167">
        <v>2.5</v>
      </c>
      <c r="G312" s="165" t="s">
        <v>577</v>
      </c>
      <c r="H312" s="154" t="s">
        <v>729</v>
      </c>
      <c r="I312" s="167">
        <f>K49</f>
        <v>3253.6699999999996</v>
      </c>
      <c r="J312" s="154" t="s">
        <v>577</v>
      </c>
      <c r="K312" s="167">
        <f>(F312*I312)</f>
        <v>8134.1749999999993</v>
      </c>
      <c r="R312" s="162" t="s">
        <v>534</v>
      </c>
      <c r="S312" s="159">
        <v>2.5</v>
      </c>
      <c r="T312" s="76" t="s">
        <v>577</v>
      </c>
      <c r="U312" s="76" t="s">
        <v>729</v>
      </c>
      <c r="V312" s="242">
        <f>K49</f>
        <v>3253.6699999999996</v>
      </c>
      <c r="W312" s="76" t="s">
        <v>577</v>
      </c>
      <c r="X312" s="76">
        <f>V312*S312</f>
        <v>8134.1749999999993</v>
      </c>
      <c r="AB312" s="167">
        <v>2</v>
      </c>
      <c r="AC312" s="165" t="s">
        <v>577</v>
      </c>
      <c r="AD312" s="154" t="s">
        <v>729</v>
      </c>
      <c r="AE312" s="167">
        <f>K49</f>
        <v>3253.6699999999996</v>
      </c>
      <c r="AF312" s="154" t="s">
        <v>577</v>
      </c>
      <c r="AG312" s="167">
        <f>(AB312*AE312)</f>
        <v>6507.3399999999992</v>
      </c>
    </row>
    <row r="313" spans="1:33" ht="24" customHeight="1">
      <c r="A313" s="175">
        <f t="shared" si="24"/>
        <v>152</v>
      </c>
      <c r="B313" s="176" t="s">
        <v>1039</v>
      </c>
      <c r="C313" s="218">
        <v>182.52</v>
      </c>
      <c r="D313" s="241" t="s">
        <v>410</v>
      </c>
      <c r="F313" s="167">
        <v>3.5</v>
      </c>
      <c r="G313" s="165" t="s">
        <v>576</v>
      </c>
      <c r="H313" s="154" t="s">
        <v>778</v>
      </c>
      <c r="I313" s="167">
        <f>C10</f>
        <v>717.2</v>
      </c>
      <c r="J313" s="154" t="s">
        <v>576</v>
      </c>
      <c r="K313" s="167">
        <f>(F313*I313)</f>
        <v>2510.2000000000003</v>
      </c>
      <c r="O313" s="154" t="s">
        <v>879</v>
      </c>
      <c r="R313" s="167">
        <f>SUM(R307:R311)</f>
        <v>2271.7737999999999</v>
      </c>
      <c r="S313" s="159">
        <v>3.5</v>
      </c>
      <c r="T313" s="76" t="s">
        <v>576</v>
      </c>
      <c r="U313" s="76" t="s">
        <v>778</v>
      </c>
      <c r="V313" s="242">
        <f>I313</f>
        <v>717.2</v>
      </c>
      <c r="W313" s="76" t="s">
        <v>576</v>
      </c>
      <c r="X313" s="76">
        <f>V313*S313</f>
        <v>2510.2000000000003</v>
      </c>
      <c r="AB313" s="167">
        <v>3.5</v>
      </c>
      <c r="AC313" s="165" t="s">
        <v>576</v>
      </c>
      <c r="AD313" s="154" t="s">
        <v>778</v>
      </c>
      <c r="AE313" s="167">
        <f>V313</f>
        <v>717.2</v>
      </c>
      <c r="AF313" s="154" t="s">
        <v>576</v>
      </c>
      <c r="AG313" s="167">
        <f>(AB313*AE313)</f>
        <v>2510.2000000000003</v>
      </c>
    </row>
    <row r="314" spans="1:33" ht="24" customHeight="1">
      <c r="A314" s="175">
        <f t="shared" si="24"/>
        <v>153</v>
      </c>
      <c r="B314" s="176" t="s">
        <v>1040</v>
      </c>
      <c r="C314" s="243"/>
      <c r="D314" s="243"/>
      <c r="F314" s="167">
        <v>10.6</v>
      </c>
      <c r="G314" s="165" t="s">
        <v>576</v>
      </c>
      <c r="H314" s="154" t="s">
        <v>752</v>
      </c>
      <c r="I314" s="167">
        <f>C11</f>
        <v>669.90000000000009</v>
      </c>
      <c r="J314" s="154" t="s">
        <v>576</v>
      </c>
      <c r="K314" s="167">
        <f>(F314*I314)</f>
        <v>7100.9400000000005</v>
      </c>
      <c r="R314" s="162" t="s">
        <v>534</v>
      </c>
      <c r="S314" s="159">
        <v>10.6</v>
      </c>
      <c r="T314" s="76" t="s">
        <v>576</v>
      </c>
      <c r="U314" s="76" t="s">
        <v>752</v>
      </c>
      <c r="V314" s="242">
        <f>I314</f>
        <v>669.90000000000009</v>
      </c>
      <c r="W314" s="76" t="s">
        <v>576</v>
      </c>
      <c r="X314" s="76">
        <f>V314*S314</f>
        <v>7100.9400000000005</v>
      </c>
      <c r="AB314" s="167">
        <v>10.6</v>
      </c>
      <c r="AC314" s="165" t="s">
        <v>576</v>
      </c>
      <c r="AD314" s="154" t="s">
        <v>752</v>
      </c>
      <c r="AE314" s="167">
        <f>V314</f>
        <v>669.90000000000009</v>
      </c>
      <c r="AF314" s="154" t="s">
        <v>576</v>
      </c>
      <c r="AG314" s="167">
        <f>(AB314*AE314)</f>
        <v>7100.9400000000005</v>
      </c>
    </row>
    <row r="315" spans="1:33" ht="24" customHeight="1">
      <c r="A315" s="175">
        <f t="shared" si="24"/>
        <v>154</v>
      </c>
      <c r="B315" s="176" t="s">
        <v>1035</v>
      </c>
      <c r="C315" s="218">
        <v>26.62</v>
      </c>
      <c r="D315" s="241" t="s">
        <v>680</v>
      </c>
      <c r="F315" s="167">
        <v>7.1</v>
      </c>
      <c r="G315" s="165" t="s">
        <v>576</v>
      </c>
      <c r="H315" s="154" t="s">
        <v>754</v>
      </c>
      <c r="I315" s="167">
        <f>C12</f>
        <v>468.6</v>
      </c>
      <c r="J315" s="154" t="s">
        <v>576</v>
      </c>
      <c r="K315" s="167">
        <f>(F315*I315)</f>
        <v>3327.06</v>
      </c>
      <c r="O315" s="154" t="s">
        <v>881</v>
      </c>
      <c r="R315" s="167">
        <f>(R313/10)</f>
        <v>227.17738</v>
      </c>
      <c r="S315" s="159">
        <v>7.1</v>
      </c>
      <c r="T315" s="76" t="s">
        <v>576</v>
      </c>
      <c r="U315" s="76" t="s">
        <v>754</v>
      </c>
      <c r="V315" s="242">
        <f>I315</f>
        <v>468.6</v>
      </c>
      <c r="W315" s="76" t="s">
        <v>576</v>
      </c>
      <c r="X315" s="76">
        <f>V315*S315</f>
        <v>3327.06</v>
      </c>
      <c r="AB315" s="167">
        <v>7.1</v>
      </c>
      <c r="AC315" s="165" t="s">
        <v>576</v>
      </c>
      <c r="AD315" s="154" t="s">
        <v>754</v>
      </c>
      <c r="AE315" s="167">
        <f>V315</f>
        <v>468.6</v>
      </c>
      <c r="AF315" s="154" t="s">
        <v>576</v>
      </c>
      <c r="AG315" s="167">
        <f>(AB315*AE315)</f>
        <v>3327.06</v>
      </c>
    </row>
    <row r="316" spans="1:33" ht="24" customHeight="1">
      <c r="A316" s="175">
        <f t="shared" si="24"/>
        <v>155</v>
      </c>
      <c r="B316" s="176" t="s">
        <v>1036</v>
      </c>
      <c r="C316" s="218">
        <v>34.869999999999997</v>
      </c>
      <c r="D316" s="241" t="s">
        <v>680</v>
      </c>
      <c r="F316" s="167">
        <v>21.2</v>
      </c>
      <c r="G316" s="165" t="s">
        <v>576</v>
      </c>
      <c r="H316" s="154" t="s">
        <v>756</v>
      </c>
      <c r="I316" s="167">
        <f>C13</f>
        <v>404.8</v>
      </c>
      <c r="J316" s="154" t="s">
        <v>576</v>
      </c>
      <c r="K316" s="167">
        <f>(F316*I316)</f>
        <v>8581.76</v>
      </c>
      <c r="R316" s="162" t="s">
        <v>528</v>
      </c>
      <c r="S316" s="159">
        <v>21.2</v>
      </c>
      <c r="T316" s="76" t="s">
        <v>576</v>
      </c>
      <c r="U316" s="76" t="s">
        <v>756</v>
      </c>
      <c r="V316" s="242">
        <f>I316</f>
        <v>404.8</v>
      </c>
      <c r="W316" s="76" t="s">
        <v>576</v>
      </c>
      <c r="X316" s="76">
        <f>V316*S316</f>
        <v>8581.76</v>
      </c>
      <c r="AB316" s="167">
        <v>21.2</v>
      </c>
      <c r="AC316" s="165" t="s">
        <v>576</v>
      </c>
      <c r="AD316" s="154" t="s">
        <v>756</v>
      </c>
      <c r="AE316" s="167">
        <f>V316</f>
        <v>404.8</v>
      </c>
      <c r="AF316" s="154" t="s">
        <v>576</v>
      </c>
      <c r="AG316" s="167">
        <f>(AB316*AE316)</f>
        <v>8581.76</v>
      </c>
    </row>
    <row r="317" spans="1:33" ht="24" customHeight="1">
      <c r="A317" s="175">
        <f t="shared" si="24"/>
        <v>156</v>
      </c>
      <c r="B317" s="176" t="s">
        <v>1038</v>
      </c>
      <c r="C317" s="218">
        <v>45</v>
      </c>
      <c r="D317" s="241" t="s">
        <v>680</v>
      </c>
      <c r="G317" s="165" t="s">
        <v>589</v>
      </c>
      <c r="H317" s="154" t="s">
        <v>590</v>
      </c>
      <c r="J317" s="154" t="s">
        <v>589</v>
      </c>
      <c r="K317" s="167">
        <v>0</v>
      </c>
      <c r="N317" s="154" t="s">
        <v>307</v>
      </c>
      <c r="O317" s="154" t="s">
        <v>1041</v>
      </c>
      <c r="T317" s="76" t="s">
        <v>589</v>
      </c>
      <c r="U317" s="76" t="s">
        <v>590</v>
      </c>
      <c r="W317" s="76" t="s">
        <v>589</v>
      </c>
      <c r="X317" s="76">
        <v>0</v>
      </c>
      <c r="AC317" s="165" t="s">
        <v>589</v>
      </c>
      <c r="AD317" s="154" t="s">
        <v>590</v>
      </c>
      <c r="AF317" s="154" t="s">
        <v>589</v>
      </c>
      <c r="AG317" s="167">
        <v>0</v>
      </c>
    </row>
    <row r="318" spans="1:33" ht="24" customHeight="1">
      <c r="A318" s="175">
        <f t="shared" si="24"/>
        <v>157</v>
      </c>
      <c r="B318" s="176" t="s">
        <v>1039</v>
      </c>
      <c r="C318" s="218">
        <v>99.75</v>
      </c>
      <c r="D318" s="241" t="s">
        <v>680</v>
      </c>
      <c r="K318" s="162" t="s">
        <v>534</v>
      </c>
      <c r="O318" s="162" t="s">
        <v>534</v>
      </c>
      <c r="X318" s="76" t="s">
        <v>534</v>
      </c>
      <c r="AC318" s="156"/>
      <c r="AF318" s="158"/>
      <c r="AG318" s="162" t="s">
        <v>534</v>
      </c>
    </row>
    <row r="319" spans="1:33" ht="24" customHeight="1">
      <c r="A319" s="175">
        <f t="shared" si="24"/>
        <v>158</v>
      </c>
      <c r="B319" s="176" t="s">
        <v>1042</v>
      </c>
      <c r="C319" s="243"/>
      <c r="D319" s="243"/>
      <c r="H319" s="154" t="s">
        <v>760</v>
      </c>
      <c r="K319" s="167">
        <f>SUM(K311:K317)</f>
        <v>56163.046999999999</v>
      </c>
      <c r="M319" s="167">
        <v>0.1</v>
      </c>
      <c r="N319" s="154" t="s">
        <v>577</v>
      </c>
      <c r="O319" s="154" t="s">
        <v>608</v>
      </c>
      <c r="P319" s="167">
        <f>(K23)</f>
        <v>5737.67</v>
      </c>
      <c r="Q319" s="154" t="s">
        <v>577</v>
      </c>
      <c r="R319" s="167">
        <f>(M319*P319)</f>
        <v>573.76700000000005</v>
      </c>
      <c r="U319" s="76" t="s">
        <v>760</v>
      </c>
      <c r="X319" s="76">
        <f>SUM(X311:X318)</f>
        <v>59320.409</v>
      </c>
      <c r="AC319" s="156"/>
      <c r="AD319" s="154" t="s">
        <v>760</v>
      </c>
      <c r="AF319" s="158"/>
      <c r="AG319" s="167">
        <f>SUM(AG311:AG317)</f>
        <v>56156.265599999999</v>
      </c>
    </row>
    <row r="320" spans="1:33" ht="24" customHeight="1">
      <c r="A320" s="175">
        <f t="shared" si="24"/>
        <v>159</v>
      </c>
      <c r="B320" s="176" t="s">
        <v>1035</v>
      </c>
      <c r="C320" s="218">
        <v>43.47</v>
      </c>
      <c r="D320" s="241" t="s">
        <v>680</v>
      </c>
      <c r="K320" s="162" t="s">
        <v>534</v>
      </c>
      <c r="M320" s="167">
        <v>1.1000000000000001</v>
      </c>
      <c r="N320" s="154" t="s">
        <v>576</v>
      </c>
      <c r="O320" s="154" t="s">
        <v>778</v>
      </c>
      <c r="P320" s="167">
        <f>(C10)</f>
        <v>717.2</v>
      </c>
      <c r="Q320" s="154" t="s">
        <v>576</v>
      </c>
      <c r="R320" s="167">
        <f>(M320*P320)</f>
        <v>788.92000000000007</v>
      </c>
      <c r="X320" s="76" t="s">
        <v>534</v>
      </c>
      <c r="AC320" s="156"/>
      <c r="AF320" s="158"/>
      <c r="AG320" s="162" t="s">
        <v>534</v>
      </c>
    </row>
    <row r="321" spans="1:34" ht="24" customHeight="1">
      <c r="A321" s="175">
        <f t="shared" si="24"/>
        <v>160</v>
      </c>
      <c r="B321" s="176" t="s">
        <v>1036</v>
      </c>
      <c r="C321" s="218">
        <v>50.34</v>
      </c>
      <c r="D321" s="241" t="s">
        <v>680</v>
      </c>
      <c r="H321" s="169" t="s">
        <v>685</v>
      </c>
      <c r="K321" s="166">
        <f>(K319/10)</f>
        <v>5616.3046999999997</v>
      </c>
      <c r="M321" s="167">
        <v>1.1000000000000001</v>
      </c>
      <c r="N321" s="154" t="s">
        <v>576</v>
      </c>
      <c r="O321" s="154" t="s">
        <v>754</v>
      </c>
      <c r="P321" s="167">
        <f>(C12)</f>
        <v>468.6</v>
      </c>
      <c r="Q321" s="154" t="s">
        <v>576</v>
      </c>
      <c r="R321" s="167">
        <f>(M321*P321)</f>
        <v>515.46</v>
      </c>
      <c r="U321" s="76" t="s">
        <v>685</v>
      </c>
      <c r="X321" s="199">
        <f>X319/10</f>
        <v>5932.0409</v>
      </c>
      <c r="AC321" s="156"/>
      <c r="AD321" s="169" t="s">
        <v>685</v>
      </c>
      <c r="AF321" s="158"/>
      <c r="AG321" s="166">
        <f>(AG319/10)</f>
        <v>5615.6265599999997</v>
      </c>
    </row>
    <row r="322" spans="1:34" ht="24" customHeight="1">
      <c r="A322" s="175">
        <f t="shared" si="24"/>
        <v>161</v>
      </c>
      <c r="B322" s="176" t="s">
        <v>1038</v>
      </c>
      <c r="C322" s="218">
        <v>65.209999999999994</v>
      </c>
      <c r="D322" s="241" t="s">
        <v>680</v>
      </c>
      <c r="K322" s="162" t="s">
        <v>528</v>
      </c>
      <c r="M322" s="167">
        <v>1.1000000000000001</v>
      </c>
      <c r="N322" s="154" t="s">
        <v>576</v>
      </c>
      <c r="O322" s="154" t="s">
        <v>756</v>
      </c>
      <c r="P322" s="167">
        <f>(C13)</f>
        <v>404.8</v>
      </c>
      <c r="Q322" s="154" t="s">
        <v>576</v>
      </c>
      <c r="R322" s="167">
        <f>(M322*P322)</f>
        <v>445.28000000000003</v>
      </c>
      <c r="AC322" s="156"/>
      <c r="AF322" s="158"/>
      <c r="AG322" s="162" t="s">
        <v>528</v>
      </c>
    </row>
    <row r="323" spans="1:34" ht="24" customHeight="1">
      <c r="A323" s="175">
        <f t="shared" si="24"/>
        <v>162</v>
      </c>
      <c r="B323" s="176" t="s">
        <v>1039</v>
      </c>
      <c r="C323" s="218">
        <v>145.29</v>
      </c>
      <c r="D323" s="241" t="s">
        <v>680</v>
      </c>
      <c r="H323" s="154" t="s">
        <v>789</v>
      </c>
      <c r="K323" s="167">
        <f>(K321+C19)</f>
        <v>5672.9546999999993</v>
      </c>
      <c r="L323" s="76">
        <f>K323-K321</f>
        <v>56.649999999999636</v>
      </c>
      <c r="N323" s="154" t="s">
        <v>589</v>
      </c>
      <c r="O323" s="154" t="s">
        <v>590</v>
      </c>
      <c r="P323" s="154" t="s">
        <v>22</v>
      </c>
      <c r="Q323" s="154" t="s">
        <v>589</v>
      </c>
      <c r="R323" s="167">
        <v>0</v>
      </c>
      <c r="U323" s="76" t="s">
        <v>789</v>
      </c>
      <c r="X323" s="76">
        <f>X321+C19</f>
        <v>5988.6908999999996</v>
      </c>
      <c r="Y323" s="76">
        <f>X323-X321</f>
        <v>56.649999999999636</v>
      </c>
      <c r="AC323" s="156"/>
      <c r="AD323" s="154" t="s">
        <v>789</v>
      </c>
      <c r="AF323" s="158"/>
      <c r="AG323" s="167">
        <f>AG321+C19</f>
        <v>5672.2765599999993</v>
      </c>
      <c r="AH323" s="76">
        <f>AG323-AG321</f>
        <v>56.649999999999636</v>
      </c>
    </row>
    <row r="324" spans="1:34" ht="24" customHeight="1">
      <c r="A324" s="175">
        <f t="shared" si="24"/>
        <v>163</v>
      </c>
      <c r="B324" s="176" t="s">
        <v>1043</v>
      </c>
      <c r="C324" s="243"/>
      <c r="D324" s="243"/>
      <c r="H324" s="154" t="s">
        <v>793</v>
      </c>
      <c r="K324" s="167">
        <f>(K323+C20)</f>
        <v>5787.1346999999996</v>
      </c>
      <c r="L324" s="76">
        <f>K324-K323</f>
        <v>114.18000000000029</v>
      </c>
      <c r="R324" s="162" t="s">
        <v>534</v>
      </c>
      <c r="U324" s="76" t="s">
        <v>793</v>
      </c>
      <c r="X324" s="76">
        <f>X323+C20</f>
        <v>6102.8708999999999</v>
      </c>
      <c r="Y324" s="76">
        <f>X324-X323</f>
        <v>114.18000000000029</v>
      </c>
      <c r="AC324" s="156"/>
      <c r="AD324" s="154" t="s">
        <v>793</v>
      </c>
      <c r="AF324" s="158"/>
      <c r="AG324" s="167">
        <f>AG323+C20</f>
        <v>5786.4565599999996</v>
      </c>
      <c r="AH324" s="76">
        <f>AG324-AG323</f>
        <v>114.18000000000029</v>
      </c>
    </row>
    <row r="325" spans="1:34" ht="24" customHeight="1">
      <c r="A325" s="175">
        <f t="shared" si="24"/>
        <v>164</v>
      </c>
      <c r="B325" s="176" t="s">
        <v>1035</v>
      </c>
      <c r="C325" s="218">
        <v>14.91</v>
      </c>
      <c r="D325" s="241" t="s">
        <v>410</v>
      </c>
      <c r="H325" s="154" t="s">
        <v>796</v>
      </c>
      <c r="K325" s="167">
        <f>(K324+C21)</f>
        <v>5901.3146999999999</v>
      </c>
      <c r="M325" s="76">
        <f>(K325+K324)/2</f>
        <v>5844.2246999999998</v>
      </c>
      <c r="O325" s="154" t="s">
        <v>879</v>
      </c>
      <c r="R325" s="167">
        <f>SUM(R319:R323)</f>
        <v>2323.4270000000001</v>
      </c>
      <c r="U325" s="76" t="s">
        <v>796</v>
      </c>
      <c r="X325" s="76">
        <f>X324+C20</f>
        <v>6217.0509000000002</v>
      </c>
      <c r="AC325" s="156"/>
      <c r="AD325" s="154" t="s">
        <v>796</v>
      </c>
      <c r="AF325" s="158"/>
      <c r="AG325" s="167">
        <f>AG324+C20</f>
        <v>5900.6365599999999</v>
      </c>
      <c r="AH325" s="76">
        <f>AG324-AG323</f>
        <v>114.18000000000029</v>
      </c>
    </row>
    <row r="326" spans="1:34" ht="24" customHeight="1">
      <c r="A326" s="175">
        <f t="shared" si="24"/>
        <v>165</v>
      </c>
      <c r="B326" s="176" t="s">
        <v>1036</v>
      </c>
      <c r="C326" s="218">
        <v>19.41</v>
      </c>
      <c r="D326" s="241" t="s">
        <v>410</v>
      </c>
      <c r="H326" s="154" t="s">
        <v>798</v>
      </c>
      <c r="K326" s="167">
        <f>(K325+C21)</f>
        <v>6015.4947000000002</v>
      </c>
      <c r="R326" s="162" t="s">
        <v>534</v>
      </c>
      <c r="U326" s="76" t="s">
        <v>798</v>
      </c>
      <c r="X326" s="76">
        <f>X325+C20</f>
        <v>6331.2309000000005</v>
      </c>
      <c r="AC326" s="156"/>
      <c r="AD326" s="154" t="s">
        <v>798</v>
      </c>
      <c r="AF326" s="158"/>
      <c r="AG326" s="167">
        <f>AG325+C20</f>
        <v>6014.8165600000002</v>
      </c>
    </row>
    <row r="327" spans="1:34" ht="24" customHeight="1">
      <c r="A327" s="175">
        <f t="shared" si="24"/>
        <v>166</v>
      </c>
      <c r="B327" s="176" t="s">
        <v>1038</v>
      </c>
      <c r="C327" s="218">
        <v>22.22</v>
      </c>
      <c r="D327" s="241" t="s">
        <v>410</v>
      </c>
      <c r="H327" s="154" t="s">
        <v>803</v>
      </c>
      <c r="K327" s="167">
        <f>(K326+C21)</f>
        <v>6129.6747000000005</v>
      </c>
      <c r="O327" s="154" t="s">
        <v>881</v>
      </c>
      <c r="R327" s="167">
        <f>(R325/10)</f>
        <v>232.34270000000001</v>
      </c>
      <c r="U327" s="76" t="s">
        <v>803</v>
      </c>
      <c r="X327" s="76">
        <f>X326+C20</f>
        <v>6445.4109000000008</v>
      </c>
      <c r="AC327" s="156"/>
      <c r="AD327" s="154" t="s">
        <v>803</v>
      </c>
      <c r="AF327" s="158"/>
      <c r="AG327" s="167">
        <f>AG326+C20</f>
        <v>6128.9965600000005</v>
      </c>
    </row>
    <row r="328" spans="1:34" ht="24" customHeight="1">
      <c r="A328" s="175"/>
      <c r="B328" s="176"/>
      <c r="C328" s="218"/>
      <c r="D328" s="241"/>
      <c r="H328" s="154"/>
      <c r="K328" s="167"/>
      <c r="O328" s="154"/>
      <c r="R328" s="167"/>
      <c r="AE328" s="172"/>
      <c r="AG328" s="154"/>
    </row>
    <row r="329" spans="1:34" ht="24" customHeight="1">
      <c r="A329" s="175"/>
      <c r="B329" s="176"/>
      <c r="C329" s="218"/>
      <c r="D329" s="241"/>
      <c r="F329" s="155" t="s">
        <v>1044</v>
      </c>
      <c r="H329" s="154" t="s">
        <v>1045</v>
      </c>
      <c r="K329" s="244">
        <v>699</v>
      </c>
      <c r="L329" s="76" t="s">
        <v>1046</v>
      </c>
      <c r="O329" s="154"/>
      <c r="R329" s="167"/>
      <c r="AE329" s="172"/>
      <c r="AG329" s="154"/>
    </row>
    <row r="330" spans="1:34" ht="24" customHeight="1">
      <c r="A330" s="175"/>
      <c r="B330" s="176"/>
      <c r="C330" s="218"/>
      <c r="D330" s="241"/>
      <c r="H330" s="154" t="s">
        <v>1047</v>
      </c>
      <c r="K330" s="162" t="s">
        <v>528</v>
      </c>
      <c r="O330" s="154"/>
      <c r="R330" s="167"/>
      <c r="AE330" s="172"/>
      <c r="AG330" s="154"/>
    </row>
    <row r="331" spans="1:34" ht="24" customHeight="1">
      <c r="A331" s="175"/>
      <c r="B331" s="176"/>
      <c r="C331" s="218"/>
      <c r="D331" s="241"/>
      <c r="H331" s="154"/>
      <c r="K331" s="167"/>
      <c r="O331" s="154"/>
      <c r="R331" s="167"/>
      <c r="AE331" s="172"/>
      <c r="AG331" s="154"/>
    </row>
    <row r="332" spans="1:34" ht="24" customHeight="1">
      <c r="A332" s="175">
        <f>(A327+1)</f>
        <v>167</v>
      </c>
      <c r="B332" s="176" t="s">
        <v>1039</v>
      </c>
      <c r="C332" s="218">
        <v>46.42</v>
      </c>
      <c r="D332" s="241" t="s">
        <v>410</v>
      </c>
      <c r="F332" s="187">
        <v>9</v>
      </c>
      <c r="G332" s="165" t="s">
        <v>307</v>
      </c>
      <c r="H332" s="154" t="s">
        <v>1048</v>
      </c>
      <c r="R332" s="162" t="s">
        <v>528</v>
      </c>
      <c r="S332" s="159">
        <v>9</v>
      </c>
      <c r="T332" s="76" t="s">
        <v>307</v>
      </c>
      <c r="U332" s="76" t="s">
        <v>1049</v>
      </c>
      <c r="AB332" s="187">
        <v>9</v>
      </c>
      <c r="AC332" s="165" t="s">
        <v>307</v>
      </c>
      <c r="AD332" s="154" t="s">
        <v>1050</v>
      </c>
      <c r="AF332" s="158"/>
    </row>
    <row r="333" spans="1:34" ht="24" customHeight="1">
      <c r="A333" s="175">
        <f t="shared" si="24"/>
        <v>168</v>
      </c>
      <c r="B333" s="176" t="s">
        <v>1051</v>
      </c>
      <c r="C333" s="243"/>
      <c r="D333" s="243"/>
      <c r="H333" s="154" t="str">
        <f>H309</f>
        <v>Bricks of size 22x11x7 cm</v>
      </c>
      <c r="U333" s="76" t="s">
        <v>1033</v>
      </c>
      <c r="AC333" s="156"/>
      <c r="AD333" s="154" t="str">
        <f>AD309</f>
        <v>Bricks of size 23x11.4x7.5 cm</v>
      </c>
      <c r="AF333" s="158"/>
    </row>
    <row r="334" spans="1:34" ht="24" customHeight="1">
      <c r="A334" s="175">
        <f t="shared" si="24"/>
        <v>169</v>
      </c>
      <c r="B334" s="176" t="s">
        <v>1035</v>
      </c>
      <c r="C334" s="218">
        <v>8.58</v>
      </c>
      <c r="D334" s="241" t="s">
        <v>680</v>
      </c>
      <c r="H334" s="162" t="s">
        <v>534</v>
      </c>
      <c r="N334" s="154" t="s">
        <v>307</v>
      </c>
      <c r="O334" s="154" t="s">
        <v>1052</v>
      </c>
      <c r="U334" s="76" t="s">
        <v>534</v>
      </c>
      <c r="AC334" s="156"/>
      <c r="AD334" s="162" t="s">
        <v>534</v>
      </c>
      <c r="AF334" s="158"/>
    </row>
    <row r="335" spans="1:34" ht="24" customHeight="1">
      <c r="A335" s="175">
        <f t="shared" si="24"/>
        <v>170</v>
      </c>
      <c r="B335" s="176" t="s">
        <v>1036</v>
      </c>
      <c r="C335" s="218">
        <v>12.26</v>
      </c>
      <c r="D335" s="241" t="s">
        <v>680</v>
      </c>
      <c r="F335" s="167">
        <f>F311</f>
        <v>4800</v>
      </c>
      <c r="G335" s="165" t="s">
        <v>773</v>
      </c>
      <c r="H335" s="167" t="str">
        <f>H309</f>
        <v>Bricks of size 22x11x7 cm</v>
      </c>
      <c r="I335" s="167">
        <f>C80</f>
        <v>5522.69</v>
      </c>
      <c r="J335" s="154" t="s">
        <v>774</v>
      </c>
      <c r="K335" s="167">
        <f>(F335*I335)/1000</f>
        <v>26508.911999999997</v>
      </c>
      <c r="O335" s="162" t="s">
        <v>534</v>
      </c>
      <c r="S335" s="159">
        <v>4600</v>
      </c>
      <c r="T335" s="76" t="s">
        <v>773</v>
      </c>
      <c r="U335" s="76" t="s">
        <v>1033</v>
      </c>
      <c r="V335" s="76">
        <f>AC41</f>
        <v>6449.19</v>
      </c>
      <c r="W335" s="76" t="s">
        <v>774</v>
      </c>
      <c r="X335" s="76">
        <f>V335*S335/1000</f>
        <v>29666.274000000001</v>
      </c>
      <c r="AB335" s="167">
        <f>AB311</f>
        <v>4240</v>
      </c>
      <c r="AC335" s="165" t="s">
        <v>773</v>
      </c>
      <c r="AD335" s="167" t="str">
        <f>AD309</f>
        <v>Bricks of size 23x11.4x7.5 cm</v>
      </c>
      <c r="AE335" s="167">
        <f>AC42</f>
        <v>6634.19</v>
      </c>
      <c r="AF335" s="154" t="s">
        <v>774</v>
      </c>
      <c r="AG335" s="167">
        <f>AE335*AB335/1000</f>
        <v>28128.9656</v>
      </c>
    </row>
    <row r="336" spans="1:34" ht="24" customHeight="1">
      <c r="A336" s="175">
        <f t="shared" si="24"/>
        <v>171</v>
      </c>
      <c r="B336" s="176" t="s">
        <v>1038</v>
      </c>
      <c r="C336" s="218">
        <v>13.89</v>
      </c>
      <c r="D336" s="241" t="s">
        <v>680</v>
      </c>
      <c r="F336" s="167">
        <f>F312</f>
        <v>2.5</v>
      </c>
      <c r="G336" s="165" t="s">
        <v>577</v>
      </c>
      <c r="H336" s="154" t="s">
        <v>749</v>
      </c>
      <c r="I336" s="167">
        <f>K58</f>
        <v>2977.67</v>
      </c>
      <c r="J336" s="154" t="s">
        <v>577</v>
      </c>
      <c r="K336" s="167">
        <f>(F336*I336)</f>
        <v>7444.1750000000002</v>
      </c>
      <c r="M336" s="167">
        <v>0.22</v>
      </c>
      <c r="N336" s="154" t="s">
        <v>577</v>
      </c>
      <c r="O336" s="154" t="s">
        <v>729</v>
      </c>
      <c r="P336" s="167">
        <f>(K49)</f>
        <v>3253.6699999999996</v>
      </c>
      <c r="Q336" s="154" t="s">
        <v>577</v>
      </c>
      <c r="R336" s="167">
        <f>(M336*P336)</f>
        <v>715.80739999999992</v>
      </c>
      <c r="S336" s="159">
        <v>2.5</v>
      </c>
      <c r="T336" s="76" t="s">
        <v>577</v>
      </c>
      <c r="U336" s="76" t="s">
        <v>749</v>
      </c>
      <c r="V336" s="76">
        <f>I336</f>
        <v>2977.67</v>
      </c>
      <c r="W336" s="76" t="s">
        <v>577</v>
      </c>
      <c r="X336" s="76">
        <f t="shared" ref="X336:X341" si="26">V336*S336</f>
        <v>7444.1750000000002</v>
      </c>
      <c r="AB336" s="167">
        <f>AB312</f>
        <v>2</v>
      </c>
      <c r="AC336" s="165" t="s">
        <v>577</v>
      </c>
      <c r="AD336" s="154" t="s">
        <v>749</v>
      </c>
      <c r="AE336" s="167">
        <f>V336</f>
        <v>2977.67</v>
      </c>
      <c r="AF336" s="154" t="s">
        <v>577</v>
      </c>
      <c r="AG336" s="167">
        <f>AE336*AB336</f>
        <v>5955.34</v>
      </c>
    </row>
    <row r="337" spans="1:33" ht="24" customHeight="1">
      <c r="A337" s="175">
        <f t="shared" si="24"/>
        <v>172</v>
      </c>
      <c r="B337" s="176" t="s">
        <v>1039</v>
      </c>
      <c r="C337" s="218">
        <v>36.25</v>
      </c>
      <c r="D337" s="241" t="s">
        <v>680</v>
      </c>
      <c r="F337" s="167">
        <v>3.5</v>
      </c>
      <c r="G337" s="165" t="s">
        <v>576</v>
      </c>
      <c r="H337" s="154" t="s">
        <v>778</v>
      </c>
      <c r="I337" s="167">
        <f>C10</f>
        <v>717.2</v>
      </c>
      <c r="J337" s="154" t="s">
        <v>576</v>
      </c>
      <c r="K337" s="167">
        <f>(F337*I337)</f>
        <v>2510.2000000000003</v>
      </c>
      <c r="M337" s="167">
        <v>2.2000000000000002</v>
      </c>
      <c r="N337" s="154" t="s">
        <v>576</v>
      </c>
      <c r="O337" s="154" t="s">
        <v>778</v>
      </c>
      <c r="P337" s="167">
        <f>(C10)</f>
        <v>717.2</v>
      </c>
      <c r="Q337" s="154" t="s">
        <v>576</v>
      </c>
      <c r="R337" s="167">
        <f>(M337*P337)</f>
        <v>1577.8400000000001</v>
      </c>
      <c r="S337" s="159">
        <v>3.5</v>
      </c>
      <c r="T337" s="76" t="s">
        <v>576</v>
      </c>
      <c r="U337" s="76" t="s">
        <v>778</v>
      </c>
      <c r="V337" s="76">
        <f>I337</f>
        <v>717.2</v>
      </c>
      <c r="W337" s="76" t="s">
        <v>576</v>
      </c>
      <c r="X337" s="76">
        <f t="shared" si="26"/>
        <v>2510.2000000000003</v>
      </c>
      <c r="AB337" s="167">
        <v>3.5</v>
      </c>
      <c r="AC337" s="165" t="s">
        <v>576</v>
      </c>
      <c r="AD337" s="154" t="s">
        <v>778</v>
      </c>
      <c r="AE337" s="167">
        <f>V337</f>
        <v>717.2</v>
      </c>
      <c r="AF337" s="154" t="s">
        <v>576</v>
      </c>
      <c r="AG337" s="167">
        <f>AE337*AB337</f>
        <v>2510.2000000000003</v>
      </c>
    </row>
    <row r="338" spans="1:33" ht="24" customHeight="1">
      <c r="A338" s="175">
        <f t="shared" si="24"/>
        <v>173</v>
      </c>
      <c r="B338" s="176" t="s">
        <v>1053</v>
      </c>
      <c r="C338" s="243"/>
      <c r="D338" s="243"/>
      <c r="F338" s="167">
        <v>10.6</v>
      </c>
      <c r="G338" s="165" t="s">
        <v>576</v>
      </c>
      <c r="H338" s="154" t="s">
        <v>752</v>
      </c>
      <c r="I338" s="167">
        <f>C11</f>
        <v>669.90000000000009</v>
      </c>
      <c r="J338" s="154" t="s">
        <v>576</v>
      </c>
      <c r="K338" s="167">
        <f>(F338*I338)</f>
        <v>7100.9400000000005</v>
      </c>
      <c r="M338" s="167">
        <v>0.5</v>
      </c>
      <c r="N338" s="154" t="s">
        <v>576</v>
      </c>
      <c r="O338" s="154" t="s">
        <v>754</v>
      </c>
      <c r="P338" s="167">
        <f>(C12)</f>
        <v>468.6</v>
      </c>
      <c r="Q338" s="154" t="s">
        <v>576</v>
      </c>
      <c r="R338" s="167">
        <f>(M338*P338)</f>
        <v>234.3</v>
      </c>
      <c r="S338" s="159">
        <v>10.6</v>
      </c>
      <c r="T338" s="76" t="s">
        <v>576</v>
      </c>
      <c r="U338" s="76" t="s">
        <v>752</v>
      </c>
      <c r="V338" s="76">
        <f>I338</f>
        <v>669.90000000000009</v>
      </c>
      <c r="W338" s="76" t="s">
        <v>576</v>
      </c>
      <c r="X338" s="76">
        <f t="shared" si="26"/>
        <v>7100.9400000000005</v>
      </c>
      <c r="AB338" s="167">
        <v>10.6</v>
      </c>
      <c r="AC338" s="165" t="s">
        <v>576</v>
      </c>
      <c r="AD338" s="154" t="s">
        <v>752</v>
      </c>
      <c r="AE338" s="167">
        <f>V338</f>
        <v>669.90000000000009</v>
      </c>
      <c r="AF338" s="154" t="s">
        <v>576</v>
      </c>
      <c r="AG338" s="167">
        <f>AE338*AB338</f>
        <v>7100.9400000000005</v>
      </c>
    </row>
    <row r="339" spans="1:33" ht="24" customHeight="1">
      <c r="A339" s="175">
        <f t="shared" si="24"/>
        <v>174</v>
      </c>
      <c r="B339" s="176" t="s">
        <v>1035</v>
      </c>
      <c r="C339" s="218">
        <v>15.7</v>
      </c>
      <c r="D339" s="241" t="s">
        <v>680</v>
      </c>
      <c r="F339" s="167">
        <v>7.1</v>
      </c>
      <c r="G339" s="165" t="s">
        <v>576</v>
      </c>
      <c r="H339" s="154" t="s">
        <v>754</v>
      </c>
      <c r="I339" s="167">
        <f>C12</f>
        <v>468.6</v>
      </c>
      <c r="J339" s="154" t="s">
        <v>576</v>
      </c>
      <c r="K339" s="167">
        <f>(F339*I339)</f>
        <v>3327.06</v>
      </c>
      <c r="M339" s="167">
        <v>3.2</v>
      </c>
      <c r="N339" s="154" t="s">
        <v>576</v>
      </c>
      <c r="O339" s="154" t="s">
        <v>756</v>
      </c>
      <c r="P339" s="167">
        <f>(C13)</f>
        <v>404.8</v>
      </c>
      <c r="Q339" s="154" t="s">
        <v>576</v>
      </c>
      <c r="R339" s="167">
        <f>(M339*P339)</f>
        <v>1295.3600000000001</v>
      </c>
      <c r="S339" s="159">
        <v>7.1</v>
      </c>
      <c r="T339" s="76" t="s">
        <v>576</v>
      </c>
      <c r="U339" s="76" t="s">
        <v>754</v>
      </c>
      <c r="V339" s="76">
        <f>I339</f>
        <v>468.6</v>
      </c>
      <c r="W339" s="76" t="s">
        <v>576</v>
      </c>
      <c r="X339" s="76">
        <f t="shared" si="26"/>
        <v>3327.06</v>
      </c>
      <c r="AB339" s="167">
        <v>7.1</v>
      </c>
      <c r="AC339" s="165" t="s">
        <v>576</v>
      </c>
      <c r="AD339" s="154" t="s">
        <v>754</v>
      </c>
      <c r="AE339" s="167">
        <f>V339</f>
        <v>468.6</v>
      </c>
      <c r="AF339" s="154" t="s">
        <v>576</v>
      </c>
      <c r="AG339" s="167">
        <f>AE339*AB339</f>
        <v>3327.06</v>
      </c>
    </row>
    <row r="340" spans="1:33" ht="24" customHeight="1">
      <c r="A340" s="175">
        <f t="shared" si="24"/>
        <v>175</v>
      </c>
      <c r="B340" s="176" t="s">
        <v>1036</v>
      </c>
      <c r="C340" s="218">
        <v>22.31</v>
      </c>
      <c r="D340" s="241" t="s">
        <v>680</v>
      </c>
      <c r="F340" s="167">
        <v>21.2</v>
      </c>
      <c r="G340" s="165" t="s">
        <v>576</v>
      </c>
      <c r="H340" s="154" t="s">
        <v>756</v>
      </c>
      <c r="I340" s="167">
        <f>C13</f>
        <v>404.8</v>
      </c>
      <c r="J340" s="154" t="s">
        <v>576</v>
      </c>
      <c r="K340" s="167">
        <f>(F340*I340)</f>
        <v>8581.76</v>
      </c>
      <c r="N340" s="154" t="s">
        <v>589</v>
      </c>
      <c r="O340" s="154" t="s">
        <v>590</v>
      </c>
      <c r="P340" s="154" t="s">
        <v>22</v>
      </c>
      <c r="Q340" s="154" t="s">
        <v>589</v>
      </c>
      <c r="R340" s="167">
        <v>0</v>
      </c>
      <c r="S340" s="159">
        <v>21.2</v>
      </c>
      <c r="T340" s="76" t="s">
        <v>576</v>
      </c>
      <c r="U340" s="76" t="s">
        <v>756</v>
      </c>
      <c r="V340" s="76">
        <f>I340</f>
        <v>404.8</v>
      </c>
      <c r="W340" s="76" t="s">
        <v>576</v>
      </c>
      <c r="X340" s="76">
        <f t="shared" si="26"/>
        <v>8581.76</v>
      </c>
      <c r="AB340" s="167">
        <v>21.2</v>
      </c>
      <c r="AC340" s="165" t="s">
        <v>576</v>
      </c>
      <c r="AD340" s="154" t="s">
        <v>756</v>
      </c>
      <c r="AE340" s="167">
        <f>V340</f>
        <v>404.8</v>
      </c>
      <c r="AF340" s="154" t="s">
        <v>576</v>
      </c>
      <c r="AG340" s="167">
        <f>AE340*AB340</f>
        <v>8581.76</v>
      </c>
    </row>
    <row r="341" spans="1:33" ht="24" customHeight="1">
      <c r="A341" s="175">
        <f t="shared" si="24"/>
        <v>176</v>
      </c>
      <c r="B341" s="176" t="s">
        <v>1038</v>
      </c>
      <c r="C341" s="218">
        <v>25.24</v>
      </c>
      <c r="D341" s="241" t="s">
        <v>680</v>
      </c>
      <c r="G341" s="165" t="s">
        <v>589</v>
      </c>
      <c r="H341" s="154" t="s">
        <v>590</v>
      </c>
      <c r="J341" s="154" t="s">
        <v>589</v>
      </c>
      <c r="K341" s="167">
        <v>0</v>
      </c>
      <c r="R341" s="162" t="s">
        <v>534</v>
      </c>
      <c r="T341" s="76" t="s">
        <v>589</v>
      </c>
      <c r="U341" s="76" t="s">
        <v>590</v>
      </c>
      <c r="W341" s="76" t="s">
        <v>589</v>
      </c>
      <c r="X341" s="76">
        <f t="shared" si="26"/>
        <v>0</v>
      </c>
      <c r="AC341" s="165" t="s">
        <v>589</v>
      </c>
      <c r="AD341" s="154" t="s">
        <v>590</v>
      </c>
      <c r="AF341" s="154" t="s">
        <v>589</v>
      </c>
      <c r="AG341" s="167">
        <v>0</v>
      </c>
    </row>
    <row r="342" spans="1:33" ht="24" customHeight="1">
      <c r="A342" s="175">
        <f t="shared" si="24"/>
        <v>177</v>
      </c>
      <c r="B342" s="176" t="s">
        <v>1039</v>
      </c>
      <c r="C342" s="218">
        <v>52.34</v>
      </c>
      <c r="D342" s="241" t="s">
        <v>680</v>
      </c>
      <c r="K342" s="162" t="s">
        <v>534</v>
      </c>
      <c r="O342" s="154" t="s">
        <v>879</v>
      </c>
      <c r="R342" s="167">
        <f>SUM(R336:R340)</f>
        <v>3823.3074000000001</v>
      </c>
      <c r="X342" s="162" t="s">
        <v>534</v>
      </c>
      <c r="AC342" s="156"/>
      <c r="AF342" s="158"/>
      <c r="AG342" s="162" t="s">
        <v>534</v>
      </c>
    </row>
    <row r="343" spans="1:33" ht="24" customHeight="1">
      <c r="A343" s="175">
        <f t="shared" si="24"/>
        <v>178</v>
      </c>
      <c r="B343" s="176" t="s">
        <v>1054</v>
      </c>
      <c r="C343" s="243"/>
      <c r="D343" s="243"/>
      <c r="H343" s="154" t="s">
        <v>760</v>
      </c>
      <c r="K343" s="167">
        <f>SUM(K335:K341)</f>
        <v>55473.046999999999</v>
      </c>
      <c r="R343" s="162" t="s">
        <v>534</v>
      </c>
      <c r="U343" s="76" t="s">
        <v>760</v>
      </c>
      <c r="X343" s="76">
        <f>SUM(X335:X342)</f>
        <v>58630.409</v>
      </c>
      <c r="AC343" s="156"/>
      <c r="AD343" s="154" t="s">
        <v>760</v>
      </c>
      <c r="AF343" s="158"/>
      <c r="AG343" s="167">
        <f>SUM(AG335:AG341)</f>
        <v>55604.265599999999</v>
      </c>
    </row>
    <row r="344" spans="1:33" ht="24" customHeight="1">
      <c r="A344" s="175">
        <f t="shared" si="24"/>
        <v>179</v>
      </c>
      <c r="B344" s="176" t="s">
        <v>1035</v>
      </c>
      <c r="C344" s="218">
        <v>13.73</v>
      </c>
      <c r="D344" s="241" t="s">
        <v>680</v>
      </c>
      <c r="K344" s="162" t="s">
        <v>534</v>
      </c>
      <c r="O344" s="154" t="s">
        <v>881</v>
      </c>
      <c r="R344" s="167">
        <f>(R342/10)</f>
        <v>382.33073999999999</v>
      </c>
      <c r="X344" s="162" t="s">
        <v>534</v>
      </c>
      <c r="AC344" s="156"/>
      <c r="AF344" s="158"/>
      <c r="AG344" s="162" t="s">
        <v>534</v>
      </c>
    </row>
    <row r="345" spans="1:33" ht="24" customHeight="1">
      <c r="A345" s="175">
        <f t="shared" si="24"/>
        <v>180</v>
      </c>
      <c r="B345" s="176" t="s">
        <v>1036</v>
      </c>
      <c r="C345" s="218">
        <v>20.16</v>
      </c>
      <c r="D345" s="241" t="s">
        <v>680</v>
      </c>
      <c r="H345" s="155" t="s">
        <v>685</v>
      </c>
      <c r="K345" s="167">
        <f>(K343/10)</f>
        <v>5547.3046999999997</v>
      </c>
      <c r="R345" s="162" t="s">
        <v>528</v>
      </c>
      <c r="U345" s="76" t="s">
        <v>685</v>
      </c>
      <c r="X345" s="76">
        <f>X343/10</f>
        <v>5863.0409</v>
      </c>
      <c r="AC345" s="156"/>
      <c r="AD345" s="155" t="s">
        <v>685</v>
      </c>
      <c r="AF345" s="158"/>
      <c r="AG345" s="167">
        <f>(AG343/10)</f>
        <v>5560.4265599999999</v>
      </c>
    </row>
    <row r="346" spans="1:33" ht="24" customHeight="1">
      <c r="A346" s="175">
        <f t="shared" si="24"/>
        <v>181</v>
      </c>
      <c r="B346" s="176" t="s">
        <v>1038</v>
      </c>
      <c r="C346" s="218">
        <v>22.73</v>
      </c>
      <c r="D346" s="241" t="s">
        <v>680</v>
      </c>
      <c r="K346" s="162" t="s">
        <v>528</v>
      </c>
      <c r="N346" s="154" t="s">
        <v>307</v>
      </c>
      <c r="O346" s="154" t="s">
        <v>1055</v>
      </c>
      <c r="X346" s="202" t="s">
        <v>1056</v>
      </c>
      <c r="AC346" s="156"/>
      <c r="AF346" s="158"/>
      <c r="AG346" s="162" t="s">
        <v>528</v>
      </c>
    </row>
    <row r="347" spans="1:33" ht="24" customHeight="1">
      <c r="A347" s="175">
        <f t="shared" ref="A347:A410" si="27">(A346+1)</f>
        <v>182</v>
      </c>
      <c r="B347" s="176" t="s">
        <v>1039</v>
      </c>
      <c r="C347" s="218">
        <v>46.98</v>
      </c>
      <c r="D347" s="241" t="s">
        <v>22</v>
      </c>
      <c r="H347" s="154" t="s">
        <v>789</v>
      </c>
      <c r="K347" s="166">
        <f>(K345+C19)</f>
        <v>5603.9546999999993</v>
      </c>
      <c r="L347" s="76">
        <f>K347-K345</f>
        <v>56.649999999999636</v>
      </c>
      <c r="O347" s="162" t="s">
        <v>534</v>
      </c>
      <c r="U347" s="199" t="s">
        <v>789</v>
      </c>
      <c r="X347" s="199">
        <f>X345+C19</f>
        <v>5919.6908999999996</v>
      </c>
      <c r="AC347" s="156"/>
      <c r="AD347" s="154" t="s">
        <v>789</v>
      </c>
      <c r="AF347" s="158"/>
      <c r="AG347" s="166">
        <f>(AG345+C19)</f>
        <v>5617.0765599999995</v>
      </c>
    </row>
    <row r="348" spans="1:33" ht="24" customHeight="1">
      <c r="A348" s="175">
        <f t="shared" si="27"/>
        <v>183</v>
      </c>
      <c r="B348" s="176" t="s">
        <v>1057</v>
      </c>
      <c r="C348" s="243"/>
      <c r="D348" s="243"/>
      <c r="H348" s="154" t="s">
        <v>793</v>
      </c>
      <c r="K348" s="166">
        <f>(K347+C20)</f>
        <v>5718.1346999999996</v>
      </c>
      <c r="L348" s="76">
        <f>K348-K347</f>
        <v>114.18000000000029</v>
      </c>
      <c r="M348" s="167">
        <v>0.22</v>
      </c>
      <c r="N348" s="154" t="s">
        <v>577</v>
      </c>
      <c r="O348" s="154" t="s">
        <v>660</v>
      </c>
      <c r="P348" s="167">
        <f>(K32)</f>
        <v>4357.67</v>
      </c>
      <c r="Q348" s="154" t="s">
        <v>577</v>
      </c>
      <c r="R348" s="167">
        <f>(M348*P348)</f>
        <v>958.68740000000003</v>
      </c>
      <c r="U348" s="199" t="s">
        <v>793</v>
      </c>
      <c r="X348" s="199">
        <f>X347+C20</f>
        <v>6033.8708999999999</v>
      </c>
      <c r="AC348" s="156"/>
      <c r="AD348" s="154" t="s">
        <v>793</v>
      </c>
      <c r="AF348" s="158"/>
      <c r="AG348" s="166">
        <f>(AG347+C20)</f>
        <v>5731.2565599999998</v>
      </c>
    </row>
    <row r="349" spans="1:33" ht="24" customHeight="1">
      <c r="A349" s="175">
        <f t="shared" si="27"/>
        <v>184</v>
      </c>
      <c r="B349" s="176" t="s">
        <v>1035</v>
      </c>
      <c r="C349" s="218">
        <v>19.3</v>
      </c>
      <c r="D349" s="241" t="s">
        <v>680</v>
      </c>
      <c r="H349" s="154" t="s">
        <v>796</v>
      </c>
      <c r="K349" s="166">
        <f>(K348+C20)</f>
        <v>5832.3146999999999</v>
      </c>
      <c r="L349" s="76">
        <f>K349-K348</f>
        <v>114.18000000000029</v>
      </c>
      <c r="M349" s="167">
        <v>2.2000000000000002</v>
      </c>
      <c r="N349" s="154" t="s">
        <v>576</v>
      </c>
      <c r="O349" s="154" t="s">
        <v>778</v>
      </c>
      <c r="P349" s="167">
        <f>(C10)</f>
        <v>717.2</v>
      </c>
      <c r="Q349" s="154" t="s">
        <v>576</v>
      </c>
      <c r="R349" s="167">
        <f>(M349*P349)</f>
        <v>1577.8400000000001</v>
      </c>
      <c r="U349" s="199" t="s">
        <v>796</v>
      </c>
      <c r="X349" s="199">
        <f>X348+C20</f>
        <v>6148.0509000000002</v>
      </c>
      <c r="AC349" s="156"/>
      <c r="AD349" s="154" t="s">
        <v>796</v>
      </c>
      <c r="AF349" s="158"/>
      <c r="AG349" s="166">
        <f>(AG348+C20)</f>
        <v>5845.4365600000001</v>
      </c>
    </row>
    <row r="350" spans="1:33" ht="24" customHeight="1">
      <c r="A350" s="175">
        <f t="shared" si="27"/>
        <v>185</v>
      </c>
      <c r="B350" s="176" t="s">
        <v>1038</v>
      </c>
      <c r="C350" s="218">
        <v>33.46</v>
      </c>
      <c r="D350" s="241" t="s">
        <v>680</v>
      </c>
      <c r="H350" s="154" t="s">
        <v>798</v>
      </c>
      <c r="K350" s="166">
        <f>(K349+C21)</f>
        <v>5946.4947000000002</v>
      </c>
      <c r="M350" s="167">
        <v>0.5</v>
      </c>
      <c r="N350" s="154" t="s">
        <v>576</v>
      </c>
      <c r="O350" s="154" t="s">
        <v>754</v>
      </c>
      <c r="P350" s="167">
        <f>(C12)</f>
        <v>468.6</v>
      </c>
      <c r="Q350" s="154" t="s">
        <v>576</v>
      </c>
      <c r="R350" s="167">
        <f>(M350*P350)</f>
        <v>234.3</v>
      </c>
      <c r="U350" s="199" t="s">
        <v>798</v>
      </c>
      <c r="X350" s="199">
        <f>X349+C20</f>
        <v>6262.2309000000005</v>
      </c>
      <c r="AC350" s="156"/>
      <c r="AD350" s="154" t="s">
        <v>798</v>
      </c>
      <c r="AF350" s="158"/>
      <c r="AG350" s="166">
        <f>(AG349+C20)</f>
        <v>5959.6165600000004</v>
      </c>
    </row>
    <row r="351" spans="1:33" ht="24" customHeight="1">
      <c r="A351" s="175">
        <f t="shared" si="27"/>
        <v>186</v>
      </c>
      <c r="B351" s="176" t="s">
        <v>1039</v>
      </c>
      <c r="C351" s="218">
        <v>53.62</v>
      </c>
      <c r="D351" s="241" t="s">
        <v>680</v>
      </c>
      <c r="F351" s="154" t="s">
        <v>22</v>
      </c>
      <c r="H351" s="154" t="s">
        <v>803</v>
      </c>
      <c r="K351" s="166">
        <f>(K350+C21)</f>
        <v>6060.6747000000005</v>
      </c>
      <c r="L351" s="76">
        <f>K351-K350</f>
        <v>114.18000000000029</v>
      </c>
      <c r="M351" s="167">
        <v>3.2</v>
      </c>
      <c r="N351" s="154" t="s">
        <v>576</v>
      </c>
      <c r="O351" s="154" t="s">
        <v>756</v>
      </c>
      <c r="P351" s="167">
        <f>(C13)</f>
        <v>404.8</v>
      </c>
      <c r="Q351" s="154" t="s">
        <v>576</v>
      </c>
      <c r="R351" s="167">
        <f>(M351*P351)</f>
        <v>1295.3600000000001</v>
      </c>
      <c r="S351" s="159" t="s">
        <v>22</v>
      </c>
      <c r="U351" s="199" t="s">
        <v>803</v>
      </c>
      <c r="X351" s="199">
        <f>X350+C20</f>
        <v>6376.4109000000008</v>
      </c>
      <c r="AB351" s="154" t="s">
        <v>22</v>
      </c>
      <c r="AC351" s="156"/>
      <c r="AD351" s="154" t="s">
        <v>803</v>
      </c>
      <c r="AF351" s="158"/>
      <c r="AG351" s="166">
        <f>(AG350+C20)</f>
        <v>6073.7965600000007</v>
      </c>
    </row>
    <row r="352" spans="1:33" ht="24" customHeight="1">
      <c r="A352" s="175">
        <f t="shared" si="27"/>
        <v>187</v>
      </c>
      <c r="B352" s="176" t="s">
        <v>1058</v>
      </c>
      <c r="C352" s="243"/>
      <c r="D352" s="243"/>
      <c r="F352" s="187">
        <v>27</v>
      </c>
      <c r="G352" s="165" t="s">
        <v>307</v>
      </c>
      <c r="H352" s="154" t="s">
        <v>1059</v>
      </c>
      <c r="L352" s="76">
        <f>K351+L351</f>
        <v>6174.8547000000008</v>
      </c>
      <c r="N352" s="154" t="s">
        <v>589</v>
      </c>
      <c r="O352" s="154" t="s">
        <v>590</v>
      </c>
      <c r="P352" s="154" t="s">
        <v>22</v>
      </c>
      <c r="Q352" s="154" t="s">
        <v>589</v>
      </c>
      <c r="R352" s="167">
        <v>0</v>
      </c>
      <c r="S352" s="159">
        <v>27</v>
      </c>
      <c r="T352" s="76" t="s">
        <v>307</v>
      </c>
      <c r="U352" s="76" t="s">
        <v>1060</v>
      </c>
      <c r="AB352" s="154"/>
      <c r="AC352" s="156"/>
      <c r="AD352" s="154">
        <v>5</v>
      </c>
      <c r="AF352" s="158"/>
      <c r="AG352" s="166">
        <f>(AG351+C20)</f>
        <v>6187.976560000001</v>
      </c>
    </row>
    <row r="353" spans="1:34" ht="24" customHeight="1">
      <c r="A353" s="175">
        <f t="shared" si="27"/>
        <v>188</v>
      </c>
      <c r="B353" s="176" t="s">
        <v>1035</v>
      </c>
      <c r="C353" s="218">
        <v>13.73</v>
      </c>
      <c r="D353" s="241" t="s">
        <v>680</v>
      </c>
      <c r="H353" s="154" t="str">
        <f>H333</f>
        <v>Bricks of size 22x11x7 cm</v>
      </c>
      <c r="L353" s="76">
        <f>L352+L351</f>
        <v>6289.0347000000011</v>
      </c>
      <c r="R353" s="162" t="s">
        <v>534</v>
      </c>
      <c r="U353" s="76" t="s">
        <v>1033</v>
      </c>
      <c r="AB353" s="154"/>
      <c r="AC353" s="156"/>
      <c r="AD353" s="154">
        <v>6</v>
      </c>
      <c r="AF353" s="158"/>
      <c r="AG353" s="166">
        <f>(AG352+C20)</f>
        <v>6302.1565600000013</v>
      </c>
    </row>
    <row r="354" spans="1:34" ht="24" customHeight="1">
      <c r="A354" s="175">
        <f t="shared" si="27"/>
        <v>189</v>
      </c>
      <c r="B354" s="176" t="s">
        <v>1036</v>
      </c>
      <c r="C354" s="218">
        <v>20.16</v>
      </c>
      <c r="D354" s="241" t="s">
        <v>680</v>
      </c>
      <c r="H354" s="162" t="s">
        <v>534</v>
      </c>
      <c r="O354" s="154" t="s">
        <v>879</v>
      </c>
      <c r="R354" s="167">
        <f>SUM(R348:R352)</f>
        <v>4066.1874000000003</v>
      </c>
      <c r="U354" s="76" t="s">
        <v>534</v>
      </c>
      <c r="AB354" s="154"/>
      <c r="AC354" s="156"/>
      <c r="AD354" s="154">
        <v>7</v>
      </c>
      <c r="AF354" s="158"/>
      <c r="AG354" s="166">
        <f>(AG353+C20)</f>
        <v>6416.3365600000016</v>
      </c>
    </row>
    <row r="355" spans="1:34" ht="24" customHeight="1">
      <c r="A355" s="175">
        <f t="shared" si="27"/>
        <v>190</v>
      </c>
      <c r="B355" s="176" t="s">
        <v>1038</v>
      </c>
      <c r="C355" s="218">
        <v>22.73</v>
      </c>
      <c r="D355" s="241" t="s">
        <v>680</v>
      </c>
      <c r="F355" s="167">
        <v>4800</v>
      </c>
      <c r="G355" s="165" t="s">
        <v>773</v>
      </c>
      <c r="H355" s="167" t="str">
        <f>H309</f>
        <v>Bricks of size 22x11x7 cm</v>
      </c>
      <c r="I355" s="167">
        <f>C80</f>
        <v>5522.69</v>
      </c>
      <c r="J355" s="154" t="s">
        <v>774</v>
      </c>
      <c r="K355" s="167">
        <f>(F355*I355)/1000</f>
        <v>26508.911999999997</v>
      </c>
      <c r="R355" s="162" t="s">
        <v>534</v>
      </c>
      <c r="S355" s="159">
        <v>4600</v>
      </c>
      <c r="T355" s="76" t="s">
        <v>773</v>
      </c>
      <c r="U355" s="76" t="s">
        <v>1033</v>
      </c>
      <c r="V355" s="76">
        <f>AC41</f>
        <v>6449.19</v>
      </c>
      <c r="W355" s="76" t="s">
        <v>774</v>
      </c>
      <c r="X355" s="76">
        <f>V355*S355/1000</f>
        <v>29666.274000000001</v>
      </c>
      <c r="AB355" s="154"/>
      <c r="AC355" s="156"/>
      <c r="AD355" s="154">
        <v>8</v>
      </c>
      <c r="AF355" s="158"/>
      <c r="AG355" s="166">
        <f>(AG354+C20)</f>
        <v>6530.5165600000018</v>
      </c>
    </row>
    <row r="356" spans="1:34" ht="24" customHeight="1">
      <c r="A356" s="175">
        <f t="shared" si="27"/>
        <v>191</v>
      </c>
      <c r="B356" s="176" t="s">
        <v>1039</v>
      </c>
      <c r="C356" s="218">
        <v>46.98</v>
      </c>
      <c r="D356" s="241" t="s">
        <v>680</v>
      </c>
      <c r="F356" s="167">
        <v>2.5</v>
      </c>
      <c r="G356" s="165" t="s">
        <v>577</v>
      </c>
      <c r="H356" s="154" t="s">
        <v>702</v>
      </c>
      <c r="I356" s="167">
        <f>K40</f>
        <v>3667.67</v>
      </c>
      <c r="J356" s="154" t="s">
        <v>577</v>
      </c>
      <c r="K356" s="167">
        <f>(F356*I356)</f>
        <v>9169.1749999999993</v>
      </c>
      <c r="O356" s="154" t="s">
        <v>881</v>
      </c>
      <c r="R356" s="167">
        <f>(R354/10)</f>
        <v>406.61874</v>
      </c>
      <c r="S356" s="159">
        <v>2.5</v>
      </c>
      <c r="T356" s="76" t="s">
        <v>577</v>
      </c>
      <c r="U356" s="76" t="s">
        <v>702</v>
      </c>
      <c r="V356" s="76">
        <f>I356</f>
        <v>3667.67</v>
      </c>
      <c r="W356" s="76" t="s">
        <v>577</v>
      </c>
      <c r="X356" s="76">
        <f>V356*S356</f>
        <v>9169.1749999999993</v>
      </c>
      <c r="AB356" s="154"/>
      <c r="AC356" s="156"/>
      <c r="AD356" s="154">
        <v>9</v>
      </c>
      <c r="AF356" s="158"/>
      <c r="AG356" s="166">
        <f>(AG355+C20)</f>
        <v>6644.6965600000021</v>
      </c>
    </row>
    <row r="357" spans="1:34" ht="24" customHeight="1">
      <c r="A357" s="175">
        <f t="shared" si="27"/>
        <v>192</v>
      </c>
      <c r="B357" s="176" t="s">
        <v>1061</v>
      </c>
      <c r="C357" s="243"/>
      <c r="D357" s="243"/>
      <c r="F357" s="167">
        <v>3.5</v>
      </c>
      <c r="G357" s="165" t="s">
        <v>576</v>
      </c>
      <c r="H357" s="154" t="s">
        <v>778</v>
      </c>
      <c r="I357" s="167">
        <f>(C10)</f>
        <v>717.2</v>
      </c>
      <c r="J357" s="154" t="s">
        <v>576</v>
      </c>
      <c r="K357" s="167">
        <f>(F357*I357)</f>
        <v>2510.2000000000003</v>
      </c>
      <c r="R357" s="162" t="s">
        <v>528</v>
      </c>
      <c r="S357" s="159">
        <v>3.5</v>
      </c>
      <c r="T357" s="76" t="s">
        <v>576</v>
      </c>
      <c r="U357" s="76" t="s">
        <v>778</v>
      </c>
      <c r="V357" s="76">
        <f>I357</f>
        <v>717.2</v>
      </c>
      <c r="W357" s="76" t="s">
        <v>576</v>
      </c>
      <c r="X357" s="76">
        <f>V357*S357</f>
        <v>2510.2000000000003</v>
      </c>
      <c r="AB357" s="154"/>
      <c r="AC357" s="156"/>
      <c r="AD357" s="154">
        <v>10</v>
      </c>
      <c r="AF357" s="158"/>
      <c r="AG357" s="166">
        <f>(AG356+C20)</f>
        <v>6758.8765600000024</v>
      </c>
    </row>
    <row r="358" spans="1:34" ht="24" customHeight="1">
      <c r="A358" s="175">
        <f t="shared" si="27"/>
        <v>193</v>
      </c>
      <c r="B358" s="176" t="s">
        <v>1035</v>
      </c>
      <c r="C358" s="218">
        <v>19.3</v>
      </c>
      <c r="D358" s="241" t="s">
        <v>680</v>
      </c>
      <c r="F358" s="167">
        <v>10.6</v>
      </c>
      <c r="G358" s="165" t="s">
        <v>576</v>
      </c>
      <c r="H358" s="154" t="s">
        <v>752</v>
      </c>
      <c r="I358" s="167">
        <f>(C11)</f>
        <v>669.90000000000009</v>
      </c>
      <c r="J358" s="154" t="s">
        <v>576</v>
      </c>
      <c r="K358" s="167">
        <f>(F358*I358)</f>
        <v>7100.9400000000005</v>
      </c>
      <c r="N358" s="154" t="s">
        <v>307</v>
      </c>
      <c r="O358" s="154" t="s">
        <v>1062</v>
      </c>
      <c r="S358" s="159">
        <v>10.6</v>
      </c>
      <c r="T358" s="76" t="s">
        <v>576</v>
      </c>
      <c r="U358" s="76" t="s">
        <v>752</v>
      </c>
      <c r="V358" s="76">
        <f>I358</f>
        <v>669.90000000000009</v>
      </c>
      <c r="W358" s="76" t="s">
        <v>576</v>
      </c>
      <c r="X358" s="76">
        <f>V358*S358</f>
        <v>7100.9400000000005</v>
      </c>
      <c r="AB358" s="154"/>
      <c r="AC358" s="156"/>
      <c r="AD358" s="154">
        <v>11</v>
      </c>
      <c r="AF358" s="158"/>
      <c r="AG358" s="166">
        <f>(AG357+C20)</f>
        <v>6873.0565600000027</v>
      </c>
    </row>
    <row r="359" spans="1:34" ht="24" customHeight="1">
      <c r="A359" s="175">
        <f t="shared" si="27"/>
        <v>194</v>
      </c>
      <c r="B359" s="176" t="s">
        <v>1036</v>
      </c>
      <c r="C359" s="218">
        <v>25.74</v>
      </c>
      <c r="D359" s="241" t="s">
        <v>680</v>
      </c>
      <c r="F359" s="167">
        <v>7.1</v>
      </c>
      <c r="G359" s="165" t="s">
        <v>576</v>
      </c>
      <c r="H359" s="154" t="s">
        <v>754</v>
      </c>
      <c r="I359" s="167">
        <f>(C12)</f>
        <v>468.6</v>
      </c>
      <c r="J359" s="154" t="s">
        <v>576</v>
      </c>
      <c r="K359" s="167">
        <f>(F359*I359)</f>
        <v>3327.06</v>
      </c>
      <c r="O359" s="154" t="s">
        <v>1063</v>
      </c>
      <c r="S359" s="159">
        <v>7.1</v>
      </c>
      <c r="T359" s="76" t="s">
        <v>576</v>
      </c>
      <c r="U359" s="76" t="s">
        <v>754</v>
      </c>
      <c r="V359" s="76">
        <f>I359</f>
        <v>468.6</v>
      </c>
      <c r="W359" s="76" t="s">
        <v>576</v>
      </c>
      <c r="X359" s="76">
        <f>V359*S359</f>
        <v>3327.06</v>
      </c>
      <c r="AB359" s="154"/>
      <c r="AC359" s="156"/>
      <c r="AD359" s="154">
        <v>12</v>
      </c>
      <c r="AF359" s="158"/>
      <c r="AG359" s="166">
        <f>(AG358+C20)</f>
        <v>6987.236560000003</v>
      </c>
    </row>
    <row r="360" spans="1:34" ht="24" customHeight="1">
      <c r="A360" s="175">
        <f t="shared" si="27"/>
        <v>195</v>
      </c>
      <c r="B360" s="176" t="s">
        <v>1038</v>
      </c>
      <c r="C360" s="218">
        <v>33.46</v>
      </c>
      <c r="D360" s="241" t="s">
        <v>680</v>
      </c>
      <c r="F360" s="167">
        <v>21.2</v>
      </c>
      <c r="G360" s="165" t="s">
        <v>576</v>
      </c>
      <c r="H360" s="154" t="s">
        <v>756</v>
      </c>
      <c r="I360" s="167">
        <f>(C13)</f>
        <v>404.8</v>
      </c>
      <c r="J360" s="154" t="s">
        <v>576</v>
      </c>
      <c r="K360" s="167">
        <f>(F360*I360)</f>
        <v>8581.76</v>
      </c>
      <c r="O360" s="154" t="s">
        <v>1064</v>
      </c>
      <c r="S360" s="159">
        <v>21.2</v>
      </c>
      <c r="T360" s="76" t="s">
        <v>576</v>
      </c>
      <c r="U360" s="76" t="s">
        <v>756</v>
      </c>
      <c r="V360" s="76">
        <f>I360</f>
        <v>404.8</v>
      </c>
      <c r="W360" s="76" t="s">
        <v>576</v>
      </c>
      <c r="X360" s="76">
        <f>V360*S360</f>
        <v>8581.76</v>
      </c>
      <c r="AB360" s="154"/>
      <c r="AC360" s="156"/>
      <c r="AD360" s="154">
        <v>13</v>
      </c>
      <c r="AF360" s="158"/>
      <c r="AG360" s="166">
        <f>(AG359+C20)</f>
        <v>7101.4165600000033</v>
      </c>
    </row>
    <row r="361" spans="1:34" ht="24" customHeight="1">
      <c r="A361" s="175">
        <f t="shared" si="27"/>
        <v>196</v>
      </c>
      <c r="B361" s="176" t="s">
        <v>1039</v>
      </c>
      <c r="C361" s="218">
        <v>53.62</v>
      </c>
      <c r="D361" s="241" t="s">
        <v>22</v>
      </c>
      <c r="G361" s="165" t="s">
        <v>589</v>
      </c>
      <c r="H361" s="154" t="s">
        <v>590</v>
      </c>
      <c r="J361" s="154" t="s">
        <v>589</v>
      </c>
      <c r="K361" s="167">
        <v>0</v>
      </c>
      <c r="O361" s="162" t="s">
        <v>534</v>
      </c>
      <c r="T361" s="76" t="s">
        <v>589</v>
      </c>
      <c r="U361" s="76" t="s">
        <v>590</v>
      </c>
      <c r="W361" s="76" t="s">
        <v>589</v>
      </c>
      <c r="X361" s="76">
        <v>0</v>
      </c>
      <c r="AB361" s="187">
        <v>27</v>
      </c>
      <c r="AC361" s="165" t="s">
        <v>307</v>
      </c>
      <c r="AD361" s="154" t="s">
        <v>1065</v>
      </c>
      <c r="AF361" s="158"/>
    </row>
    <row r="362" spans="1:34" ht="24" customHeight="1">
      <c r="A362" s="175">
        <f t="shared" si="27"/>
        <v>197</v>
      </c>
      <c r="B362" s="176" t="s">
        <v>1066</v>
      </c>
      <c r="C362" s="243"/>
      <c r="D362" s="243"/>
      <c r="K362" s="162" t="s">
        <v>534</v>
      </c>
      <c r="M362" s="167">
        <v>0.22</v>
      </c>
      <c r="N362" s="154" t="s">
        <v>577</v>
      </c>
      <c r="O362" s="154" t="s">
        <v>702</v>
      </c>
      <c r="P362" s="167">
        <f>(K40)</f>
        <v>3667.67</v>
      </c>
      <c r="Q362" s="154" t="s">
        <v>577</v>
      </c>
      <c r="R362" s="167">
        <f t="shared" ref="R362:R367" si="28">(M362*P362)</f>
        <v>806.88740000000007</v>
      </c>
      <c r="X362" s="162" t="s">
        <v>534</v>
      </c>
      <c r="AC362" s="156"/>
      <c r="AD362" s="154" t="str">
        <f>AD333</f>
        <v>Bricks of size 23x11.4x7.5 cm</v>
      </c>
      <c r="AF362" s="158"/>
    </row>
    <row r="363" spans="1:34" ht="24" customHeight="1">
      <c r="A363" s="175">
        <f t="shared" si="27"/>
        <v>198</v>
      </c>
      <c r="B363" s="176" t="s">
        <v>1035</v>
      </c>
      <c r="C363" s="218">
        <v>26.16</v>
      </c>
      <c r="D363" s="241" t="s">
        <v>680</v>
      </c>
      <c r="H363" s="154" t="s">
        <v>760</v>
      </c>
      <c r="K363" s="167">
        <f>SUM(K355:K361)</f>
        <v>57198.046999999999</v>
      </c>
      <c r="M363" s="167">
        <v>2.2000000000000002</v>
      </c>
      <c r="N363" s="154" t="s">
        <v>576</v>
      </c>
      <c r="O363" s="154" t="s">
        <v>778</v>
      </c>
      <c r="P363" s="167">
        <f>(C10)</f>
        <v>717.2</v>
      </c>
      <c r="Q363" s="154" t="s">
        <v>576</v>
      </c>
      <c r="R363" s="167">
        <f t="shared" si="28"/>
        <v>1577.8400000000001</v>
      </c>
      <c r="U363" s="76" t="s">
        <v>760</v>
      </c>
      <c r="X363" s="76">
        <f>SUM(X355:X361)</f>
        <v>60355.409</v>
      </c>
      <c r="AC363" s="156"/>
      <c r="AD363" s="162" t="s">
        <v>534</v>
      </c>
      <c r="AF363" s="158"/>
    </row>
    <row r="364" spans="1:34" ht="24" customHeight="1">
      <c r="A364" s="175">
        <f t="shared" si="27"/>
        <v>199</v>
      </c>
      <c r="B364" s="176" t="s">
        <v>1036</v>
      </c>
      <c r="C364" s="218">
        <v>34.32</v>
      </c>
      <c r="D364" s="241" t="s">
        <v>680</v>
      </c>
      <c r="K364" s="162" t="s">
        <v>534</v>
      </c>
      <c r="M364" s="167">
        <v>0.5</v>
      </c>
      <c r="N364" s="154" t="s">
        <v>576</v>
      </c>
      <c r="O364" s="154" t="s">
        <v>754</v>
      </c>
      <c r="P364" s="167">
        <f>(C12)</f>
        <v>468.6</v>
      </c>
      <c r="Q364" s="154" t="s">
        <v>576</v>
      </c>
      <c r="R364" s="167">
        <f t="shared" si="28"/>
        <v>234.3</v>
      </c>
      <c r="X364" s="162" t="s">
        <v>534</v>
      </c>
      <c r="AB364" s="167">
        <v>4240</v>
      </c>
      <c r="AC364" s="165" t="s">
        <v>773</v>
      </c>
      <c r="AD364" s="167" t="str">
        <f>AD309</f>
        <v>Bricks of size 23x11.4x7.5 cm</v>
      </c>
      <c r="AE364" s="167">
        <f>AC42</f>
        <v>6634.19</v>
      </c>
      <c r="AF364" s="154" t="s">
        <v>774</v>
      </c>
      <c r="AG364" s="167">
        <f>(AB364*AE364)/1000</f>
        <v>28128.9656</v>
      </c>
    </row>
    <row r="365" spans="1:34" ht="24" customHeight="1">
      <c r="A365" s="175">
        <f t="shared" si="27"/>
        <v>200</v>
      </c>
      <c r="B365" s="176" t="s">
        <v>1038</v>
      </c>
      <c r="C365" s="218">
        <v>40.33</v>
      </c>
      <c r="D365" s="241" t="s">
        <v>680</v>
      </c>
      <c r="H365" s="154" t="s">
        <v>685</v>
      </c>
      <c r="K365" s="167">
        <f>(K363/10)</f>
        <v>5719.8046999999997</v>
      </c>
      <c r="M365" s="167">
        <v>1.1000000000000001</v>
      </c>
      <c r="N365" s="154" t="s">
        <v>1067</v>
      </c>
      <c r="O365" s="154" t="s">
        <v>1068</v>
      </c>
      <c r="P365" s="167">
        <f>(C10)</f>
        <v>717.2</v>
      </c>
      <c r="Q365" s="154" t="s">
        <v>576</v>
      </c>
      <c r="R365" s="167">
        <f t="shared" si="28"/>
        <v>788.92000000000007</v>
      </c>
      <c r="U365" s="76" t="s">
        <v>685</v>
      </c>
      <c r="X365" s="76">
        <f>X363/10</f>
        <v>6035.5409</v>
      </c>
      <c r="AB365" s="167">
        <v>2</v>
      </c>
      <c r="AC365" s="165" t="s">
        <v>577</v>
      </c>
      <c r="AD365" s="154" t="s">
        <v>702</v>
      </c>
      <c r="AE365" s="167">
        <f>V356</f>
        <v>3667.67</v>
      </c>
      <c r="AF365" s="154" t="s">
        <v>577</v>
      </c>
      <c r="AG365" s="167">
        <f>(AB365*AE365)</f>
        <v>7335.34</v>
      </c>
    </row>
    <row r="366" spans="1:34" ht="24" customHeight="1">
      <c r="A366" s="175">
        <f t="shared" si="27"/>
        <v>201</v>
      </c>
      <c r="B366" s="176" t="s">
        <v>1069</v>
      </c>
      <c r="C366" s="243"/>
      <c r="D366" s="241" t="s">
        <v>22</v>
      </c>
      <c r="K366" s="162" t="s">
        <v>528</v>
      </c>
      <c r="M366" s="167">
        <v>3.2</v>
      </c>
      <c r="N366" s="154" t="s">
        <v>576</v>
      </c>
      <c r="O366" s="154" t="s">
        <v>756</v>
      </c>
      <c r="P366" s="167">
        <f>(C13)</f>
        <v>404.8</v>
      </c>
      <c r="Q366" s="154" t="s">
        <v>576</v>
      </c>
      <c r="R366" s="167">
        <f t="shared" si="28"/>
        <v>1295.3600000000001</v>
      </c>
      <c r="X366" s="202" t="s">
        <v>1056</v>
      </c>
      <c r="AB366" s="167">
        <v>3.5</v>
      </c>
      <c r="AC366" s="165" t="s">
        <v>576</v>
      </c>
      <c r="AD366" s="154" t="s">
        <v>778</v>
      </c>
      <c r="AE366" s="167">
        <f>V357</f>
        <v>717.2</v>
      </c>
      <c r="AF366" s="154" t="s">
        <v>576</v>
      </c>
      <c r="AG366" s="167">
        <f>(AB366*AE366)</f>
        <v>2510.2000000000003</v>
      </c>
    </row>
    <row r="367" spans="1:34" ht="24" customHeight="1">
      <c r="A367" s="175">
        <f t="shared" si="27"/>
        <v>202</v>
      </c>
      <c r="B367" s="176" t="s">
        <v>1035</v>
      </c>
      <c r="C367" s="218">
        <v>20.329999999999998</v>
      </c>
      <c r="D367" s="241" t="s">
        <v>680</v>
      </c>
      <c r="H367" s="154" t="s">
        <v>789</v>
      </c>
      <c r="J367" s="158">
        <f>K367-K365</f>
        <v>56.649999999999636</v>
      </c>
      <c r="K367" s="167">
        <f>(K365+C19)</f>
        <v>5776.4546999999993</v>
      </c>
      <c r="M367" s="167">
        <v>9.8000000000000007</v>
      </c>
      <c r="N367" s="154" t="s">
        <v>420</v>
      </c>
      <c r="O367" s="154" t="s">
        <v>1070</v>
      </c>
      <c r="P367" s="167">
        <f>(C148)</f>
        <v>141</v>
      </c>
      <c r="Q367" s="154" t="s">
        <v>420</v>
      </c>
      <c r="R367" s="167">
        <f t="shared" si="28"/>
        <v>1381.8000000000002</v>
      </c>
      <c r="U367" s="76" t="s">
        <v>789</v>
      </c>
      <c r="X367" s="76">
        <f>X365+C19</f>
        <v>6092.1908999999996</v>
      </c>
      <c r="Y367" s="76">
        <f>X365+X367+X368+X369+X370+X371</f>
        <v>37638.295400000003</v>
      </c>
      <c r="Z367" s="76">
        <f>Y367/6</f>
        <v>6273.0492333333341</v>
      </c>
      <c r="AB367" s="167">
        <v>10.6</v>
      </c>
      <c r="AC367" s="165" t="s">
        <v>576</v>
      </c>
      <c r="AD367" s="154" t="s">
        <v>752</v>
      </c>
      <c r="AE367" s="167">
        <f>V358</f>
        <v>669.90000000000009</v>
      </c>
      <c r="AF367" s="154" t="s">
        <v>576</v>
      </c>
      <c r="AG367" s="167">
        <f>(AB367*AE367)</f>
        <v>7100.9400000000005</v>
      </c>
    </row>
    <row r="368" spans="1:34" ht="24" customHeight="1">
      <c r="A368" s="175">
        <f t="shared" si="27"/>
        <v>203</v>
      </c>
      <c r="B368" s="176" t="s">
        <v>1036</v>
      </c>
      <c r="C368" s="218">
        <v>26.6</v>
      </c>
      <c r="D368" s="241" t="s">
        <v>680</v>
      </c>
      <c r="H368" s="154" t="s">
        <v>793</v>
      </c>
      <c r="J368" s="158">
        <f>K368-K367</f>
        <v>114.18000000000029</v>
      </c>
      <c r="K368" s="167">
        <f>(K367+C20)</f>
        <v>5890.6346999999996</v>
      </c>
      <c r="L368" s="76">
        <f>(K367+K368)/2</f>
        <v>5833.5446999999995</v>
      </c>
      <c r="N368" s="154" t="s">
        <v>589</v>
      </c>
      <c r="O368" s="154" t="s">
        <v>590</v>
      </c>
      <c r="P368" s="154" t="s">
        <v>22</v>
      </c>
      <c r="Q368" s="154" t="s">
        <v>589</v>
      </c>
      <c r="R368" s="167">
        <v>0</v>
      </c>
      <c r="U368" s="76" t="s">
        <v>793</v>
      </c>
      <c r="X368" s="76">
        <f>X367+C20</f>
        <v>6206.3708999999999</v>
      </c>
      <c r="Y368" s="76">
        <f>SUM(X367:X368)/2</f>
        <v>6149.2808999999997</v>
      </c>
      <c r="AB368" s="167">
        <v>7.1</v>
      </c>
      <c r="AC368" s="165" t="s">
        <v>576</v>
      </c>
      <c r="AD368" s="154" t="s">
        <v>754</v>
      </c>
      <c r="AE368" s="167">
        <f>V359</f>
        <v>468.6</v>
      </c>
      <c r="AF368" s="154" t="s">
        <v>576</v>
      </c>
      <c r="AG368" s="167">
        <f>(AB368*AE368)</f>
        <v>3327.06</v>
      </c>
      <c r="AH368" s="76">
        <f>(AG377+AG376)/2</f>
        <v>5812.1665599999997</v>
      </c>
    </row>
    <row r="369" spans="1:34" ht="24" customHeight="1">
      <c r="A369" s="175">
        <f t="shared" si="27"/>
        <v>204</v>
      </c>
      <c r="B369" s="176" t="s">
        <v>1038</v>
      </c>
      <c r="C369" s="218">
        <v>33.89</v>
      </c>
      <c r="D369" s="241" t="s">
        <v>680</v>
      </c>
      <c r="H369" s="154" t="s">
        <v>796</v>
      </c>
      <c r="J369" s="158">
        <f>K369-K368</f>
        <v>114.18000000000029</v>
      </c>
      <c r="K369" s="167">
        <f>(K368+C21)</f>
        <v>6004.8146999999999</v>
      </c>
      <c r="L369" s="76">
        <f>SUM(K367:K369)/3</f>
        <v>5890.6346999999996</v>
      </c>
      <c r="R369" s="162" t="s">
        <v>534</v>
      </c>
      <c r="U369" s="76" t="s">
        <v>796</v>
      </c>
      <c r="X369" s="76">
        <f>X368+C20</f>
        <v>6320.5509000000002</v>
      </c>
      <c r="Y369" s="76">
        <f>SUM(X367:X369)/3</f>
        <v>6206.370899999999</v>
      </c>
      <c r="AB369" s="167">
        <v>21.2</v>
      </c>
      <c r="AC369" s="165" t="s">
        <v>576</v>
      </c>
      <c r="AD369" s="154" t="s">
        <v>756</v>
      </c>
      <c r="AE369" s="167">
        <f>V360</f>
        <v>404.8</v>
      </c>
      <c r="AF369" s="154" t="s">
        <v>576</v>
      </c>
      <c r="AG369" s="167">
        <f>(AB369*AE369)</f>
        <v>8581.76</v>
      </c>
      <c r="AH369" s="76">
        <f>SUM(AG376:AG378)/3</f>
        <v>5869.2565599999989</v>
      </c>
    </row>
    <row r="370" spans="1:34" ht="24" customHeight="1">
      <c r="A370" s="175">
        <f t="shared" si="27"/>
        <v>205</v>
      </c>
      <c r="B370" s="176" t="s">
        <v>1071</v>
      </c>
      <c r="C370" s="243"/>
      <c r="D370" s="243"/>
      <c r="H370" s="154" t="s">
        <v>798</v>
      </c>
      <c r="J370" s="158">
        <f>K370-K369</f>
        <v>114.18000000000029</v>
      </c>
      <c r="K370" s="167">
        <f>K369+C21</f>
        <v>6118.9947000000002</v>
      </c>
      <c r="O370" s="154" t="s">
        <v>879</v>
      </c>
      <c r="R370" s="167">
        <f>SUM(R362:R368)</f>
        <v>6085.1074000000008</v>
      </c>
      <c r="U370" s="76" t="s">
        <v>798</v>
      </c>
      <c r="X370" s="76">
        <f>X369+C20</f>
        <v>6434.7309000000005</v>
      </c>
      <c r="AC370" s="165" t="s">
        <v>589</v>
      </c>
      <c r="AD370" s="154" t="s">
        <v>590</v>
      </c>
      <c r="AF370" s="154" t="s">
        <v>589</v>
      </c>
      <c r="AG370" s="167">
        <v>0</v>
      </c>
    </row>
    <row r="371" spans="1:34" ht="24" customHeight="1">
      <c r="A371" s="175">
        <f t="shared" si="27"/>
        <v>206</v>
      </c>
      <c r="B371" s="176" t="s">
        <v>1035</v>
      </c>
      <c r="C371" s="218">
        <v>13.29</v>
      </c>
      <c r="D371" s="241" t="s">
        <v>680</v>
      </c>
      <c r="H371" s="154" t="s">
        <v>803</v>
      </c>
      <c r="J371" s="158">
        <f>K371-K370</f>
        <v>114.18000000000029</v>
      </c>
      <c r="K371" s="167">
        <f>K370+C21</f>
        <v>6233.1747000000005</v>
      </c>
      <c r="R371" s="162" t="s">
        <v>534</v>
      </c>
      <c r="U371" s="76" t="s">
        <v>803</v>
      </c>
      <c r="X371" s="76">
        <f>X370+C20</f>
        <v>6548.9109000000008</v>
      </c>
      <c r="AC371" s="156"/>
      <c r="AF371" s="158"/>
      <c r="AG371" s="162" t="s">
        <v>534</v>
      </c>
    </row>
    <row r="372" spans="1:34" ht="24" customHeight="1">
      <c r="A372" s="175">
        <f t="shared" si="27"/>
        <v>207</v>
      </c>
      <c r="B372" s="176" t="s">
        <v>1036</v>
      </c>
      <c r="C372" s="218">
        <v>18.02</v>
      </c>
      <c r="D372" s="241" t="s">
        <v>680</v>
      </c>
      <c r="H372" s="154" t="s">
        <v>842</v>
      </c>
      <c r="J372" s="158">
        <f>SUM(K367+K368+K369)/3</f>
        <v>5890.6346999999996</v>
      </c>
      <c r="K372" s="167">
        <f>(K367+K368+K369+K370)/4</f>
        <v>5947.7246999999998</v>
      </c>
      <c r="O372" s="154" t="s">
        <v>881</v>
      </c>
      <c r="R372" s="167">
        <f>(R370/10)</f>
        <v>608.51074000000006</v>
      </c>
      <c r="U372" s="76" t="s">
        <v>842</v>
      </c>
      <c r="W372" s="76">
        <v>2171.31</v>
      </c>
      <c r="X372" s="76">
        <f>SUM(X367:X370)/4</f>
        <v>6263.4609</v>
      </c>
      <c r="AC372" s="156"/>
      <c r="AD372" s="154" t="s">
        <v>760</v>
      </c>
      <c r="AF372" s="158"/>
      <c r="AG372" s="167">
        <f>SUM(AG364:AG370)</f>
        <v>56984.265599999999</v>
      </c>
    </row>
    <row r="373" spans="1:34" ht="24" customHeight="1">
      <c r="A373" s="175">
        <f t="shared" si="27"/>
        <v>208</v>
      </c>
      <c r="B373" s="176" t="s">
        <v>1038</v>
      </c>
      <c r="C373" s="218">
        <v>23.17</v>
      </c>
      <c r="D373" s="241" t="s">
        <v>680</v>
      </c>
      <c r="R373" s="162" t="s">
        <v>528</v>
      </c>
      <c r="AC373" s="156"/>
      <c r="AF373" s="158"/>
      <c r="AG373" s="162" t="s">
        <v>534</v>
      </c>
    </row>
    <row r="374" spans="1:34" ht="24" customHeight="1">
      <c r="A374" s="175">
        <f t="shared" si="27"/>
        <v>209</v>
      </c>
      <c r="B374" s="176" t="s">
        <v>1072</v>
      </c>
      <c r="C374" s="243"/>
      <c r="D374" s="241" t="s">
        <v>22</v>
      </c>
      <c r="H374" s="155" t="s">
        <v>844</v>
      </c>
      <c r="N374" s="154" t="s">
        <v>307</v>
      </c>
      <c r="O374" s="154" t="s">
        <v>1073</v>
      </c>
      <c r="U374" s="76" t="s">
        <v>844</v>
      </c>
      <c r="AC374" s="156"/>
      <c r="AD374" s="154" t="s">
        <v>685</v>
      </c>
      <c r="AF374" s="158"/>
      <c r="AG374" s="167">
        <f>(AG372/10)</f>
        <v>5698.4265599999999</v>
      </c>
    </row>
    <row r="375" spans="1:34" ht="24" customHeight="1">
      <c r="A375" s="175">
        <f t="shared" si="27"/>
        <v>210</v>
      </c>
      <c r="B375" s="176" t="s">
        <v>1035</v>
      </c>
      <c r="C375" s="218">
        <v>9</v>
      </c>
      <c r="D375" s="241" t="s">
        <v>680</v>
      </c>
      <c r="H375" s="162" t="s">
        <v>534</v>
      </c>
      <c r="O375" s="162" t="s">
        <v>534</v>
      </c>
      <c r="U375" s="76" t="s">
        <v>534</v>
      </c>
      <c r="AC375" s="156"/>
      <c r="AF375" s="158"/>
      <c r="AG375" s="162" t="s">
        <v>528</v>
      </c>
    </row>
    <row r="376" spans="1:34" ht="24" customHeight="1">
      <c r="A376" s="175">
        <f t="shared" si="27"/>
        <v>211</v>
      </c>
      <c r="B376" s="176" t="s">
        <v>1036</v>
      </c>
      <c r="C376" s="218">
        <v>11.58</v>
      </c>
      <c r="D376" s="241" t="s">
        <v>680</v>
      </c>
      <c r="F376" s="187">
        <v>10</v>
      </c>
      <c r="G376" s="165" t="s">
        <v>307</v>
      </c>
      <c r="H376" s="154" t="s">
        <v>1074</v>
      </c>
      <c r="M376" s="167">
        <v>0.05</v>
      </c>
      <c r="N376" s="154" t="s">
        <v>577</v>
      </c>
      <c r="O376" s="154" t="s">
        <v>815</v>
      </c>
      <c r="P376" s="167">
        <f>(C84)</f>
        <v>1272</v>
      </c>
      <c r="Q376" s="154" t="s">
        <v>577</v>
      </c>
      <c r="R376" s="167">
        <f>(M376*P376)</f>
        <v>63.6</v>
      </c>
      <c r="S376" s="159">
        <v>10</v>
      </c>
      <c r="T376" s="76" t="s">
        <v>307</v>
      </c>
      <c r="U376" s="76" t="s">
        <v>1075</v>
      </c>
      <c r="AC376" s="156"/>
      <c r="AD376" s="154" t="s">
        <v>789</v>
      </c>
      <c r="AF376" s="158"/>
      <c r="AG376" s="167">
        <f>(AG374+C19)</f>
        <v>5755.0765599999995</v>
      </c>
    </row>
    <row r="377" spans="1:34" ht="24" customHeight="1">
      <c r="A377" s="175">
        <f t="shared" si="27"/>
        <v>212</v>
      </c>
      <c r="B377" s="176" t="s">
        <v>1038</v>
      </c>
      <c r="C377" s="218">
        <v>14.15</v>
      </c>
      <c r="D377" s="241" t="s">
        <v>680</v>
      </c>
      <c r="H377" s="167" t="str">
        <f>H309</f>
        <v>Bricks of size 22x11x7 cm</v>
      </c>
      <c r="M377" s="167">
        <v>1.1000000000000001</v>
      </c>
      <c r="N377" s="154" t="s">
        <v>576</v>
      </c>
      <c r="O377" s="154" t="s">
        <v>752</v>
      </c>
      <c r="P377" s="167">
        <f>(C11)</f>
        <v>669.90000000000009</v>
      </c>
      <c r="Q377" s="154" t="s">
        <v>576</v>
      </c>
      <c r="R377" s="167">
        <f>(M377*P377)</f>
        <v>736.89000000000021</v>
      </c>
      <c r="U377" s="76" t="s">
        <v>1033</v>
      </c>
      <c r="AC377" s="156"/>
      <c r="AD377" s="154" t="s">
        <v>793</v>
      </c>
      <c r="AF377" s="158"/>
      <c r="AG377" s="167">
        <f>(AG376+C20)</f>
        <v>5869.2565599999998</v>
      </c>
    </row>
    <row r="378" spans="1:34" ht="24" customHeight="1">
      <c r="A378" s="175">
        <f t="shared" si="27"/>
        <v>213</v>
      </c>
      <c r="B378" s="176" t="s">
        <v>1076</v>
      </c>
      <c r="C378" s="243"/>
      <c r="D378" s="243"/>
      <c r="H378" s="162" t="s">
        <v>534</v>
      </c>
      <c r="M378" s="167">
        <v>0.3</v>
      </c>
      <c r="N378" s="154" t="s">
        <v>576</v>
      </c>
      <c r="O378" s="154" t="s">
        <v>754</v>
      </c>
      <c r="P378" s="167">
        <f>(C12)</f>
        <v>468.6</v>
      </c>
      <c r="Q378" s="154" t="s">
        <v>576</v>
      </c>
      <c r="R378" s="167">
        <f>(M378*P378)</f>
        <v>140.58000000000001</v>
      </c>
      <c r="U378" s="76" t="s">
        <v>534</v>
      </c>
      <c r="AC378" s="156"/>
      <c r="AD378" s="154" t="s">
        <v>796</v>
      </c>
      <c r="AF378" s="158"/>
      <c r="AG378" s="167">
        <f>(AG377+C20)</f>
        <v>5983.4365600000001</v>
      </c>
    </row>
    <row r="379" spans="1:34" ht="24" customHeight="1">
      <c r="A379" s="175">
        <f t="shared" si="27"/>
        <v>214</v>
      </c>
      <c r="B379" s="176" t="s">
        <v>1035</v>
      </c>
      <c r="C379" s="218">
        <v>4.29</v>
      </c>
      <c r="D379" s="241" t="s">
        <v>680</v>
      </c>
      <c r="F379" s="167">
        <f>F311</f>
        <v>4800</v>
      </c>
      <c r="G379" s="165" t="s">
        <v>773</v>
      </c>
      <c r="H379" s="167" t="str">
        <f>H309</f>
        <v>Bricks of size 22x11x7 cm</v>
      </c>
      <c r="I379" s="167">
        <f>(C80)</f>
        <v>5522.69</v>
      </c>
      <c r="J379" s="154" t="s">
        <v>774</v>
      </c>
      <c r="K379" s="167">
        <f>(F379*I379)/1000</f>
        <v>26508.911999999997</v>
      </c>
      <c r="M379" s="167">
        <v>1.9</v>
      </c>
      <c r="N379" s="154" t="s">
        <v>576</v>
      </c>
      <c r="O379" s="154" t="s">
        <v>756</v>
      </c>
      <c r="P379" s="167">
        <f>(C13)</f>
        <v>404.8</v>
      </c>
      <c r="Q379" s="154" t="s">
        <v>576</v>
      </c>
      <c r="R379" s="167">
        <f>(M379*P379)</f>
        <v>769.12</v>
      </c>
      <c r="S379" s="159">
        <v>4600</v>
      </c>
      <c r="T379" s="76" t="s">
        <v>773</v>
      </c>
      <c r="U379" s="76" t="s">
        <v>1033</v>
      </c>
      <c r="V379" s="76">
        <f>AC41</f>
        <v>6449.19</v>
      </c>
      <c r="W379" s="76" t="s">
        <v>774</v>
      </c>
      <c r="X379" s="76">
        <f>S379*V379/1000</f>
        <v>29666.274000000001</v>
      </c>
      <c r="AC379" s="156"/>
      <c r="AD379" s="154" t="s">
        <v>798</v>
      </c>
      <c r="AF379" s="158"/>
      <c r="AG379" s="167">
        <f>AG378+C20</f>
        <v>6097.6165600000004</v>
      </c>
    </row>
    <row r="380" spans="1:34" ht="24" customHeight="1">
      <c r="A380" s="175">
        <f t="shared" si="27"/>
        <v>215</v>
      </c>
      <c r="B380" s="176" t="s">
        <v>1036</v>
      </c>
      <c r="C380" s="218">
        <v>6.01</v>
      </c>
      <c r="D380" s="241" t="s">
        <v>680</v>
      </c>
      <c r="F380" s="167">
        <v>1.59</v>
      </c>
      <c r="G380" s="165" t="s">
        <v>577</v>
      </c>
      <c r="H380" s="154" t="s">
        <v>702</v>
      </c>
      <c r="I380" s="167">
        <f>(K40)</f>
        <v>3667.67</v>
      </c>
      <c r="J380" s="154" t="s">
        <v>577</v>
      </c>
      <c r="K380" s="167">
        <f>(F380*I380)</f>
        <v>5831.5953000000009</v>
      </c>
      <c r="N380" s="154" t="s">
        <v>589</v>
      </c>
      <c r="O380" s="154" t="s">
        <v>1077</v>
      </c>
      <c r="P380" s="154" t="s">
        <v>22</v>
      </c>
      <c r="Q380" s="154" t="s">
        <v>589</v>
      </c>
      <c r="R380" s="167">
        <v>1.46</v>
      </c>
      <c r="S380" s="159">
        <v>1.59</v>
      </c>
      <c r="T380" s="76" t="s">
        <v>577</v>
      </c>
      <c r="U380" s="76" t="s">
        <v>702</v>
      </c>
      <c r="V380" s="76">
        <f>I380</f>
        <v>3667.67</v>
      </c>
      <c r="W380" s="76" t="s">
        <v>577</v>
      </c>
      <c r="X380" s="76">
        <f>V380*S380</f>
        <v>5831.5953000000009</v>
      </c>
      <c r="AC380" s="156"/>
      <c r="AD380" s="154" t="s">
        <v>803</v>
      </c>
      <c r="AF380" s="158"/>
      <c r="AG380" s="167">
        <f>AG379+C20</f>
        <v>6211.7965600000007</v>
      </c>
    </row>
    <row r="381" spans="1:34" ht="24" customHeight="1">
      <c r="A381" s="175">
        <f t="shared" si="27"/>
        <v>216</v>
      </c>
      <c r="B381" s="176" t="s">
        <v>1038</v>
      </c>
      <c r="C381" s="218">
        <v>6.86</v>
      </c>
      <c r="D381" s="241" t="s">
        <v>680</v>
      </c>
      <c r="F381" s="167">
        <v>7</v>
      </c>
      <c r="G381" s="165" t="s">
        <v>576</v>
      </c>
      <c r="H381" s="154" t="s">
        <v>778</v>
      </c>
      <c r="I381" s="167">
        <f>(C10)</f>
        <v>717.2</v>
      </c>
      <c r="J381" s="154" t="s">
        <v>576</v>
      </c>
      <c r="K381" s="167">
        <f>(F381*I381)</f>
        <v>5020.4000000000005</v>
      </c>
      <c r="R381" s="162" t="s">
        <v>534</v>
      </c>
      <c r="S381" s="159">
        <v>7</v>
      </c>
      <c r="T381" s="76" t="s">
        <v>576</v>
      </c>
      <c r="U381" s="76" t="s">
        <v>778</v>
      </c>
      <c r="V381" s="76">
        <f>I381</f>
        <v>717.2</v>
      </c>
      <c r="W381" s="76" t="s">
        <v>576</v>
      </c>
      <c r="X381" s="76">
        <f>V381*S381</f>
        <v>5020.4000000000005</v>
      </c>
      <c r="AC381" s="156"/>
      <c r="AD381" s="154" t="s">
        <v>842</v>
      </c>
      <c r="AF381" s="158"/>
      <c r="AG381" s="167">
        <f>(AG376+AG377+AG378+AG379)/4</f>
        <v>5926.34656</v>
      </c>
    </row>
    <row r="382" spans="1:34" ht="24" customHeight="1">
      <c r="A382" s="175">
        <f t="shared" si="27"/>
        <v>217</v>
      </c>
      <c r="B382" s="176" t="s">
        <v>1078</v>
      </c>
      <c r="C382" s="243"/>
      <c r="D382" s="241" t="s">
        <v>22</v>
      </c>
      <c r="F382" s="167">
        <v>7.1</v>
      </c>
      <c r="G382" s="165" t="s">
        <v>576</v>
      </c>
      <c r="H382" s="154" t="s">
        <v>752</v>
      </c>
      <c r="I382" s="167">
        <f>(C11)</f>
        <v>669.90000000000009</v>
      </c>
      <c r="J382" s="154" t="s">
        <v>576</v>
      </c>
      <c r="K382" s="167">
        <f>(F382*I382)</f>
        <v>4756.29</v>
      </c>
      <c r="O382" s="154" t="s">
        <v>1079</v>
      </c>
      <c r="R382" s="167">
        <f>SUM(R375:R380)</f>
        <v>1711.6500000000003</v>
      </c>
      <c r="S382" s="159">
        <v>7.1</v>
      </c>
      <c r="T382" s="76" t="s">
        <v>576</v>
      </c>
      <c r="U382" s="76" t="s">
        <v>752</v>
      </c>
      <c r="V382" s="76">
        <f>I382</f>
        <v>669.90000000000009</v>
      </c>
      <c r="W382" s="76" t="s">
        <v>576</v>
      </c>
      <c r="X382" s="76">
        <f>V382*S382</f>
        <v>4756.29</v>
      </c>
      <c r="AC382" s="156"/>
      <c r="AF382" s="158"/>
    </row>
    <row r="383" spans="1:34" ht="24" customHeight="1">
      <c r="A383" s="175">
        <f t="shared" si="27"/>
        <v>218</v>
      </c>
      <c r="B383" s="176" t="s">
        <v>1035</v>
      </c>
      <c r="C383" s="218">
        <v>14.91</v>
      </c>
      <c r="D383" s="241" t="s">
        <v>680</v>
      </c>
      <c r="F383" s="167">
        <v>7.1</v>
      </c>
      <c r="G383" s="165" t="s">
        <v>576</v>
      </c>
      <c r="H383" s="154" t="s">
        <v>754</v>
      </c>
      <c r="I383" s="167">
        <f>(C12)</f>
        <v>468.6</v>
      </c>
      <c r="J383" s="154" t="s">
        <v>576</v>
      </c>
      <c r="K383" s="167">
        <f>(F383*I383)</f>
        <v>3327.06</v>
      </c>
      <c r="R383" s="162" t="s">
        <v>534</v>
      </c>
      <c r="S383" s="159">
        <v>7.1</v>
      </c>
      <c r="T383" s="76" t="s">
        <v>576</v>
      </c>
      <c r="U383" s="76" t="s">
        <v>754</v>
      </c>
      <c r="V383" s="76">
        <f>I383</f>
        <v>468.6</v>
      </c>
      <c r="W383" s="76" t="s">
        <v>576</v>
      </c>
      <c r="X383" s="76">
        <f>V383*S383</f>
        <v>3327.06</v>
      </c>
      <c r="AC383" s="156"/>
      <c r="AD383" s="155" t="s">
        <v>844</v>
      </c>
      <c r="AF383" s="158"/>
    </row>
    <row r="384" spans="1:34" ht="24" customHeight="1">
      <c r="A384" s="175">
        <f t="shared" si="27"/>
        <v>219</v>
      </c>
      <c r="B384" s="176" t="s">
        <v>1036</v>
      </c>
      <c r="C384" s="218">
        <v>17.579999999999998</v>
      </c>
      <c r="D384" s="241" t="s">
        <v>680</v>
      </c>
      <c r="F384" s="167">
        <v>21.2</v>
      </c>
      <c r="G384" s="165" t="s">
        <v>576</v>
      </c>
      <c r="H384" s="154" t="s">
        <v>756</v>
      </c>
      <c r="I384" s="167">
        <f>(C13)</f>
        <v>404.8</v>
      </c>
      <c r="J384" s="154" t="s">
        <v>576</v>
      </c>
      <c r="K384" s="167">
        <f>(F384*I384)</f>
        <v>8581.76</v>
      </c>
      <c r="O384" s="154" t="s">
        <v>881</v>
      </c>
      <c r="R384" s="167">
        <f>(R382/100)</f>
        <v>17.116500000000002</v>
      </c>
      <c r="S384" s="159">
        <v>21.2</v>
      </c>
      <c r="T384" s="76" t="s">
        <v>576</v>
      </c>
      <c r="U384" s="76" t="s">
        <v>756</v>
      </c>
      <c r="V384" s="76">
        <f>I384</f>
        <v>404.8</v>
      </c>
      <c r="W384" s="76" t="s">
        <v>576</v>
      </c>
      <c r="X384" s="76">
        <f>V384*S384</f>
        <v>8581.76</v>
      </c>
      <c r="AC384" s="156"/>
      <c r="AD384" s="162" t="s">
        <v>534</v>
      </c>
      <c r="AF384" s="158"/>
    </row>
    <row r="385" spans="1:33" ht="24" customHeight="1">
      <c r="A385" s="175">
        <f t="shared" si="27"/>
        <v>220</v>
      </c>
      <c r="B385" s="176" t="s">
        <v>1038</v>
      </c>
      <c r="C385" s="218">
        <v>19.3</v>
      </c>
      <c r="D385" s="241" t="s">
        <v>680</v>
      </c>
      <c r="G385" s="165" t="s">
        <v>589</v>
      </c>
      <c r="H385" s="154" t="s">
        <v>590</v>
      </c>
      <c r="I385" s="154" t="s">
        <v>22</v>
      </c>
      <c r="J385" s="154" t="s">
        <v>589</v>
      </c>
      <c r="K385" s="167">
        <v>0</v>
      </c>
      <c r="R385" s="162" t="s">
        <v>528</v>
      </c>
      <c r="T385" s="76" t="s">
        <v>589</v>
      </c>
      <c r="U385" s="76" t="s">
        <v>590</v>
      </c>
      <c r="V385" s="76" t="s">
        <v>22</v>
      </c>
      <c r="W385" s="76" t="s">
        <v>589</v>
      </c>
      <c r="X385" s="76">
        <v>0</v>
      </c>
      <c r="AB385" s="187">
        <v>10</v>
      </c>
      <c r="AC385" s="165" t="s">
        <v>307</v>
      </c>
      <c r="AD385" s="154" t="s">
        <v>1080</v>
      </c>
      <c r="AF385" s="158"/>
    </row>
    <row r="386" spans="1:33" ht="24" customHeight="1">
      <c r="A386" s="175">
        <f t="shared" si="27"/>
        <v>221</v>
      </c>
      <c r="B386" s="176" t="s">
        <v>1081</v>
      </c>
      <c r="C386" s="243"/>
      <c r="D386" s="243"/>
      <c r="K386" s="162" t="s">
        <v>534</v>
      </c>
      <c r="X386" s="202" t="s">
        <v>1082</v>
      </c>
      <c r="AC386" s="156"/>
      <c r="AD386" s="167" t="str">
        <f>AD309</f>
        <v>Bricks of size 23x11.4x7.5 cm</v>
      </c>
      <c r="AF386" s="158"/>
    </row>
    <row r="387" spans="1:33" ht="24" customHeight="1">
      <c r="A387" s="175">
        <f t="shared" si="27"/>
        <v>222</v>
      </c>
      <c r="B387" s="176" t="s">
        <v>1035</v>
      </c>
      <c r="C387" s="218">
        <v>15.87</v>
      </c>
      <c r="D387" s="241" t="s">
        <v>680</v>
      </c>
      <c r="H387" s="154" t="s">
        <v>760</v>
      </c>
      <c r="K387" s="167">
        <f>SUM(K379:K385)</f>
        <v>54026.0173</v>
      </c>
      <c r="U387" s="76" t="s">
        <v>760</v>
      </c>
      <c r="X387" s="76">
        <f>SUM(X379:X386)</f>
        <v>57183.379300000008</v>
      </c>
      <c r="AC387" s="156"/>
      <c r="AD387" s="162" t="s">
        <v>534</v>
      </c>
      <c r="AF387" s="158"/>
    </row>
    <row r="388" spans="1:33" ht="24" customHeight="1">
      <c r="A388" s="175">
        <f t="shared" si="27"/>
        <v>223</v>
      </c>
      <c r="B388" s="176" t="s">
        <v>1036</v>
      </c>
      <c r="C388" s="218">
        <v>20.16</v>
      </c>
      <c r="D388" s="241" t="s">
        <v>680</v>
      </c>
      <c r="K388" s="162" t="s">
        <v>534</v>
      </c>
      <c r="N388" s="154" t="s">
        <v>865</v>
      </c>
      <c r="O388" s="154" t="s">
        <v>1083</v>
      </c>
      <c r="X388" s="202" t="s">
        <v>1082</v>
      </c>
      <c r="AB388" s="167">
        <f>AB311</f>
        <v>4240</v>
      </c>
      <c r="AC388" s="165" t="s">
        <v>773</v>
      </c>
      <c r="AD388" s="167" t="str">
        <f>AD309</f>
        <v>Bricks of size 23x11.4x7.5 cm</v>
      </c>
      <c r="AE388" s="167">
        <f>AC42</f>
        <v>6634.19</v>
      </c>
      <c r="AF388" s="154" t="s">
        <v>774</v>
      </c>
      <c r="AG388" s="167">
        <f>(AB388*AE388)/1000</f>
        <v>28128.9656</v>
      </c>
    </row>
    <row r="389" spans="1:33" ht="24" customHeight="1">
      <c r="A389" s="175">
        <f t="shared" si="27"/>
        <v>224</v>
      </c>
      <c r="B389" s="176" t="s">
        <v>1038</v>
      </c>
      <c r="C389" s="218">
        <v>22.31</v>
      </c>
      <c r="D389" s="241" t="s">
        <v>680</v>
      </c>
      <c r="H389" s="154" t="s">
        <v>685</v>
      </c>
      <c r="K389" s="167">
        <f>(K387/10)</f>
        <v>5402.6017300000003</v>
      </c>
      <c r="O389" s="162" t="s">
        <v>534</v>
      </c>
      <c r="U389" s="76" t="s">
        <v>685</v>
      </c>
      <c r="X389" s="76">
        <f>X387/10</f>
        <v>5718.3379300000006</v>
      </c>
      <c r="AB389" s="167">
        <v>1.27</v>
      </c>
      <c r="AC389" s="165" t="s">
        <v>577</v>
      </c>
      <c r="AD389" s="154" t="s">
        <v>702</v>
      </c>
      <c r="AE389" s="167">
        <f>V380</f>
        <v>3667.67</v>
      </c>
      <c r="AF389" s="154" t="s">
        <v>577</v>
      </c>
      <c r="AG389" s="167">
        <f>(AB389*AE389)</f>
        <v>4657.9409000000005</v>
      </c>
    </row>
    <row r="390" spans="1:33" ht="24" customHeight="1">
      <c r="A390" s="175">
        <f t="shared" si="27"/>
        <v>225</v>
      </c>
      <c r="B390" s="176" t="s">
        <v>1084</v>
      </c>
      <c r="C390" s="240"/>
      <c r="D390" s="239" t="s">
        <v>22</v>
      </c>
      <c r="K390" s="162" t="s">
        <v>528</v>
      </c>
      <c r="M390" s="167">
        <v>7.0000000000000007E-2</v>
      </c>
      <c r="N390" s="154" t="s">
        <v>577</v>
      </c>
      <c r="O390" s="154" t="s">
        <v>815</v>
      </c>
      <c r="P390" s="167">
        <f>(C84)</f>
        <v>1272</v>
      </c>
      <c r="Q390" s="154" t="s">
        <v>577</v>
      </c>
      <c r="R390" s="167">
        <f>(M390*P390)</f>
        <v>89.04</v>
      </c>
      <c r="X390" s="202" t="s">
        <v>1085</v>
      </c>
      <c r="AB390" s="167">
        <v>7</v>
      </c>
      <c r="AC390" s="165" t="s">
        <v>576</v>
      </c>
      <c r="AD390" s="154" t="s">
        <v>778</v>
      </c>
      <c r="AE390" s="167">
        <f>V381</f>
        <v>717.2</v>
      </c>
      <c r="AF390" s="154" t="s">
        <v>576</v>
      </c>
      <c r="AG390" s="167">
        <f>(AB390*AE390)</f>
        <v>5020.4000000000005</v>
      </c>
    </row>
    <row r="391" spans="1:33" ht="24" customHeight="1">
      <c r="A391" s="175">
        <f t="shared" si="27"/>
        <v>226</v>
      </c>
      <c r="B391" s="176" t="s">
        <v>1086</v>
      </c>
      <c r="C391" s="174">
        <v>69.2</v>
      </c>
      <c r="D391" s="176" t="s">
        <v>410</v>
      </c>
      <c r="M391" s="167">
        <v>1.6</v>
      </c>
      <c r="N391" s="154" t="s">
        <v>576</v>
      </c>
      <c r="O391" s="154" t="s">
        <v>752</v>
      </c>
      <c r="P391" s="167">
        <f>(C11)</f>
        <v>669.90000000000009</v>
      </c>
      <c r="Q391" s="154" t="s">
        <v>576</v>
      </c>
      <c r="R391" s="167">
        <f>(M391*P391)</f>
        <v>1071.8400000000001</v>
      </c>
      <c r="AB391" s="167">
        <v>7.1</v>
      </c>
      <c r="AC391" s="165" t="s">
        <v>576</v>
      </c>
      <c r="AD391" s="154" t="s">
        <v>752</v>
      </c>
      <c r="AE391" s="167">
        <f>V382</f>
        <v>669.90000000000009</v>
      </c>
      <c r="AF391" s="154" t="s">
        <v>576</v>
      </c>
      <c r="AG391" s="167">
        <f>(AB391*AE391)</f>
        <v>4756.29</v>
      </c>
    </row>
    <row r="392" spans="1:33" ht="24" customHeight="1">
      <c r="A392" s="175">
        <f t="shared" si="27"/>
        <v>227</v>
      </c>
      <c r="B392" s="176" t="s">
        <v>1087</v>
      </c>
      <c r="C392" s="174">
        <v>97.7</v>
      </c>
      <c r="D392" s="176" t="s">
        <v>410</v>
      </c>
      <c r="G392" s="165" t="s">
        <v>865</v>
      </c>
      <c r="H392" s="154" t="s">
        <v>866</v>
      </c>
      <c r="M392" s="167">
        <v>0.5</v>
      </c>
      <c r="N392" s="154" t="s">
        <v>576</v>
      </c>
      <c r="O392" s="154" t="s">
        <v>754</v>
      </c>
      <c r="P392" s="167">
        <f>(C12)</f>
        <v>468.6</v>
      </c>
      <c r="Q392" s="154" t="s">
        <v>576</v>
      </c>
      <c r="R392" s="167">
        <f>(M392*P392)</f>
        <v>234.3</v>
      </c>
      <c r="T392" s="76" t="s">
        <v>865</v>
      </c>
      <c r="U392" s="76" t="s">
        <v>1088</v>
      </c>
      <c r="AB392" s="167">
        <v>7.1</v>
      </c>
      <c r="AC392" s="165" t="s">
        <v>576</v>
      </c>
      <c r="AD392" s="154" t="s">
        <v>754</v>
      </c>
      <c r="AE392" s="167">
        <f>V383</f>
        <v>468.6</v>
      </c>
      <c r="AF392" s="154" t="s">
        <v>576</v>
      </c>
      <c r="AG392" s="167">
        <f>(AB392*AE392)</f>
        <v>3327.06</v>
      </c>
    </row>
    <row r="393" spans="1:33" ht="24" customHeight="1">
      <c r="A393" s="175">
        <f t="shared" si="27"/>
        <v>228</v>
      </c>
      <c r="B393" s="176" t="s">
        <v>1089</v>
      </c>
      <c r="C393" s="174">
        <v>126.8</v>
      </c>
      <c r="D393" s="176" t="s">
        <v>410</v>
      </c>
      <c r="H393" s="162" t="s">
        <v>534</v>
      </c>
      <c r="M393" s="167">
        <v>2.7</v>
      </c>
      <c r="N393" s="154" t="s">
        <v>576</v>
      </c>
      <c r="O393" s="154" t="s">
        <v>756</v>
      </c>
      <c r="P393" s="167">
        <f>(C13)</f>
        <v>404.8</v>
      </c>
      <c r="Q393" s="154" t="s">
        <v>576</v>
      </c>
      <c r="R393" s="167">
        <f>(M393*P393)</f>
        <v>1092.96</v>
      </c>
      <c r="U393" s="76" t="s">
        <v>534</v>
      </c>
      <c r="AB393" s="167">
        <v>21.2</v>
      </c>
      <c r="AC393" s="165" t="s">
        <v>576</v>
      </c>
      <c r="AD393" s="154" t="s">
        <v>756</v>
      </c>
      <c r="AE393" s="167">
        <f>V384</f>
        <v>404.8</v>
      </c>
      <c r="AF393" s="154" t="s">
        <v>576</v>
      </c>
      <c r="AG393" s="167">
        <f>(AB393*AE393)</f>
        <v>8581.76</v>
      </c>
    </row>
    <row r="394" spans="1:33" ht="24" customHeight="1">
      <c r="A394" s="175">
        <f t="shared" si="27"/>
        <v>229</v>
      </c>
      <c r="B394" s="176" t="s">
        <v>1090</v>
      </c>
      <c r="C394" s="174">
        <v>149.9</v>
      </c>
      <c r="D394" s="176" t="s">
        <v>410</v>
      </c>
      <c r="F394" s="167">
        <v>1.1000000000000001</v>
      </c>
      <c r="G394" s="165" t="s">
        <v>577</v>
      </c>
      <c r="H394" s="154" t="s">
        <v>872</v>
      </c>
      <c r="I394" s="167">
        <f>(K389)</f>
        <v>5402.6017300000003</v>
      </c>
      <c r="J394" s="154" t="s">
        <v>577</v>
      </c>
      <c r="K394" s="167">
        <f>(F394*I394)</f>
        <v>5942.8619030000009</v>
      </c>
      <c r="N394" s="154" t="s">
        <v>589</v>
      </c>
      <c r="O394" s="154" t="s">
        <v>1077</v>
      </c>
      <c r="P394" s="154" t="s">
        <v>22</v>
      </c>
      <c r="Q394" s="154" t="s">
        <v>589</v>
      </c>
      <c r="R394" s="167">
        <v>2.09</v>
      </c>
      <c r="S394" s="159">
        <v>1.1200000000000001</v>
      </c>
      <c r="T394" s="76" t="s">
        <v>577</v>
      </c>
      <c r="U394" s="76" t="s">
        <v>872</v>
      </c>
      <c r="V394" s="76">
        <f>X389</f>
        <v>5718.3379300000006</v>
      </c>
      <c r="W394" s="76" t="s">
        <v>577</v>
      </c>
      <c r="X394" s="76">
        <f>V394*S394</f>
        <v>6404.5384816000014</v>
      </c>
      <c r="AC394" s="165" t="s">
        <v>589</v>
      </c>
      <c r="AD394" s="154" t="s">
        <v>590</v>
      </c>
      <c r="AE394" s="154" t="s">
        <v>22</v>
      </c>
      <c r="AF394" s="154" t="s">
        <v>589</v>
      </c>
      <c r="AG394" s="167">
        <v>0</v>
      </c>
    </row>
    <row r="395" spans="1:33" ht="24" customHeight="1">
      <c r="A395" s="175">
        <f t="shared" si="27"/>
        <v>230</v>
      </c>
      <c r="B395" s="176" t="s">
        <v>1091</v>
      </c>
      <c r="C395" s="174">
        <v>161.6</v>
      </c>
      <c r="D395" s="176" t="s">
        <v>410</v>
      </c>
      <c r="F395" s="167">
        <v>1</v>
      </c>
      <c r="G395" s="165" t="s">
        <v>680</v>
      </c>
      <c r="H395" s="154" t="s">
        <v>778</v>
      </c>
      <c r="I395" s="167">
        <f>(C10)</f>
        <v>717.2</v>
      </c>
      <c r="J395" s="154" t="s">
        <v>576</v>
      </c>
      <c r="K395" s="167">
        <f>(F395*I395)</f>
        <v>717.2</v>
      </c>
      <c r="R395" s="162" t="s">
        <v>534</v>
      </c>
      <c r="S395" s="159">
        <v>1</v>
      </c>
      <c r="T395" s="76" t="s">
        <v>680</v>
      </c>
      <c r="U395" s="76" t="s">
        <v>778</v>
      </c>
      <c r="V395" s="76">
        <f>I395</f>
        <v>717.2</v>
      </c>
      <c r="W395" s="76" t="s">
        <v>576</v>
      </c>
      <c r="X395" s="76">
        <f>V395*S395</f>
        <v>717.2</v>
      </c>
      <c r="AC395" s="156"/>
      <c r="AF395" s="158"/>
      <c r="AG395" s="162" t="s">
        <v>534</v>
      </c>
    </row>
    <row r="396" spans="1:33" ht="24" customHeight="1">
      <c r="A396" s="175">
        <f t="shared" si="27"/>
        <v>231</v>
      </c>
      <c r="B396" s="176" t="s">
        <v>1035</v>
      </c>
      <c r="C396" s="174">
        <v>207</v>
      </c>
      <c r="D396" s="176" t="s">
        <v>410</v>
      </c>
      <c r="G396" s="165" t="s">
        <v>589</v>
      </c>
      <c r="H396" s="154" t="s">
        <v>590</v>
      </c>
      <c r="I396" s="154" t="s">
        <v>22</v>
      </c>
      <c r="J396" s="154" t="s">
        <v>589</v>
      </c>
      <c r="K396" s="167">
        <v>0</v>
      </c>
      <c r="O396" s="154" t="s">
        <v>1079</v>
      </c>
      <c r="R396" s="167">
        <f>SUM(R389:R394)</f>
        <v>2490.2300000000005</v>
      </c>
      <c r="T396" s="76" t="s">
        <v>589</v>
      </c>
      <c r="U396" s="76" t="s">
        <v>590</v>
      </c>
      <c r="V396" s="76" t="s">
        <v>22</v>
      </c>
      <c r="W396" s="76" t="s">
        <v>589</v>
      </c>
      <c r="X396" s="76">
        <v>0</v>
      </c>
      <c r="AC396" s="156"/>
      <c r="AD396" s="154" t="s">
        <v>760</v>
      </c>
      <c r="AF396" s="158"/>
      <c r="AG396" s="167">
        <f>SUM(AG388:AG394)</f>
        <v>54472.416499999999</v>
      </c>
    </row>
    <row r="397" spans="1:33" ht="24" customHeight="1">
      <c r="A397" s="175">
        <f t="shared" si="27"/>
        <v>232</v>
      </c>
      <c r="B397" s="176" t="s">
        <v>1092</v>
      </c>
      <c r="C397" s="174">
        <v>242</v>
      </c>
      <c r="D397" s="176" t="s">
        <v>410</v>
      </c>
      <c r="K397" s="162" t="s">
        <v>534</v>
      </c>
      <c r="R397" s="162" t="s">
        <v>534</v>
      </c>
      <c r="X397" s="202" t="s">
        <v>1082</v>
      </c>
      <c r="AC397" s="156"/>
      <c r="AF397" s="158"/>
      <c r="AG397" s="162" t="s">
        <v>534</v>
      </c>
    </row>
    <row r="398" spans="1:33" ht="24" customHeight="1">
      <c r="A398" s="175">
        <f t="shared" si="27"/>
        <v>233</v>
      </c>
      <c r="B398" s="176" t="s">
        <v>1093</v>
      </c>
      <c r="C398" s="188"/>
      <c r="D398" s="188"/>
      <c r="H398" s="154" t="s">
        <v>879</v>
      </c>
      <c r="K398" s="167">
        <f>SUM(K394:K396)</f>
        <v>6660.0619030000007</v>
      </c>
      <c r="O398" s="154" t="s">
        <v>881</v>
      </c>
      <c r="R398" s="167">
        <f>(R396/100)</f>
        <v>24.902300000000004</v>
      </c>
      <c r="U398" s="76" t="s">
        <v>879</v>
      </c>
      <c r="X398" s="76">
        <f>SUM(X394:X396)</f>
        <v>7121.7384816000013</v>
      </c>
      <c r="AC398" s="156"/>
      <c r="AD398" s="154" t="s">
        <v>685</v>
      </c>
      <c r="AF398" s="158"/>
      <c r="AG398" s="167">
        <f>(AG396/10)</f>
        <v>5447.2416499999999</v>
      </c>
    </row>
    <row r="399" spans="1:33" ht="24" customHeight="1">
      <c r="A399" s="175">
        <f t="shared" si="27"/>
        <v>234</v>
      </c>
      <c r="B399" s="176" t="s">
        <v>1094</v>
      </c>
      <c r="C399" s="174">
        <v>13.5</v>
      </c>
      <c r="D399" s="176" t="s">
        <v>576</v>
      </c>
      <c r="K399" s="162" t="s">
        <v>534</v>
      </c>
      <c r="R399" s="162" t="s">
        <v>528</v>
      </c>
      <c r="X399" s="202" t="s">
        <v>1082</v>
      </c>
      <c r="AC399" s="156"/>
      <c r="AF399" s="158"/>
      <c r="AG399" s="162" t="s">
        <v>528</v>
      </c>
    </row>
    <row r="400" spans="1:33" ht="24" customHeight="1">
      <c r="A400" s="175">
        <f t="shared" si="27"/>
        <v>235</v>
      </c>
      <c r="B400" s="176" t="s">
        <v>1087</v>
      </c>
      <c r="C400" s="174">
        <v>23</v>
      </c>
      <c r="D400" s="176" t="s">
        <v>576</v>
      </c>
      <c r="H400" s="154" t="s">
        <v>881</v>
      </c>
      <c r="K400" s="166">
        <f>(K398/10)</f>
        <v>666.00619030000007</v>
      </c>
      <c r="N400" s="154" t="s">
        <v>865</v>
      </c>
      <c r="O400" s="154" t="s">
        <v>1095</v>
      </c>
      <c r="U400" s="76" t="s">
        <v>881</v>
      </c>
      <c r="X400" s="76">
        <f>X398/10</f>
        <v>712.17384816000015</v>
      </c>
      <c r="AC400" s="156"/>
      <c r="AF400" s="158"/>
    </row>
    <row r="401" spans="1:33" ht="24" customHeight="1">
      <c r="A401" s="175">
        <f t="shared" si="27"/>
        <v>236</v>
      </c>
      <c r="B401" s="176" t="s">
        <v>1089</v>
      </c>
      <c r="C401" s="174">
        <v>51.5</v>
      </c>
      <c r="D401" s="176" t="s">
        <v>576</v>
      </c>
      <c r="K401" s="162" t="s">
        <v>528</v>
      </c>
      <c r="O401" s="162" t="s">
        <v>534</v>
      </c>
      <c r="X401" s="202" t="s">
        <v>1085</v>
      </c>
      <c r="AC401" s="165" t="s">
        <v>865</v>
      </c>
      <c r="AD401" s="154" t="s">
        <v>1096</v>
      </c>
      <c r="AF401" s="158"/>
    </row>
    <row r="402" spans="1:33" ht="24" customHeight="1">
      <c r="A402" s="175">
        <f t="shared" si="27"/>
        <v>237</v>
      </c>
      <c r="B402" s="176" t="s">
        <v>1090</v>
      </c>
      <c r="C402" s="174">
        <v>69.2</v>
      </c>
      <c r="D402" s="176" t="s">
        <v>576</v>
      </c>
      <c r="H402" s="154" t="s">
        <v>789</v>
      </c>
      <c r="J402" s="158">
        <f>K402-K400</f>
        <v>6.2314999999999827</v>
      </c>
      <c r="K402" s="166">
        <f>(K400+C19/10*F394)</f>
        <v>672.23769030000005</v>
      </c>
      <c r="M402" s="167">
        <v>10</v>
      </c>
      <c r="N402" s="154" t="s">
        <v>916</v>
      </c>
      <c r="O402" s="154" t="s">
        <v>1083</v>
      </c>
      <c r="P402" s="167">
        <f>(R398)</f>
        <v>24.902300000000004</v>
      </c>
      <c r="Q402" s="154" t="s">
        <v>916</v>
      </c>
      <c r="R402" s="167">
        <f>(M402*P402)</f>
        <v>249.02300000000002</v>
      </c>
      <c r="U402" s="199" t="s">
        <v>789</v>
      </c>
      <c r="W402" s="76">
        <f>0.112*C19</f>
        <v>6.3448000000000002</v>
      </c>
      <c r="X402" s="199">
        <f>X400+W402</f>
        <v>718.51864816000011</v>
      </c>
      <c r="AC402" s="156"/>
      <c r="AD402" s="162" t="s">
        <v>534</v>
      </c>
      <c r="AF402" s="158"/>
    </row>
    <row r="403" spans="1:33" ht="24" customHeight="1">
      <c r="A403" s="175">
        <f t="shared" si="27"/>
        <v>238</v>
      </c>
      <c r="B403" s="176" t="s">
        <v>1091</v>
      </c>
      <c r="C403" s="174">
        <v>86.2</v>
      </c>
      <c r="D403" s="176" t="s">
        <v>576</v>
      </c>
      <c r="H403" s="154" t="s">
        <v>793</v>
      </c>
      <c r="J403" s="158">
        <f>K403-K402</f>
        <v>12.559799999999996</v>
      </c>
      <c r="K403" s="166">
        <f>(K402+C20/10*F394)</f>
        <v>684.79749030000005</v>
      </c>
      <c r="M403" s="167">
        <v>10</v>
      </c>
      <c r="N403" s="154" t="s">
        <v>916</v>
      </c>
      <c r="O403" s="154" t="s">
        <v>1097</v>
      </c>
      <c r="P403" s="167">
        <f>(R398/2)</f>
        <v>12.451150000000002</v>
      </c>
      <c r="Q403" s="154" t="s">
        <v>916</v>
      </c>
      <c r="R403" s="167">
        <f>(M403*P403)</f>
        <v>124.51150000000001</v>
      </c>
      <c r="U403" s="199" t="s">
        <v>793</v>
      </c>
      <c r="W403" s="76">
        <f>0.112*C20</f>
        <v>12.78816</v>
      </c>
      <c r="X403" s="199">
        <f>X402+W403</f>
        <v>731.30680816000006</v>
      </c>
      <c r="AB403" s="167">
        <v>1.1399999999999999</v>
      </c>
      <c r="AC403" s="165" t="s">
        <v>577</v>
      </c>
      <c r="AD403" s="154" t="s">
        <v>872</v>
      </c>
      <c r="AE403" s="167">
        <f>(AG398)</f>
        <v>5447.2416499999999</v>
      </c>
      <c r="AF403" s="154" t="s">
        <v>577</v>
      </c>
      <c r="AG403" s="167">
        <f>(AB403*AE403)</f>
        <v>6209.8554809999996</v>
      </c>
    </row>
    <row r="404" spans="1:33" ht="24" customHeight="1">
      <c r="A404" s="175">
        <f t="shared" si="27"/>
        <v>239</v>
      </c>
      <c r="B404" s="176" t="s">
        <v>1035</v>
      </c>
      <c r="C404" s="174">
        <v>115.2</v>
      </c>
      <c r="D404" s="176" t="s">
        <v>576</v>
      </c>
      <c r="H404" s="154" t="s">
        <v>796</v>
      </c>
      <c r="K404" s="166">
        <f>(K403+C21/10*F394)</f>
        <v>697.35729030000005</v>
      </c>
      <c r="O404" s="154" t="s">
        <v>1098</v>
      </c>
      <c r="R404" s="162" t="s">
        <v>534</v>
      </c>
      <c r="U404" s="199" t="s">
        <v>796</v>
      </c>
      <c r="W404" s="76">
        <f>W403</f>
        <v>12.78816</v>
      </c>
      <c r="X404" s="199">
        <f>X403+W404</f>
        <v>744.09496816000001</v>
      </c>
      <c r="AB404" s="167">
        <v>1</v>
      </c>
      <c r="AC404" s="165" t="s">
        <v>680</v>
      </c>
      <c r="AD404" s="154" t="s">
        <v>778</v>
      </c>
      <c r="AE404" s="167">
        <f>AE390</f>
        <v>717.2</v>
      </c>
      <c r="AF404" s="154" t="s">
        <v>576</v>
      </c>
      <c r="AG404" s="167">
        <f>(AB404*AE404)</f>
        <v>717.2</v>
      </c>
    </row>
    <row r="405" spans="1:33" ht="24" customHeight="1">
      <c r="A405" s="175">
        <f t="shared" si="27"/>
        <v>240</v>
      </c>
      <c r="B405" s="245" t="s">
        <v>1099</v>
      </c>
      <c r="C405" s="246">
        <v>246</v>
      </c>
      <c r="D405" s="247" t="s">
        <v>576</v>
      </c>
      <c r="H405" s="154" t="s">
        <v>798</v>
      </c>
      <c r="K405" s="166">
        <f>(K404+C21/10*F394)</f>
        <v>709.91709030000004</v>
      </c>
      <c r="R405" s="167">
        <f>SUM(R402:R403)</f>
        <v>373.53450000000004</v>
      </c>
      <c r="U405" s="199" t="s">
        <v>798</v>
      </c>
      <c r="W405" s="76">
        <f>W403</f>
        <v>12.78816</v>
      </c>
      <c r="X405" s="199">
        <f>X404+W405</f>
        <v>756.88312815999996</v>
      </c>
      <c r="AC405" s="165" t="s">
        <v>589</v>
      </c>
      <c r="AD405" s="154" t="s">
        <v>590</v>
      </c>
      <c r="AE405" s="154" t="s">
        <v>22</v>
      </c>
      <c r="AF405" s="154" t="s">
        <v>589</v>
      </c>
      <c r="AG405" s="167">
        <v>0</v>
      </c>
    </row>
    <row r="406" spans="1:33" ht="24" customHeight="1">
      <c r="A406" s="175">
        <f t="shared" si="27"/>
        <v>241</v>
      </c>
      <c r="B406" s="176" t="s">
        <v>1100</v>
      </c>
      <c r="C406" s="188"/>
      <c r="D406" s="176" t="s">
        <v>22</v>
      </c>
      <c r="H406" s="154" t="s">
        <v>885</v>
      </c>
      <c r="K406" s="166">
        <f>(K405+C21/10*F394)</f>
        <v>722.47689030000004</v>
      </c>
      <c r="L406" s="76">
        <f>K406-K405</f>
        <v>12.559799999999996</v>
      </c>
      <c r="O406" s="154" t="s">
        <v>879</v>
      </c>
      <c r="R406" s="162" t="s">
        <v>534</v>
      </c>
      <c r="U406" s="199" t="s">
        <v>885</v>
      </c>
      <c r="W406" s="76">
        <f>W405</f>
        <v>12.78816</v>
      </c>
      <c r="X406" s="199">
        <f>X405+W406</f>
        <v>769.6712881599999</v>
      </c>
      <c r="AC406" s="156"/>
      <c r="AF406" s="158"/>
      <c r="AG406" s="162" t="s">
        <v>534</v>
      </c>
    </row>
    <row r="407" spans="1:33" ht="24" customHeight="1">
      <c r="A407" s="175">
        <f t="shared" si="27"/>
        <v>242</v>
      </c>
      <c r="B407" s="176" t="s">
        <v>1094</v>
      </c>
      <c r="C407" s="174">
        <v>13.5</v>
      </c>
      <c r="D407" s="176" t="s">
        <v>576</v>
      </c>
      <c r="F407" s="187">
        <v>11</v>
      </c>
      <c r="G407" s="165" t="s">
        <v>307</v>
      </c>
      <c r="H407" s="154" t="s">
        <v>1101</v>
      </c>
      <c r="L407" s="76">
        <f>K406+L406</f>
        <v>735.03669030000003</v>
      </c>
      <c r="R407" s="167">
        <f>(R405/10)</f>
        <v>37.353450000000002</v>
      </c>
      <c r="S407" s="159">
        <v>11</v>
      </c>
      <c r="T407" s="76" t="s">
        <v>307</v>
      </c>
      <c r="U407" s="76" t="s">
        <v>1101</v>
      </c>
      <c r="AC407" s="156"/>
      <c r="AD407" s="154" t="s">
        <v>879</v>
      </c>
      <c r="AF407" s="158"/>
      <c r="AG407" s="167">
        <f>SUM(AG403:AG405)</f>
        <v>6927.0554809999994</v>
      </c>
    </row>
    <row r="408" spans="1:33" ht="24" customHeight="1">
      <c r="A408" s="175">
        <f t="shared" si="27"/>
        <v>243</v>
      </c>
      <c r="B408" s="176" t="s">
        <v>1087</v>
      </c>
      <c r="C408" s="174">
        <v>15.8</v>
      </c>
      <c r="D408" s="176" t="s">
        <v>576</v>
      </c>
      <c r="H408" s="167" t="str">
        <f>H309</f>
        <v>Bricks of size 22x11x7 cm</v>
      </c>
      <c r="O408" s="154" t="s">
        <v>881</v>
      </c>
      <c r="R408" s="162" t="s">
        <v>528</v>
      </c>
      <c r="U408" s="76" t="s">
        <v>1033</v>
      </c>
      <c r="AC408" s="156"/>
      <c r="AF408" s="158"/>
      <c r="AG408" s="162" t="s">
        <v>534</v>
      </c>
    </row>
    <row r="409" spans="1:33" ht="24" customHeight="1">
      <c r="A409" s="175">
        <f t="shared" si="27"/>
        <v>244</v>
      </c>
      <c r="B409" s="176" t="s">
        <v>1089</v>
      </c>
      <c r="C409" s="174">
        <v>28.4</v>
      </c>
      <c r="D409" s="176" t="s">
        <v>576</v>
      </c>
      <c r="H409" s="162" t="s">
        <v>534</v>
      </c>
      <c r="U409" s="76" t="s">
        <v>534</v>
      </c>
      <c r="AC409" s="156"/>
      <c r="AD409" s="154" t="s">
        <v>881</v>
      </c>
      <c r="AF409" s="158"/>
      <c r="AG409" s="166">
        <f>(AG407/10)</f>
        <v>692.70554809999999</v>
      </c>
    </row>
    <row r="410" spans="1:33" ht="24" customHeight="1">
      <c r="A410" s="175">
        <f t="shared" si="27"/>
        <v>245</v>
      </c>
      <c r="B410" s="176" t="s">
        <v>1090</v>
      </c>
      <c r="C410" s="174">
        <v>46.1</v>
      </c>
      <c r="D410" s="176" t="s">
        <v>576</v>
      </c>
      <c r="F410" s="167">
        <f>F311</f>
        <v>4800</v>
      </c>
      <c r="G410" s="165" t="s">
        <v>773</v>
      </c>
      <c r="H410" s="167" t="str">
        <f>H309</f>
        <v>Bricks of size 22x11x7 cm</v>
      </c>
      <c r="I410" s="167">
        <f>(C80)</f>
        <v>5522.69</v>
      </c>
      <c r="J410" s="154" t="s">
        <v>891</v>
      </c>
      <c r="K410" s="167">
        <f>(F410*I410)/1000</f>
        <v>26508.911999999997</v>
      </c>
      <c r="N410" s="154" t="s">
        <v>307</v>
      </c>
      <c r="O410" s="154" t="s">
        <v>1102</v>
      </c>
      <c r="S410" s="159">
        <v>4600</v>
      </c>
      <c r="T410" s="76" t="s">
        <v>773</v>
      </c>
      <c r="U410" s="76" t="s">
        <v>1033</v>
      </c>
      <c r="V410" s="76">
        <f t="shared" ref="V410:V415" si="29">V379</f>
        <v>6449.19</v>
      </c>
      <c r="W410" s="76" t="s">
        <v>891</v>
      </c>
      <c r="X410" s="76">
        <f>V410*S410/1000</f>
        <v>29666.274000000001</v>
      </c>
      <c r="AC410" s="156"/>
      <c r="AF410" s="158"/>
      <c r="AG410" s="162" t="s">
        <v>528</v>
      </c>
    </row>
    <row r="411" spans="1:33" ht="24" customHeight="1">
      <c r="A411" s="175">
        <f t="shared" ref="A411:A421" si="30">(A410+1)</f>
        <v>246</v>
      </c>
      <c r="B411" s="176" t="s">
        <v>1091</v>
      </c>
      <c r="C411" s="174">
        <v>57.6</v>
      </c>
      <c r="D411" s="176" t="s">
        <v>576</v>
      </c>
      <c r="F411" s="167">
        <f>F380</f>
        <v>1.59</v>
      </c>
      <c r="G411" s="165" t="s">
        <v>577</v>
      </c>
      <c r="H411" s="154" t="s">
        <v>702</v>
      </c>
      <c r="I411" s="167">
        <f>(K40)</f>
        <v>3667.67</v>
      </c>
      <c r="J411" s="154" t="s">
        <v>577</v>
      </c>
      <c r="K411" s="167">
        <f>(F411*I411)</f>
        <v>5831.5953000000009</v>
      </c>
      <c r="O411" s="154" t="s">
        <v>1103</v>
      </c>
      <c r="S411" s="159">
        <v>1.59</v>
      </c>
      <c r="T411" s="76" t="s">
        <v>577</v>
      </c>
      <c r="U411" s="76" t="s">
        <v>702</v>
      </c>
      <c r="V411" s="76">
        <f t="shared" si="29"/>
        <v>3667.67</v>
      </c>
      <c r="W411" s="76" t="s">
        <v>577</v>
      </c>
      <c r="X411" s="76">
        <f t="shared" ref="X411:X416" si="31">V411*S411</f>
        <v>5831.5953000000009</v>
      </c>
      <c r="AC411" s="156"/>
      <c r="AD411" s="154" t="s">
        <v>789</v>
      </c>
      <c r="AF411" s="158">
        <v>6.46</v>
      </c>
      <c r="AG411" s="166">
        <f>AG409+AF411</f>
        <v>699.16554810000002</v>
      </c>
    </row>
    <row r="412" spans="1:33" ht="24" customHeight="1">
      <c r="A412" s="175">
        <f t="shared" si="30"/>
        <v>247</v>
      </c>
      <c r="B412" s="176" t="s">
        <v>1035</v>
      </c>
      <c r="C412" s="174">
        <v>69.2</v>
      </c>
      <c r="D412" s="176" t="s">
        <v>576</v>
      </c>
      <c r="F412" s="167">
        <v>7</v>
      </c>
      <c r="G412" s="165" t="s">
        <v>576</v>
      </c>
      <c r="H412" s="154" t="s">
        <v>778</v>
      </c>
      <c r="I412" s="167">
        <f>(C10)</f>
        <v>717.2</v>
      </c>
      <c r="J412" s="154" t="s">
        <v>576</v>
      </c>
      <c r="K412" s="167">
        <f>(F412*I412)</f>
        <v>5020.4000000000005</v>
      </c>
      <c r="O412" s="162" t="s">
        <v>534</v>
      </c>
      <c r="S412" s="159">
        <v>7</v>
      </c>
      <c r="T412" s="76" t="s">
        <v>576</v>
      </c>
      <c r="U412" s="76" t="s">
        <v>778</v>
      </c>
      <c r="V412" s="76">
        <f t="shared" si="29"/>
        <v>717.2</v>
      </c>
      <c r="W412" s="76" t="s">
        <v>576</v>
      </c>
      <c r="X412" s="76">
        <f t="shared" si="31"/>
        <v>5020.4000000000005</v>
      </c>
      <c r="AC412" s="156"/>
      <c r="AD412" s="154" t="s">
        <v>793</v>
      </c>
      <c r="AF412" s="158">
        <v>13.02</v>
      </c>
      <c r="AG412" s="166">
        <f t="shared" ref="AG412:AG420" si="32">AG411+AF412</f>
        <v>712.18554810000001</v>
      </c>
    </row>
    <row r="413" spans="1:33" ht="24" customHeight="1">
      <c r="A413" s="175">
        <f t="shared" si="30"/>
        <v>248</v>
      </c>
      <c r="B413" s="245" t="s">
        <v>1104</v>
      </c>
      <c r="C413" s="246">
        <v>212</v>
      </c>
      <c r="D413" s="247" t="s">
        <v>576</v>
      </c>
      <c r="F413" s="167">
        <v>7.1</v>
      </c>
      <c r="G413" s="165" t="s">
        <v>576</v>
      </c>
      <c r="H413" s="154" t="s">
        <v>752</v>
      </c>
      <c r="I413" s="167">
        <f>(C11)</f>
        <v>669.90000000000009</v>
      </c>
      <c r="J413" s="154" t="s">
        <v>576</v>
      </c>
      <c r="K413" s="167">
        <f>(F413*I413)</f>
        <v>4756.29</v>
      </c>
      <c r="M413" s="167">
        <v>10</v>
      </c>
      <c r="N413" s="154" t="s">
        <v>916</v>
      </c>
      <c r="O413" s="154" t="s">
        <v>1073</v>
      </c>
      <c r="P413" s="167">
        <f>(R384)</f>
        <v>17.116500000000002</v>
      </c>
      <c r="Q413" s="154" t="s">
        <v>916</v>
      </c>
      <c r="R413" s="167">
        <f>(M413*P413)</f>
        <v>171.16500000000002</v>
      </c>
      <c r="S413" s="159">
        <v>7.1</v>
      </c>
      <c r="T413" s="76" t="s">
        <v>576</v>
      </c>
      <c r="U413" s="76" t="s">
        <v>752</v>
      </c>
      <c r="V413" s="76">
        <f t="shared" si="29"/>
        <v>669.90000000000009</v>
      </c>
      <c r="W413" s="76" t="s">
        <v>576</v>
      </c>
      <c r="X413" s="76">
        <f t="shared" si="31"/>
        <v>4756.29</v>
      </c>
      <c r="AC413" s="156"/>
      <c r="AD413" s="154" t="s">
        <v>796</v>
      </c>
      <c r="AF413" s="158">
        <f t="shared" ref="AF413:AF422" si="33">AF412</f>
        <v>13.02</v>
      </c>
      <c r="AG413" s="166">
        <f t="shared" si="32"/>
        <v>725.20554809999999</v>
      </c>
    </row>
    <row r="414" spans="1:33" ht="24" customHeight="1">
      <c r="A414" s="175">
        <f t="shared" si="30"/>
        <v>249</v>
      </c>
      <c r="B414" s="248" t="s">
        <v>1105</v>
      </c>
      <c r="C414" s="188"/>
      <c r="D414" s="176" t="s">
        <v>22</v>
      </c>
      <c r="F414" s="167">
        <v>7.1</v>
      </c>
      <c r="G414" s="165" t="s">
        <v>576</v>
      </c>
      <c r="H414" s="154" t="s">
        <v>754</v>
      </c>
      <c r="I414" s="167">
        <f>(C12)</f>
        <v>468.6</v>
      </c>
      <c r="J414" s="154" t="s">
        <v>576</v>
      </c>
      <c r="K414" s="167">
        <f>(F414*I414)</f>
        <v>3327.06</v>
      </c>
      <c r="M414" s="167">
        <v>10</v>
      </c>
      <c r="N414" s="154" t="s">
        <v>916</v>
      </c>
      <c r="O414" s="154" t="s">
        <v>1095</v>
      </c>
      <c r="P414" s="167">
        <f>(R407)</f>
        <v>37.353450000000002</v>
      </c>
      <c r="Q414" s="154" t="s">
        <v>916</v>
      </c>
      <c r="R414" s="167">
        <f>(M414*P414)</f>
        <v>373.53450000000004</v>
      </c>
      <c r="S414" s="159">
        <v>7.1</v>
      </c>
      <c r="T414" s="76" t="s">
        <v>576</v>
      </c>
      <c r="U414" s="76" t="s">
        <v>754</v>
      </c>
      <c r="V414" s="76">
        <f t="shared" si="29"/>
        <v>468.6</v>
      </c>
      <c r="W414" s="76" t="s">
        <v>576</v>
      </c>
      <c r="X414" s="76">
        <f t="shared" si="31"/>
        <v>3327.06</v>
      </c>
      <c r="AC414" s="156"/>
      <c r="AD414" s="154" t="s">
        <v>798</v>
      </c>
      <c r="AF414" s="158">
        <f t="shared" si="33"/>
        <v>13.02</v>
      </c>
      <c r="AG414" s="166">
        <f t="shared" si="32"/>
        <v>738.22554809999997</v>
      </c>
    </row>
    <row r="415" spans="1:33" ht="24" customHeight="1">
      <c r="A415" s="175">
        <f t="shared" si="30"/>
        <v>250</v>
      </c>
      <c r="B415" s="176" t="s">
        <v>1094</v>
      </c>
      <c r="C415" s="174">
        <v>15.8</v>
      </c>
      <c r="D415" s="176" t="s">
        <v>576</v>
      </c>
      <c r="F415" s="167">
        <v>21.2</v>
      </c>
      <c r="G415" s="165" t="s">
        <v>576</v>
      </c>
      <c r="H415" s="154" t="s">
        <v>756</v>
      </c>
      <c r="I415" s="167">
        <f>(C13)</f>
        <v>404.8</v>
      </c>
      <c r="J415" s="154" t="s">
        <v>576</v>
      </c>
      <c r="K415" s="167">
        <f>(F415*I415)</f>
        <v>8581.76</v>
      </c>
      <c r="O415" s="154" t="s">
        <v>22</v>
      </c>
      <c r="R415" s="162" t="s">
        <v>534</v>
      </c>
      <c r="S415" s="159">
        <v>21.2</v>
      </c>
      <c r="T415" s="76" t="s">
        <v>576</v>
      </c>
      <c r="U415" s="76" t="s">
        <v>756</v>
      </c>
      <c r="V415" s="76">
        <f t="shared" si="29"/>
        <v>404.8</v>
      </c>
      <c r="W415" s="76" t="s">
        <v>576</v>
      </c>
      <c r="X415" s="76">
        <f t="shared" si="31"/>
        <v>8581.76</v>
      </c>
      <c r="AC415" s="156"/>
      <c r="AD415" s="154" t="s">
        <v>885</v>
      </c>
      <c r="AF415" s="158">
        <f t="shared" si="33"/>
        <v>13.02</v>
      </c>
      <c r="AG415" s="166">
        <f t="shared" si="32"/>
        <v>751.24554809999995</v>
      </c>
    </row>
    <row r="416" spans="1:33" ht="24" customHeight="1">
      <c r="A416" s="175">
        <f t="shared" si="30"/>
        <v>251</v>
      </c>
      <c r="B416" s="176" t="s">
        <v>1087</v>
      </c>
      <c r="C416" s="174">
        <v>25.2</v>
      </c>
      <c r="D416" s="176" t="s">
        <v>576</v>
      </c>
      <c r="G416" s="165" t="s">
        <v>589</v>
      </c>
      <c r="H416" s="154" t="s">
        <v>590</v>
      </c>
      <c r="I416" s="154" t="s">
        <v>22</v>
      </c>
      <c r="J416" s="154" t="s">
        <v>589</v>
      </c>
      <c r="K416" s="167">
        <v>0</v>
      </c>
      <c r="R416" s="167">
        <f>SUM(R413:R414)</f>
        <v>544.69950000000006</v>
      </c>
      <c r="T416" s="76" t="s">
        <v>589</v>
      </c>
      <c r="U416" s="76" t="s">
        <v>590</v>
      </c>
      <c r="V416" s="76" t="s">
        <v>22</v>
      </c>
      <c r="W416" s="76" t="s">
        <v>589</v>
      </c>
      <c r="X416" s="76">
        <f t="shared" si="31"/>
        <v>0</v>
      </c>
      <c r="AC416" s="156"/>
      <c r="AD416" s="154" t="s">
        <v>1106</v>
      </c>
      <c r="AF416" s="158">
        <f t="shared" si="33"/>
        <v>13.02</v>
      </c>
      <c r="AG416" s="166">
        <f t="shared" si="32"/>
        <v>764.26554809999993</v>
      </c>
    </row>
    <row r="417" spans="1:35" ht="24" customHeight="1">
      <c r="A417" s="175">
        <f t="shared" si="30"/>
        <v>252</v>
      </c>
      <c r="B417" s="176" t="s">
        <v>1089</v>
      </c>
      <c r="C417" s="174">
        <v>57.6</v>
      </c>
      <c r="D417" s="176" t="s">
        <v>576</v>
      </c>
      <c r="K417" s="162" t="s">
        <v>534</v>
      </c>
      <c r="O417" s="154" t="s">
        <v>879</v>
      </c>
      <c r="R417" s="162" t="s">
        <v>534</v>
      </c>
      <c r="X417" s="202" t="s">
        <v>1082</v>
      </c>
      <c r="AC417" s="156"/>
      <c r="AD417" s="154" t="s">
        <v>1107</v>
      </c>
      <c r="AF417" s="158">
        <f t="shared" si="33"/>
        <v>13.02</v>
      </c>
      <c r="AG417" s="166">
        <f t="shared" si="32"/>
        <v>777.28554809999991</v>
      </c>
    </row>
    <row r="418" spans="1:35" ht="24" customHeight="1">
      <c r="A418" s="175">
        <f t="shared" si="30"/>
        <v>253</v>
      </c>
      <c r="B418" s="176" t="s">
        <v>1090</v>
      </c>
      <c r="C418" s="174">
        <v>86.2</v>
      </c>
      <c r="D418" s="176" t="s">
        <v>576</v>
      </c>
      <c r="H418" s="154" t="s">
        <v>760</v>
      </c>
      <c r="K418" s="167">
        <f>SUM(K410:K416)</f>
        <v>54026.0173</v>
      </c>
      <c r="R418" s="167">
        <f>(R416/10)</f>
        <v>54.469950000000004</v>
      </c>
      <c r="U418" s="76" t="s">
        <v>760</v>
      </c>
      <c r="X418" s="76">
        <f>SUM(X410:X416)</f>
        <v>57183.379300000008</v>
      </c>
      <c r="AC418" s="156"/>
      <c r="AD418" s="154" t="s">
        <v>1108</v>
      </c>
      <c r="AF418" s="158">
        <f t="shared" si="33"/>
        <v>13.02</v>
      </c>
      <c r="AG418" s="166">
        <f t="shared" si="32"/>
        <v>790.3055480999999</v>
      </c>
    </row>
    <row r="419" spans="1:35" ht="24" customHeight="1">
      <c r="A419" s="175">
        <f t="shared" si="30"/>
        <v>254</v>
      </c>
      <c r="B419" s="176" t="s">
        <v>1091</v>
      </c>
      <c r="C419" s="174">
        <v>97.7</v>
      </c>
      <c r="D419" s="176" t="s">
        <v>576</v>
      </c>
      <c r="K419" s="162" t="s">
        <v>534</v>
      </c>
      <c r="O419" s="154" t="s">
        <v>881</v>
      </c>
      <c r="R419" s="162" t="s">
        <v>528</v>
      </c>
      <c r="X419" s="202" t="s">
        <v>1082</v>
      </c>
      <c r="AC419" s="156"/>
      <c r="AD419" s="154" t="s">
        <v>1109</v>
      </c>
      <c r="AF419" s="158">
        <f t="shared" si="33"/>
        <v>13.02</v>
      </c>
      <c r="AG419" s="166">
        <f>AG418+AF419</f>
        <v>803.32554809999988</v>
      </c>
    </row>
    <row r="420" spans="1:35" ht="24" customHeight="1">
      <c r="A420" s="175">
        <f t="shared" si="30"/>
        <v>255</v>
      </c>
      <c r="B420" s="176" t="s">
        <v>1035</v>
      </c>
      <c r="C420" s="174">
        <v>126.8</v>
      </c>
      <c r="D420" s="176" t="s">
        <v>576</v>
      </c>
      <c r="H420" s="154" t="s">
        <v>685</v>
      </c>
      <c r="K420" s="167">
        <f>(K418/10)</f>
        <v>5402.6017300000003</v>
      </c>
      <c r="U420" s="76" t="s">
        <v>685</v>
      </c>
      <c r="X420" s="76">
        <f>X418/10</f>
        <v>5718.3379300000006</v>
      </c>
      <c r="AC420" s="156"/>
      <c r="AD420" s="154" t="s">
        <v>1110</v>
      </c>
      <c r="AF420" s="158">
        <f t="shared" si="33"/>
        <v>13.02</v>
      </c>
      <c r="AG420" s="166">
        <f t="shared" si="32"/>
        <v>816.34554809999986</v>
      </c>
    </row>
    <row r="421" spans="1:35" ht="24" customHeight="1">
      <c r="A421" s="175">
        <f t="shared" si="30"/>
        <v>256</v>
      </c>
      <c r="B421" s="247" t="s">
        <v>1104</v>
      </c>
      <c r="C421" s="246">
        <v>283</v>
      </c>
      <c r="D421" s="247" t="s">
        <v>576</v>
      </c>
      <c r="K421" s="162" t="s">
        <v>528</v>
      </c>
      <c r="X421" s="202" t="s">
        <v>1085</v>
      </c>
      <c r="AB421" s="187">
        <v>11</v>
      </c>
      <c r="AC421" s="165" t="s">
        <v>307</v>
      </c>
      <c r="AD421" s="154" t="s">
        <v>1101</v>
      </c>
      <c r="AF421" s="158">
        <f t="shared" si="33"/>
        <v>13.02</v>
      </c>
      <c r="AG421" s="166">
        <f>AG420+AF421</f>
        <v>829.36554809999984</v>
      </c>
    </row>
    <row r="422" spans="1:35" ht="24" customHeight="1">
      <c r="A422" s="188"/>
      <c r="B422" s="188"/>
      <c r="C422" s="188"/>
      <c r="D422" s="188"/>
      <c r="F422" s="154" t="s">
        <v>535</v>
      </c>
      <c r="S422" s="159" t="s">
        <v>535</v>
      </c>
      <c r="AC422" s="156"/>
      <c r="AD422" s="167">
        <f>AD307</f>
        <v>0</v>
      </c>
      <c r="AF422" s="158">
        <f t="shared" si="33"/>
        <v>13.02</v>
      </c>
      <c r="AG422" s="166">
        <f>AG421+AF422</f>
        <v>842.38554809999982</v>
      </c>
      <c r="AH422" s="76" t="s">
        <v>1111</v>
      </c>
      <c r="AI422" s="76">
        <f>AG422+AF422</f>
        <v>855.40554809999981</v>
      </c>
    </row>
    <row r="423" spans="1:35" ht="24" customHeight="1">
      <c r="A423" s="175">
        <f>(A421+1)</f>
        <v>257</v>
      </c>
      <c r="B423" s="248" t="s">
        <v>1112</v>
      </c>
      <c r="C423" s="188"/>
      <c r="D423" s="176" t="s">
        <v>22</v>
      </c>
      <c r="O423" s="155" t="s">
        <v>1113</v>
      </c>
      <c r="AC423" s="156"/>
      <c r="AD423" s="162" t="s">
        <v>534</v>
      </c>
      <c r="AF423" s="158"/>
      <c r="AH423" s="76" t="s">
        <v>1114</v>
      </c>
      <c r="AI423" s="76">
        <f>AI422+AF422</f>
        <v>868.42554809999979</v>
      </c>
    </row>
    <row r="424" spans="1:35" ht="24" customHeight="1">
      <c r="A424" s="175">
        <f t="shared" ref="A424:A487" si="34">(A423+1)</f>
        <v>258</v>
      </c>
      <c r="B424" s="176" t="s">
        <v>1094</v>
      </c>
      <c r="C424" s="174">
        <v>57.6</v>
      </c>
      <c r="D424" s="176" t="s">
        <v>576</v>
      </c>
      <c r="G424" s="165" t="s">
        <v>898</v>
      </c>
      <c r="H424" s="154" t="s">
        <v>899</v>
      </c>
      <c r="O424" s="162" t="s">
        <v>534</v>
      </c>
      <c r="T424" s="76" t="s">
        <v>898</v>
      </c>
      <c r="U424" s="76" t="s">
        <v>899</v>
      </c>
      <c r="AB424" s="167">
        <f>AB311</f>
        <v>4240</v>
      </c>
      <c r="AC424" s="165" t="s">
        <v>773</v>
      </c>
      <c r="AD424" s="167" t="str">
        <f>AD311</f>
        <v>Bricks of size 23x11.4x7.5 cm</v>
      </c>
      <c r="AE424" s="167">
        <f t="shared" ref="AE424:AE429" si="35">AE388</f>
        <v>6634.19</v>
      </c>
      <c r="AF424" s="154" t="s">
        <v>891</v>
      </c>
      <c r="AG424" s="167">
        <f>(AB424*AE424)/1000</f>
        <v>28128.9656</v>
      </c>
    </row>
    <row r="425" spans="1:35" ht="24" customHeight="1">
      <c r="A425" s="175">
        <f t="shared" si="34"/>
        <v>259</v>
      </c>
      <c r="B425" s="176" t="s">
        <v>1087</v>
      </c>
      <c r="C425" s="174">
        <v>69.2</v>
      </c>
      <c r="D425" s="176" t="s">
        <v>576</v>
      </c>
      <c r="H425" s="162" t="s">
        <v>534</v>
      </c>
      <c r="N425" s="154" t="s">
        <v>307</v>
      </c>
      <c r="O425" s="154" t="s">
        <v>1115</v>
      </c>
      <c r="U425" s="76" t="s">
        <v>534</v>
      </c>
      <c r="AB425" s="167">
        <v>1.27</v>
      </c>
      <c r="AC425" s="165" t="s">
        <v>577</v>
      </c>
      <c r="AD425" s="154" t="s">
        <v>702</v>
      </c>
      <c r="AE425" s="167">
        <f t="shared" si="35"/>
        <v>3667.67</v>
      </c>
      <c r="AF425" s="154" t="s">
        <v>577</v>
      </c>
      <c r="AG425" s="167">
        <f>(AB425*AE425)</f>
        <v>4657.9409000000005</v>
      </c>
    </row>
    <row r="426" spans="1:35" ht="24" customHeight="1">
      <c r="A426" s="175">
        <f t="shared" si="34"/>
        <v>260</v>
      </c>
      <c r="B426" s="176" t="s">
        <v>1089</v>
      </c>
      <c r="C426" s="174">
        <v>97.7</v>
      </c>
      <c r="D426" s="176" t="s">
        <v>576</v>
      </c>
      <c r="F426" s="167">
        <v>0.7</v>
      </c>
      <c r="G426" s="165" t="s">
        <v>577</v>
      </c>
      <c r="H426" s="154" t="s">
        <v>900</v>
      </c>
      <c r="I426" s="167">
        <f>(K420)</f>
        <v>5402.6017300000003</v>
      </c>
      <c r="J426" s="154" t="s">
        <v>576</v>
      </c>
      <c r="K426" s="167">
        <f>(F426*I426)</f>
        <v>3781.8212109999999</v>
      </c>
      <c r="O426" s="154" t="s">
        <v>1116</v>
      </c>
      <c r="S426" s="159">
        <v>0.7</v>
      </c>
      <c r="T426" s="76" t="s">
        <v>577</v>
      </c>
      <c r="U426" s="76" t="s">
        <v>900</v>
      </c>
      <c r="V426" s="76">
        <f>X420</f>
        <v>5718.3379300000006</v>
      </c>
      <c r="W426" s="76" t="s">
        <v>576</v>
      </c>
      <c r="X426" s="76">
        <f>V426*S426</f>
        <v>4002.8365510000003</v>
      </c>
      <c r="AB426" s="167">
        <v>7</v>
      </c>
      <c r="AC426" s="165" t="s">
        <v>576</v>
      </c>
      <c r="AD426" s="154" t="s">
        <v>778</v>
      </c>
      <c r="AE426" s="167">
        <f t="shared" si="35"/>
        <v>717.2</v>
      </c>
      <c r="AF426" s="154" t="s">
        <v>576</v>
      </c>
      <c r="AG426" s="167">
        <f>(AB426*AE426)</f>
        <v>5020.4000000000005</v>
      </c>
    </row>
    <row r="427" spans="1:35" ht="24" customHeight="1">
      <c r="A427" s="175">
        <f t="shared" si="34"/>
        <v>261</v>
      </c>
      <c r="B427" s="176" t="s">
        <v>1090</v>
      </c>
      <c r="C427" s="174">
        <v>126.3</v>
      </c>
      <c r="D427" s="176" t="s">
        <v>576</v>
      </c>
      <c r="F427" s="167">
        <v>1</v>
      </c>
      <c r="G427" s="165" t="s">
        <v>680</v>
      </c>
      <c r="H427" s="154" t="s">
        <v>778</v>
      </c>
      <c r="I427" s="167">
        <f>(C10)</f>
        <v>717.2</v>
      </c>
      <c r="J427" s="154" t="s">
        <v>576</v>
      </c>
      <c r="K427" s="167">
        <f>(F427*I427)</f>
        <v>717.2</v>
      </c>
      <c r="O427" s="154" t="s">
        <v>1117</v>
      </c>
      <c r="S427" s="159">
        <v>1</v>
      </c>
      <c r="T427" s="76" t="s">
        <v>680</v>
      </c>
      <c r="U427" s="76" t="s">
        <v>778</v>
      </c>
      <c r="V427" s="76">
        <f>V395</f>
        <v>717.2</v>
      </c>
      <c r="W427" s="76" t="s">
        <v>576</v>
      </c>
      <c r="X427" s="76">
        <f>V427*S427</f>
        <v>717.2</v>
      </c>
      <c r="AB427" s="167">
        <v>7.1</v>
      </c>
      <c r="AC427" s="165" t="s">
        <v>576</v>
      </c>
      <c r="AD427" s="154" t="s">
        <v>752</v>
      </c>
      <c r="AE427" s="167">
        <f t="shared" si="35"/>
        <v>669.90000000000009</v>
      </c>
      <c r="AF427" s="154" t="s">
        <v>576</v>
      </c>
      <c r="AG427" s="167">
        <f>(AB427*AE427)</f>
        <v>4756.29</v>
      </c>
    </row>
    <row r="428" spans="1:35" ht="24" customHeight="1">
      <c r="A428" s="175">
        <f t="shared" si="34"/>
        <v>262</v>
      </c>
      <c r="B428" s="176" t="s">
        <v>1091</v>
      </c>
      <c r="C428" s="174">
        <v>195.6</v>
      </c>
      <c r="D428" s="176" t="s">
        <v>576</v>
      </c>
      <c r="G428" s="165" t="s">
        <v>589</v>
      </c>
      <c r="H428" s="154" t="s">
        <v>590</v>
      </c>
      <c r="I428" s="154" t="s">
        <v>22</v>
      </c>
      <c r="J428" s="154" t="s">
        <v>589</v>
      </c>
      <c r="K428" s="167">
        <v>0</v>
      </c>
      <c r="O428" s="162" t="s">
        <v>534</v>
      </c>
      <c r="T428" s="76" t="s">
        <v>589</v>
      </c>
      <c r="U428" s="76" t="s">
        <v>590</v>
      </c>
      <c r="V428" s="76" t="s">
        <v>22</v>
      </c>
      <c r="W428" s="76" t="s">
        <v>589</v>
      </c>
      <c r="X428" s="76">
        <v>0</v>
      </c>
      <c r="AB428" s="167">
        <f>AB315</f>
        <v>7.1</v>
      </c>
      <c r="AC428" s="165" t="s">
        <v>576</v>
      </c>
      <c r="AD428" s="154" t="s">
        <v>754</v>
      </c>
      <c r="AE428" s="167">
        <f t="shared" si="35"/>
        <v>468.6</v>
      </c>
      <c r="AF428" s="154" t="s">
        <v>576</v>
      </c>
      <c r="AG428" s="167">
        <f>(AB428*AE428)</f>
        <v>3327.06</v>
      </c>
    </row>
    <row r="429" spans="1:35" ht="39" customHeight="1">
      <c r="A429" s="175">
        <f t="shared" si="34"/>
        <v>263</v>
      </c>
      <c r="B429" s="176" t="s">
        <v>1035</v>
      </c>
      <c r="C429" s="174">
        <v>263.7</v>
      </c>
      <c r="D429" s="176" t="s">
        <v>576</v>
      </c>
      <c r="K429" s="162" t="s">
        <v>534</v>
      </c>
      <c r="N429" s="154" t="s">
        <v>1118</v>
      </c>
      <c r="O429" s="155" t="s">
        <v>1119</v>
      </c>
      <c r="X429" s="202" t="s">
        <v>1082</v>
      </c>
      <c r="AB429" s="167">
        <f>AB316</f>
        <v>21.2</v>
      </c>
      <c r="AC429" s="165" t="s">
        <v>576</v>
      </c>
      <c r="AD429" s="154" t="s">
        <v>756</v>
      </c>
      <c r="AE429" s="167">
        <f t="shared" si="35"/>
        <v>404.8</v>
      </c>
      <c r="AF429" s="154" t="s">
        <v>576</v>
      </c>
      <c r="AG429" s="167">
        <f>(AB429*AE429)</f>
        <v>8581.76</v>
      </c>
    </row>
    <row r="430" spans="1:35" ht="34.5" customHeight="1">
      <c r="A430" s="175">
        <f t="shared" si="34"/>
        <v>264</v>
      </c>
      <c r="B430" s="247" t="s">
        <v>1120</v>
      </c>
      <c r="C430" s="246">
        <v>558</v>
      </c>
      <c r="D430" s="247" t="s">
        <v>576</v>
      </c>
      <c r="H430" s="154" t="s">
        <v>879</v>
      </c>
      <c r="K430" s="167">
        <f>SUM(K426:K428)</f>
        <v>4499.0212110000002</v>
      </c>
      <c r="O430" s="162" t="s">
        <v>534</v>
      </c>
      <c r="U430" s="76" t="s">
        <v>879</v>
      </c>
      <c r="X430" s="76">
        <f>SUM(X426:X428)</f>
        <v>4720.0365510000001</v>
      </c>
      <c r="AB430" s="167">
        <f>AB317</f>
        <v>0</v>
      </c>
      <c r="AC430" s="165" t="s">
        <v>589</v>
      </c>
      <c r="AD430" s="154" t="s">
        <v>590</v>
      </c>
      <c r="AE430" s="154" t="s">
        <v>22</v>
      </c>
      <c r="AF430" s="154" t="s">
        <v>589</v>
      </c>
      <c r="AG430" s="167">
        <v>0</v>
      </c>
    </row>
    <row r="431" spans="1:35" ht="24" customHeight="1">
      <c r="A431" s="175">
        <f t="shared" si="34"/>
        <v>265</v>
      </c>
      <c r="B431" s="176" t="s">
        <v>1121</v>
      </c>
      <c r="C431" s="188"/>
      <c r="D431" s="176" t="s">
        <v>22</v>
      </c>
      <c r="K431" s="162" t="s">
        <v>534</v>
      </c>
      <c r="M431" s="167">
        <v>8.1</v>
      </c>
      <c r="N431" s="154" t="s">
        <v>577</v>
      </c>
      <c r="O431" s="154" t="s">
        <v>1122</v>
      </c>
      <c r="P431" s="167">
        <f>(C61)*2</f>
        <v>160.82</v>
      </c>
      <c r="Q431" s="154" t="s">
        <v>577</v>
      </c>
      <c r="R431" s="167">
        <f>(M431*P431)</f>
        <v>1302.6419999999998</v>
      </c>
      <c r="X431" s="202" t="s">
        <v>1082</v>
      </c>
      <c r="AB431" s="167">
        <f>AB318</f>
        <v>0</v>
      </c>
      <c r="AC431" s="156"/>
      <c r="AF431" s="158"/>
      <c r="AG431" s="162" t="s">
        <v>534</v>
      </c>
    </row>
    <row r="432" spans="1:35" ht="30.75" customHeight="1">
      <c r="A432" s="175">
        <f t="shared" si="34"/>
        <v>266</v>
      </c>
      <c r="B432" s="176" t="s">
        <v>1094</v>
      </c>
      <c r="C432" s="177">
        <v>1.8</v>
      </c>
      <c r="D432" s="176" t="s">
        <v>576</v>
      </c>
      <c r="H432" s="154" t="s">
        <v>881</v>
      </c>
      <c r="K432" s="167">
        <f>(K430/10)</f>
        <v>449.90212110000004</v>
      </c>
      <c r="M432" s="167">
        <v>8.1</v>
      </c>
      <c r="N432" s="154" t="s">
        <v>577</v>
      </c>
      <c r="O432" s="154" t="s">
        <v>1123</v>
      </c>
      <c r="P432" s="167">
        <f>(C26)</f>
        <v>28.05</v>
      </c>
      <c r="Q432" s="154" t="s">
        <v>577</v>
      </c>
      <c r="R432" s="167">
        <f>(M432*P432)</f>
        <v>227.20499999999998</v>
      </c>
      <c r="U432" s="76" t="s">
        <v>881</v>
      </c>
      <c r="X432" s="76">
        <f>X430/10</f>
        <v>472.0036551</v>
      </c>
      <c r="AB432" s="167">
        <f>AB319</f>
        <v>0</v>
      </c>
      <c r="AC432" s="156"/>
      <c r="AD432" s="154" t="s">
        <v>760</v>
      </c>
      <c r="AF432" s="158"/>
      <c r="AG432" s="167">
        <f>SUM(AG424:AG431)</f>
        <v>54472.416499999999</v>
      </c>
    </row>
    <row r="433" spans="1:33" ht="42" customHeight="1">
      <c r="A433" s="175">
        <f t="shared" si="34"/>
        <v>267</v>
      </c>
      <c r="B433" s="176" t="s">
        <v>1087</v>
      </c>
      <c r="C433" s="177">
        <v>2.9</v>
      </c>
      <c r="D433" s="176" t="s">
        <v>576</v>
      </c>
      <c r="K433" s="162" t="s">
        <v>528</v>
      </c>
      <c r="M433" s="167">
        <v>30</v>
      </c>
      <c r="N433" s="154" t="s">
        <v>410</v>
      </c>
      <c r="O433" s="154" t="s">
        <v>1124</v>
      </c>
      <c r="P433" s="167">
        <f>(C42)</f>
        <v>5</v>
      </c>
      <c r="Q433" s="154" t="s">
        <v>410</v>
      </c>
      <c r="R433" s="167">
        <f>(M433*P433)</f>
        <v>150</v>
      </c>
      <c r="X433" s="202" t="s">
        <v>1085</v>
      </c>
      <c r="AC433" s="156"/>
      <c r="AF433" s="158"/>
      <c r="AG433" s="162" t="s">
        <v>534</v>
      </c>
    </row>
    <row r="434" spans="1:33" ht="24" customHeight="1">
      <c r="A434" s="175">
        <f t="shared" si="34"/>
        <v>268</v>
      </c>
      <c r="B434" s="176" t="s">
        <v>1089</v>
      </c>
      <c r="C434" s="177">
        <v>4</v>
      </c>
      <c r="D434" s="176" t="s">
        <v>576</v>
      </c>
      <c r="H434" s="154" t="s">
        <v>789</v>
      </c>
      <c r="K434" s="166">
        <f>(K432+C19/10*F426)</f>
        <v>453.86762110000006</v>
      </c>
      <c r="O434" s="154" t="s">
        <v>1125</v>
      </c>
      <c r="U434" s="199" t="s">
        <v>789</v>
      </c>
      <c r="W434" s="76">
        <f>0.07*C19</f>
        <v>3.9655000000000005</v>
      </c>
      <c r="X434" s="199">
        <f>X432+W434</f>
        <v>475.96915510000002</v>
      </c>
      <c r="AC434" s="156"/>
      <c r="AD434" s="154" t="s">
        <v>685</v>
      </c>
      <c r="AF434" s="158"/>
      <c r="AG434" s="167">
        <f>(AG432/10)</f>
        <v>5447.2416499999999</v>
      </c>
    </row>
    <row r="435" spans="1:33" ht="24" customHeight="1">
      <c r="A435" s="175">
        <f t="shared" si="34"/>
        <v>269</v>
      </c>
      <c r="B435" s="176" t="s">
        <v>1090</v>
      </c>
      <c r="C435" s="177">
        <v>6.86</v>
      </c>
      <c r="D435" s="176" t="s">
        <v>576</v>
      </c>
      <c r="H435" s="154" t="s">
        <v>793</v>
      </c>
      <c r="K435" s="166">
        <f>(K434+C20/10*F426)</f>
        <v>461.86022110000005</v>
      </c>
      <c r="O435" s="154" t="s">
        <v>1126</v>
      </c>
      <c r="U435" s="199" t="s">
        <v>793</v>
      </c>
      <c r="W435" s="76">
        <f>0.07*C20</f>
        <v>7.9926000000000004</v>
      </c>
      <c r="X435" s="199">
        <f>X434+W435</f>
        <v>483.9617551</v>
      </c>
      <c r="AC435" s="156"/>
      <c r="AF435" s="158"/>
      <c r="AG435" s="162" t="s">
        <v>528</v>
      </c>
    </row>
    <row r="436" spans="1:33" ht="24" customHeight="1">
      <c r="A436" s="175">
        <f t="shared" si="34"/>
        <v>270</v>
      </c>
      <c r="B436" s="176" t="s">
        <v>1091</v>
      </c>
      <c r="C436" s="177">
        <v>9.15</v>
      </c>
      <c r="D436" s="176" t="s">
        <v>576</v>
      </c>
      <c r="H436" s="154" t="s">
        <v>796</v>
      </c>
      <c r="K436" s="166">
        <f>(K435+C21/10*F426)</f>
        <v>469.85282110000003</v>
      </c>
      <c r="O436" s="154" t="s">
        <v>1127</v>
      </c>
      <c r="U436" s="199" t="s">
        <v>796</v>
      </c>
      <c r="W436" s="76">
        <f>W435</f>
        <v>7.9926000000000004</v>
      </c>
      <c r="X436" s="199">
        <f>X435+W436</f>
        <v>491.95435509999999</v>
      </c>
      <c r="AB436" s="154" t="s">
        <v>535</v>
      </c>
      <c r="AC436" s="156"/>
      <c r="AF436" s="158"/>
    </row>
    <row r="437" spans="1:33" ht="24" customHeight="1">
      <c r="A437" s="175">
        <f t="shared" si="34"/>
        <v>271</v>
      </c>
      <c r="B437" s="176" t="s">
        <v>1035</v>
      </c>
      <c r="C437" s="177">
        <v>14.59</v>
      </c>
      <c r="D437" s="176" t="s">
        <v>576</v>
      </c>
      <c r="H437" s="154" t="s">
        <v>798</v>
      </c>
      <c r="K437" s="166">
        <f>(K436+C21/10*F426)</f>
        <v>477.84542110000001</v>
      </c>
      <c r="O437" s="154" t="s">
        <v>1128</v>
      </c>
      <c r="U437" s="199" t="s">
        <v>798</v>
      </c>
      <c r="W437" s="76">
        <f>W436</f>
        <v>7.9926000000000004</v>
      </c>
      <c r="X437" s="199">
        <f>X436+W437</f>
        <v>499.94695509999997</v>
      </c>
      <c r="AC437" s="156"/>
      <c r="AF437" s="158"/>
    </row>
    <row r="438" spans="1:33" ht="24" customHeight="1">
      <c r="A438" s="175"/>
      <c r="B438" s="176"/>
      <c r="C438" s="177"/>
      <c r="D438" s="176"/>
      <c r="H438" s="154" t="s">
        <v>904</v>
      </c>
      <c r="K438" s="166">
        <f>(K437+C20/10*F426)</f>
        <v>485.83802109999999</v>
      </c>
      <c r="O438" s="154"/>
      <c r="U438" s="199" t="s">
        <v>904</v>
      </c>
      <c r="W438" s="76">
        <f>W437</f>
        <v>7.9926000000000004</v>
      </c>
      <c r="X438" s="199">
        <f>X437+W438</f>
        <v>507.93955509999995</v>
      </c>
      <c r="AC438" s="165" t="s">
        <v>898</v>
      </c>
      <c r="AD438" s="154" t="s">
        <v>1129</v>
      </c>
      <c r="AF438" s="158"/>
    </row>
    <row r="439" spans="1:33" ht="24" customHeight="1">
      <c r="A439" s="175">
        <f>(A437+1)</f>
        <v>272</v>
      </c>
      <c r="B439" s="176" t="s">
        <v>1120</v>
      </c>
      <c r="C439" s="177">
        <v>21.74</v>
      </c>
      <c r="D439" s="176" t="s">
        <v>576</v>
      </c>
      <c r="H439" s="155" t="s">
        <v>1130</v>
      </c>
      <c r="M439" s="167">
        <v>8</v>
      </c>
      <c r="N439" s="154" t="s">
        <v>680</v>
      </c>
      <c r="O439" s="154" t="s">
        <v>1131</v>
      </c>
      <c r="P439" s="167">
        <f>(C43)</f>
        <v>6.2</v>
      </c>
      <c r="Q439" s="154" t="s">
        <v>680</v>
      </c>
      <c r="R439" s="167">
        <f>(M439*P439)</f>
        <v>49.6</v>
      </c>
      <c r="AC439" s="156"/>
      <c r="AD439" s="162" t="s">
        <v>534</v>
      </c>
      <c r="AF439" s="158"/>
    </row>
    <row r="440" spans="1:33" ht="24" customHeight="1">
      <c r="A440" s="175">
        <f t="shared" si="34"/>
        <v>273</v>
      </c>
      <c r="B440" s="248" t="s">
        <v>1132</v>
      </c>
      <c r="C440" s="188"/>
      <c r="D440" s="176" t="s">
        <v>22</v>
      </c>
      <c r="H440" s="155" t="s">
        <v>1133</v>
      </c>
      <c r="M440" s="167">
        <v>8</v>
      </c>
      <c r="N440" s="154" t="s">
        <v>680</v>
      </c>
      <c r="O440" s="154" t="s">
        <v>1134</v>
      </c>
      <c r="P440" s="167">
        <f>(C50)</f>
        <v>8.6999999999999993</v>
      </c>
      <c r="Q440" s="154" t="s">
        <v>680</v>
      </c>
      <c r="R440" s="167">
        <f>(M440*P440)</f>
        <v>69.599999999999994</v>
      </c>
      <c r="AB440" s="167">
        <v>0.75</v>
      </c>
      <c r="AC440" s="165" t="s">
        <v>577</v>
      </c>
      <c r="AD440" s="154" t="s">
        <v>900</v>
      </c>
      <c r="AE440" s="167">
        <f>AG434</f>
        <v>5447.2416499999999</v>
      </c>
      <c r="AF440" s="154" t="s">
        <v>576</v>
      </c>
      <c r="AG440" s="167">
        <f>(AB440*AE440)</f>
        <v>4085.4312375</v>
      </c>
    </row>
    <row r="441" spans="1:33" ht="38.25" customHeight="1">
      <c r="A441" s="175">
        <f t="shared" si="34"/>
        <v>274</v>
      </c>
      <c r="B441" s="176" t="s">
        <v>1094</v>
      </c>
      <c r="C441" s="174">
        <v>28.4</v>
      </c>
      <c r="D441" s="176" t="s">
        <v>576</v>
      </c>
      <c r="F441" s="187">
        <v>12</v>
      </c>
      <c r="G441" s="165" t="s">
        <v>307</v>
      </c>
      <c r="H441" s="154" t="s">
        <v>1135</v>
      </c>
      <c r="M441" s="167">
        <v>1</v>
      </c>
      <c r="N441" s="154" t="s">
        <v>589</v>
      </c>
      <c r="O441" s="154" t="s">
        <v>1136</v>
      </c>
      <c r="P441" s="167">
        <f>(C56)</f>
        <v>12.1</v>
      </c>
      <c r="Q441" s="154" t="s">
        <v>589</v>
      </c>
      <c r="R441" s="167">
        <f>(M441*P441)</f>
        <v>12.1</v>
      </c>
      <c r="AB441" s="167">
        <v>1</v>
      </c>
      <c r="AC441" s="165" t="s">
        <v>680</v>
      </c>
      <c r="AD441" s="154" t="s">
        <v>778</v>
      </c>
      <c r="AE441" s="167">
        <f>AE426</f>
        <v>717.2</v>
      </c>
      <c r="AF441" s="154" t="s">
        <v>576</v>
      </c>
      <c r="AG441" s="167">
        <f>(AB441*AE441)</f>
        <v>717.2</v>
      </c>
    </row>
    <row r="442" spans="1:33" ht="24" customHeight="1">
      <c r="A442" s="175">
        <f t="shared" si="34"/>
        <v>275</v>
      </c>
      <c r="B442" s="176" t="s">
        <v>1087</v>
      </c>
      <c r="C442" s="174">
        <v>34.4</v>
      </c>
      <c r="D442" s="176" t="s">
        <v>576</v>
      </c>
      <c r="H442" s="154" t="s">
        <v>801</v>
      </c>
      <c r="M442" s="167">
        <v>1</v>
      </c>
      <c r="N442" s="154" t="s">
        <v>589</v>
      </c>
      <c r="O442" s="154" t="s">
        <v>590</v>
      </c>
      <c r="Q442" s="154" t="s">
        <v>589</v>
      </c>
      <c r="R442" s="167">
        <v>0</v>
      </c>
      <c r="AC442" s="165" t="s">
        <v>589</v>
      </c>
      <c r="AD442" s="154" t="s">
        <v>590</v>
      </c>
      <c r="AE442" s="154" t="s">
        <v>22</v>
      </c>
      <c r="AF442" s="154" t="s">
        <v>589</v>
      </c>
      <c r="AG442" s="167">
        <v>0</v>
      </c>
    </row>
    <row r="443" spans="1:33" ht="24" customHeight="1">
      <c r="A443" s="175">
        <f t="shared" si="34"/>
        <v>276</v>
      </c>
      <c r="B443" s="176" t="s">
        <v>1089</v>
      </c>
      <c r="C443" s="174">
        <v>80.599999999999994</v>
      </c>
      <c r="D443" s="176" t="s">
        <v>576</v>
      </c>
      <c r="H443" s="162" t="s">
        <v>534</v>
      </c>
      <c r="R443" s="162" t="s">
        <v>534</v>
      </c>
      <c r="AC443" s="156"/>
      <c r="AF443" s="158"/>
      <c r="AG443" s="162" t="s">
        <v>534</v>
      </c>
    </row>
    <row r="444" spans="1:33" ht="24" customHeight="1">
      <c r="A444" s="175">
        <f t="shared" si="34"/>
        <v>277</v>
      </c>
      <c r="B444" s="176" t="s">
        <v>1090</v>
      </c>
      <c r="C444" s="174">
        <v>97.7</v>
      </c>
      <c r="D444" s="176" t="s">
        <v>576</v>
      </c>
      <c r="F444" s="167">
        <v>6570</v>
      </c>
      <c r="G444" s="165" t="s">
        <v>773</v>
      </c>
      <c r="H444" s="154" t="s">
        <v>1137</v>
      </c>
      <c r="I444" s="167">
        <f>(C77)</f>
        <v>4192.6899999999996</v>
      </c>
      <c r="J444" s="154" t="s">
        <v>774</v>
      </c>
      <c r="K444" s="167">
        <f>(F444*I444)/1000</f>
        <v>27545.973299999998</v>
      </c>
      <c r="O444" s="154" t="s">
        <v>1138</v>
      </c>
      <c r="R444" s="167">
        <f>SUM(R431:R442)</f>
        <v>1811.1469999999995</v>
      </c>
      <c r="AC444" s="156"/>
      <c r="AD444" s="154" t="s">
        <v>879</v>
      </c>
      <c r="AF444" s="158"/>
      <c r="AG444" s="167">
        <f>SUM(AG440:AG442)</f>
        <v>4802.6312374999998</v>
      </c>
    </row>
    <row r="445" spans="1:33" ht="24" customHeight="1">
      <c r="A445" s="175">
        <f t="shared" si="34"/>
        <v>278</v>
      </c>
      <c r="B445" s="176" t="s">
        <v>1091</v>
      </c>
      <c r="C445" s="174">
        <v>109.2</v>
      </c>
      <c r="D445" s="176" t="s">
        <v>576</v>
      </c>
      <c r="F445" s="167">
        <v>1.91</v>
      </c>
      <c r="G445" s="165" t="s">
        <v>577</v>
      </c>
      <c r="H445" s="154" t="s">
        <v>702</v>
      </c>
      <c r="I445" s="167">
        <f>(K40)</f>
        <v>3667.67</v>
      </c>
      <c r="J445" s="154" t="s">
        <v>577</v>
      </c>
      <c r="K445" s="167">
        <f>(F445*I445)</f>
        <v>7005.2496999999994</v>
      </c>
      <c r="R445" s="162" t="s">
        <v>534</v>
      </c>
      <c r="AC445" s="156"/>
      <c r="AF445" s="158"/>
      <c r="AG445" s="162" t="s">
        <v>534</v>
      </c>
    </row>
    <row r="446" spans="1:33" ht="24" customHeight="1">
      <c r="A446" s="175">
        <f t="shared" si="34"/>
        <v>279</v>
      </c>
      <c r="B446" s="176" t="s">
        <v>1035</v>
      </c>
      <c r="C446" s="174">
        <v>138.5</v>
      </c>
      <c r="D446" s="176" t="s">
        <v>576</v>
      </c>
      <c r="F446" s="167">
        <v>7</v>
      </c>
      <c r="G446" s="165" t="s">
        <v>576</v>
      </c>
      <c r="H446" s="154" t="s">
        <v>778</v>
      </c>
      <c r="I446" s="167">
        <f>(C10)</f>
        <v>717.2</v>
      </c>
      <c r="J446" s="154" t="s">
        <v>576</v>
      </c>
      <c r="K446" s="167">
        <f>(F446*I446)</f>
        <v>5020.4000000000005</v>
      </c>
      <c r="O446" s="154" t="s">
        <v>1139</v>
      </c>
      <c r="R446" s="167">
        <f>(R444/30)</f>
        <v>60.371566666666652</v>
      </c>
      <c r="AC446" s="156"/>
      <c r="AD446" s="154" t="s">
        <v>881</v>
      </c>
      <c r="AF446" s="158"/>
      <c r="AG446" s="167">
        <f>(AG444/10)</f>
        <v>480.26312374999998</v>
      </c>
    </row>
    <row r="447" spans="1:33" ht="24" customHeight="1">
      <c r="A447" s="175">
        <f t="shared" si="34"/>
        <v>280</v>
      </c>
      <c r="B447" s="247" t="s">
        <v>1140</v>
      </c>
      <c r="C447" s="246">
        <v>368</v>
      </c>
      <c r="D447" s="247" t="s">
        <v>576</v>
      </c>
      <c r="F447" s="167">
        <v>3.6</v>
      </c>
      <c r="G447" s="165" t="s">
        <v>576</v>
      </c>
      <c r="H447" s="154" t="s">
        <v>752</v>
      </c>
      <c r="I447" s="167">
        <f>(C11)</f>
        <v>669.90000000000009</v>
      </c>
      <c r="J447" s="154" t="s">
        <v>576</v>
      </c>
      <c r="K447" s="167">
        <f>(F447*I447)</f>
        <v>2411.6400000000003</v>
      </c>
      <c r="R447" s="162" t="s">
        <v>534</v>
      </c>
      <c r="AC447" s="156"/>
      <c r="AF447" s="158"/>
      <c r="AG447" s="162" t="s">
        <v>528</v>
      </c>
    </row>
    <row r="448" spans="1:33" ht="24" customHeight="1">
      <c r="A448" s="175">
        <f t="shared" si="34"/>
        <v>281</v>
      </c>
      <c r="B448" s="248" t="s">
        <v>1141</v>
      </c>
      <c r="C448" s="188"/>
      <c r="D448" s="176" t="s">
        <v>22</v>
      </c>
      <c r="F448" s="167">
        <v>7.1</v>
      </c>
      <c r="G448" s="165" t="s">
        <v>576</v>
      </c>
      <c r="H448" s="154" t="s">
        <v>754</v>
      </c>
      <c r="I448" s="167">
        <f>(C12)</f>
        <v>468.6</v>
      </c>
      <c r="J448" s="154" t="s">
        <v>576</v>
      </c>
      <c r="K448" s="167">
        <f>(F448*I448)</f>
        <v>3327.06</v>
      </c>
      <c r="N448" s="154" t="s">
        <v>7</v>
      </c>
      <c r="O448" s="155" t="s">
        <v>1142</v>
      </c>
      <c r="AC448" s="156"/>
      <c r="AD448" s="154" t="s">
        <v>789</v>
      </c>
      <c r="AF448" s="158">
        <f>C19*0.075</f>
        <v>4.2487499999999994</v>
      </c>
      <c r="AG448" s="166">
        <f>AG446+AF448</f>
        <v>484.51187374999995</v>
      </c>
    </row>
    <row r="449" spans="1:36" ht="24" customHeight="1">
      <c r="A449" s="175">
        <f t="shared" si="34"/>
        <v>282</v>
      </c>
      <c r="B449" s="176" t="s">
        <v>1094</v>
      </c>
      <c r="C449" s="174">
        <v>23</v>
      </c>
      <c r="D449" s="176" t="s">
        <v>576</v>
      </c>
      <c r="F449" s="167">
        <v>14.1</v>
      </c>
      <c r="G449" s="165" t="s">
        <v>576</v>
      </c>
      <c r="H449" s="154" t="s">
        <v>756</v>
      </c>
      <c r="I449" s="167">
        <f>(C13)</f>
        <v>404.8</v>
      </c>
      <c r="J449" s="154" t="s">
        <v>576</v>
      </c>
      <c r="K449" s="167">
        <f>(F449*I449)</f>
        <v>5707.68</v>
      </c>
      <c r="O449" s="162" t="s">
        <v>534</v>
      </c>
      <c r="AC449" s="156"/>
      <c r="AD449" s="154" t="s">
        <v>793</v>
      </c>
      <c r="AF449" s="158">
        <f>C20*0.075</f>
        <v>8.5634999999999994</v>
      </c>
      <c r="AG449" s="166">
        <f t="shared" ref="AG449:AG458" si="36">AG448+AF449</f>
        <v>493.07537374999993</v>
      </c>
    </row>
    <row r="450" spans="1:36" ht="39" customHeight="1">
      <c r="A450" s="175">
        <f t="shared" si="34"/>
        <v>283</v>
      </c>
      <c r="B450" s="176" t="s">
        <v>1087</v>
      </c>
      <c r="C450" s="174">
        <v>34.4</v>
      </c>
      <c r="D450" s="176" t="s">
        <v>576</v>
      </c>
      <c r="G450" s="165" t="s">
        <v>589</v>
      </c>
      <c r="H450" s="154" t="s">
        <v>590</v>
      </c>
      <c r="I450" s="154" t="s">
        <v>22</v>
      </c>
      <c r="J450" s="154" t="s">
        <v>589</v>
      </c>
      <c r="K450" s="167">
        <v>0</v>
      </c>
      <c r="M450" s="167">
        <v>8.1</v>
      </c>
      <c r="N450" s="154" t="s">
        <v>577</v>
      </c>
      <c r="O450" s="154" t="s">
        <v>1122</v>
      </c>
      <c r="P450" s="167">
        <f>(C61)*2</f>
        <v>160.82</v>
      </c>
      <c r="Q450" s="154" t="s">
        <v>577</v>
      </c>
      <c r="R450" s="167">
        <f>(M450*P450)</f>
        <v>1302.6419999999998</v>
      </c>
      <c r="AC450" s="156"/>
      <c r="AD450" s="154" t="s">
        <v>796</v>
      </c>
      <c r="AF450" s="158">
        <f>C21*0.075</f>
        <v>8.5634999999999994</v>
      </c>
      <c r="AG450" s="166">
        <f t="shared" si="36"/>
        <v>501.6388737499999</v>
      </c>
    </row>
    <row r="451" spans="1:36" ht="24" customHeight="1">
      <c r="A451" s="175">
        <f t="shared" si="34"/>
        <v>284</v>
      </c>
      <c r="B451" s="176" t="s">
        <v>1089</v>
      </c>
      <c r="C451" s="174">
        <v>43.3</v>
      </c>
      <c r="D451" s="176" t="s">
        <v>576</v>
      </c>
      <c r="K451" s="162" t="s">
        <v>534</v>
      </c>
      <c r="M451" s="167">
        <v>8.1</v>
      </c>
      <c r="N451" s="154" t="s">
        <v>577</v>
      </c>
      <c r="O451" s="154" t="s">
        <v>1123</v>
      </c>
      <c r="P451" s="167">
        <f>(C26)</f>
        <v>28.05</v>
      </c>
      <c r="Q451" s="154" t="s">
        <v>577</v>
      </c>
      <c r="R451" s="167">
        <f>(M451*P451)</f>
        <v>227.20499999999998</v>
      </c>
      <c r="AC451" s="156"/>
      <c r="AD451" s="154" t="s">
        <v>798</v>
      </c>
      <c r="AF451" s="158">
        <f t="shared" ref="AF451:AF458" si="37">AF450</f>
        <v>8.5634999999999994</v>
      </c>
      <c r="AG451" s="166">
        <f t="shared" si="36"/>
        <v>510.20237374999988</v>
      </c>
    </row>
    <row r="452" spans="1:36" ht="24" customHeight="1">
      <c r="A452" s="175">
        <f t="shared" si="34"/>
        <v>285</v>
      </c>
      <c r="B452" s="176" t="s">
        <v>1090</v>
      </c>
      <c r="C452" s="174">
        <v>57.6</v>
      </c>
      <c r="D452" s="176" t="s">
        <v>576</v>
      </c>
      <c r="H452" s="154" t="s">
        <v>760</v>
      </c>
      <c r="K452" s="167">
        <f>SUM(K444:K450)</f>
        <v>51018.002999999997</v>
      </c>
      <c r="M452" s="167">
        <v>30</v>
      </c>
      <c r="N452" s="154" t="s">
        <v>410</v>
      </c>
      <c r="O452" s="154" t="s">
        <v>1124</v>
      </c>
      <c r="P452" s="167">
        <f>(C42)</f>
        <v>5</v>
      </c>
      <c r="Q452" s="154" t="s">
        <v>410</v>
      </c>
      <c r="R452" s="167">
        <f>(M452*P452)</f>
        <v>150</v>
      </c>
      <c r="AC452" s="156"/>
      <c r="AD452" s="154" t="s">
        <v>904</v>
      </c>
      <c r="AF452" s="158">
        <f t="shared" si="37"/>
        <v>8.5634999999999994</v>
      </c>
      <c r="AG452" s="166">
        <f t="shared" si="36"/>
        <v>518.76587374999986</v>
      </c>
      <c r="AJ452" s="76">
        <f>40.81*0.075</f>
        <v>3.0607500000000001</v>
      </c>
    </row>
    <row r="453" spans="1:36" ht="24" customHeight="1">
      <c r="A453" s="175">
        <f t="shared" si="34"/>
        <v>286</v>
      </c>
      <c r="B453" s="176" t="s">
        <v>1091</v>
      </c>
      <c r="C453" s="174">
        <v>69.2</v>
      </c>
      <c r="D453" s="176" t="s">
        <v>576</v>
      </c>
      <c r="K453" s="162" t="s">
        <v>534</v>
      </c>
      <c r="O453" s="154" t="s">
        <v>1125</v>
      </c>
      <c r="AD453" s="154" t="s">
        <v>1106</v>
      </c>
      <c r="AE453" s="172">
        <f t="shared" ref="AE453:AE458" si="38">AG453</f>
        <v>527.32937374999983</v>
      </c>
      <c r="AF453" s="158">
        <f t="shared" si="37"/>
        <v>8.5634999999999994</v>
      </c>
      <c r="AG453" s="166">
        <f t="shared" si="36"/>
        <v>527.32937374999983</v>
      </c>
    </row>
    <row r="454" spans="1:36" ht="24" customHeight="1">
      <c r="A454" s="175">
        <f t="shared" si="34"/>
        <v>287</v>
      </c>
      <c r="B454" s="176" t="s">
        <v>1035</v>
      </c>
      <c r="C454" s="174">
        <v>86.2</v>
      </c>
      <c r="D454" s="176" t="s">
        <v>576</v>
      </c>
      <c r="H454" s="154" t="s">
        <v>685</v>
      </c>
      <c r="K454" s="167">
        <f>(K452/10)</f>
        <v>5101.8002999999999</v>
      </c>
      <c r="O454" s="154" t="s">
        <v>1126</v>
      </c>
      <c r="AD454" s="154" t="s">
        <v>1107</v>
      </c>
      <c r="AE454" s="172">
        <f t="shared" si="38"/>
        <v>535.89287374999981</v>
      </c>
      <c r="AF454" s="158">
        <f t="shared" si="37"/>
        <v>8.5634999999999994</v>
      </c>
      <c r="AG454" s="166">
        <f t="shared" si="36"/>
        <v>535.89287374999981</v>
      </c>
    </row>
    <row r="455" spans="1:36" ht="24" customHeight="1">
      <c r="A455" s="175">
        <f t="shared" si="34"/>
        <v>288</v>
      </c>
      <c r="B455" s="247" t="s">
        <v>1140</v>
      </c>
      <c r="C455" s="246">
        <v>183</v>
      </c>
      <c r="D455" s="247" t="s">
        <v>576</v>
      </c>
      <c r="K455" s="162" t="s">
        <v>528</v>
      </c>
      <c r="O455" s="154" t="s">
        <v>1127</v>
      </c>
      <c r="AD455" s="154" t="s">
        <v>1108</v>
      </c>
      <c r="AE455" s="172">
        <f t="shared" si="38"/>
        <v>544.45637374999978</v>
      </c>
      <c r="AF455" s="158">
        <f t="shared" si="37"/>
        <v>8.5634999999999994</v>
      </c>
      <c r="AG455" s="166">
        <f t="shared" si="36"/>
        <v>544.45637374999978</v>
      </c>
    </row>
    <row r="456" spans="1:36" ht="24" customHeight="1">
      <c r="A456" s="175">
        <f t="shared" si="34"/>
        <v>289</v>
      </c>
      <c r="B456" s="176" t="s">
        <v>1143</v>
      </c>
      <c r="C456" s="188"/>
      <c r="D456" s="176" t="s">
        <v>22</v>
      </c>
      <c r="O456" s="154" t="s">
        <v>1128</v>
      </c>
      <c r="AD456" s="154" t="s">
        <v>1109</v>
      </c>
      <c r="AE456" s="172">
        <f t="shared" si="38"/>
        <v>553.01987374999976</v>
      </c>
      <c r="AF456" s="158">
        <f t="shared" si="37"/>
        <v>8.5634999999999994</v>
      </c>
      <c r="AG456" s="166">
        <f t="shared" si="36"/>
        <v>553.01987374999976</v>
      </c>
    </row>
    <row r="457" spans="1:36" ht="24" customHeight="1">
      <c r="A457" s="175">
        <f t="shared" si="34"/>
        <v>290</v>
      </c>
      <c r="B457" s="176" t="s">
        <v>1094</v>
      </c>
      <c r="C457" s="177">
        <v>158.91999999999999</v>
      </c>
      <c r="D457" s="176" t="s">
        <v>576</v>
      </c>
      <c r="G457" s="165" t="s">
        <v>307</v>
      </c>
      <c r="H457" s="154" t="s">
        <v>1144</v>
      </c>
      <c r="M457" s="167">
        <v>8</v>
      </c>
      <c r="N457" s="154" t="s">
        <v>680</v>
      </c>
      <c r="O457" s="154" t="s">
        <v>1131</v>
      </c>
      <c r="P457" s="167">
        <f>(C44)</f>
        <v>6.2</v>
      </c>
      <c r="Q457" s="154" t="s">
        <v>680</v>
      </c>
      <c r="R457" s="167">
        <f>(M457*P457)</f>
        <v>49.6</v>
      </c>
      <c r="AD457" s="154" t="s">
        <v>1110</v>
      </c>
      <c r="AE457" s="172">
        <f t="shared" si="38"/>
        <v>561.58337374999974</v>
      </c>
      <c r="AF457" s="158">
        <f t="shared" si="37"/>
        <v>8.5634999999999994</v>
      </c>
      <c r="AG457" s="166">
        <f t="shared" si="36"/>
        <v>561.58337374999974</v>
      </c>
    </row>
    <row r="458" spans="1:36" ht="24" customHeight="1">
      <c r="A458" s="175">
        <f t="shared" si="34"/>
        <v>291</v>
      </c>
      <c r="B458" s="176" t="s">
        <v>1087</v>
      </c>
      <c r="C458" s="177">
        <v>263.04000000000002</v>
      </c>
      <c r="D458" s="176" t="s">
        <v>576</v>
      </c>
      <c r="H458" s="162" t="s">
        <v>534</v>
      </c>
      <c r="M458" s="167">
        <v>8</v>
      </c>
      <c r="N458" s="154" t="s">
        <v>680</v>
      </c>
      <c r="O458" s="154" t="s">
        <v>1134</v>
      </c>
      <c r="P458" s="167">
        <f>(C51)</f>
        <v>8.9</v>
      </c>
      <c r="Q458" s="154" t="s">
        <v>680</v>
      </c>
      <c r="R458" s="167">
        <f>(M458*P458)</f>
        <v>71.2</v>
      </c>
      <c r="AE458" s="172">
        <f t="shared" si="38"/>
        <v>570.14687374999971</v>
      </c>
      <c r="AF458" s="158">
        <f t="shared" si="37"/>
        <v>8.5634999999999994</v>
      </c>
      <c r="AG458" s="166">
        <f t="shared" si="36"/>
        <v>570.14687374999971</v>
      </c>
    </row>
    <row r="459" spans="1:36" ht="24" customHeight="1">
      <c r="A459" s="175">
        <f t="shared" si="34"/>
        <v>292</v>
      </c>
      <c r="B459" s="176" t="s">
        <v>1089</v>
      </c>
      <c r="C459" s="188"/>
      <c r="D459" s="176" t="s">
        <v>22</v>
      </c>
      <c r="F459" s="167">
        <v>0.5</v>
      </c>
      <c r="G459" s="165" t="s">
        <v>577</v>
      </c>
      <c r="H459" s="154" t="s">
        <v>900</v>
      </c>
      <c r="I459" s="167">
        <f>(K454)</f>
        <v>5101.8002999999999</v>
      </c>
      <c r="J459" s="154" t="s">
        <v>576</v>
      </c>
      <c r="K459" s="167">
        <f>(F459*I459)</f>
        <v>2550.9001499999999</v>
      </c>
      <c r="M459" s="167">
        <v>1</v>
      </c>
      <c r="N459" s="154" t="s">
        <v>589</v>
      </c>
      <c r="O459" s="154" t="s">
        <v>1136</v>
      </c>
      <c r="P459" s="167">
        <f>(C56)</f>
        <v>12.1</v>
      </c>
      <c r="Q459" s="154" t="s">
        <v>589</v>
      </c>
      <c r="R459" s="167">
        <f>(M459*P459)</f>
        <v>12.1</v>
      </c>
      <c r="U459" s="249" t="s">
        <v>1145</v>
      </c>
      <c r="Y459" s="159"/>
      <c r="AA459" s="249" t="s">
        <v>1146</v>
      </c>
      <c r="AE459" s="172">
        <f>AG459</f>
        <v>578.71037374999969</v>
      </c>
      <c r="AF459" s="158">
        <f>AF458</f>
        <v>8.5634999999999994</v>
      </c>
      <c r="AG459" s="166">
        <f>AG458+AF459</f>
        <v>578.71037374999969</v>
      </c>
    </row>
    <row r="460" spans="1:36" ht="24" customHeight="1">
      <c r="A460" s="175">
        <f t="shared" si="34"/>
        <v>293</v>
      </c>
      <c r="B460" s="176" t="s">
        <v>1147</v>
      </c>
      <c r="C460" s="172">
        <v>2.8</v>
      </c>
      <c r="D460" s="176" t="s">
        <v>576</v>
      </c>
      <c r="F460" s="167">
        <v>1</v>
      </c>
      <c r="G460" s="165" t="s">
        <v>680</v>
      </c>
      <c r="H460" s="154" t="s">
        <v>778</v>
      </c>
      <c r="I460" s="167">
        <f>(C10)</f>
        <v>717.2</v>
      </c>
      <c r="J460" s="154" t="s">
        <v>576</v>
      </c>
      <c r="K460" s="167">
        <f>(F460*I460)</f>
        <v>717.2</v>
      </c>
      <c r="M460" s="167">
        <v>1</v>
      </c>
      <c r="N460" s="154" t="s">
        <v>589</v>
      </c>
      <c r="O460" s="154" t="s">
        <v>590</v>
      </c>
      <c r="Q460" s="154" t="s">
        <v>589</v>
      </c>
      <c r="R460" s="167">
        <v>0</v>
      </c>
      <c r="S460" s="155" t="s">
        <v>1148</v>
      </c>
      <c r="T460" s="165" t="s">
        <v>307</v>
      </c>
      <c r="U460" s="154" t="s">
        <v>1149</v>
      </c>
      <c r="W460" s="158"/>
      <c r="Y460" s="155" t="s">
        <v>1148</v>
      </c>
      <c r="Z460" s="165" t="s">
        <v>307</v>
      </c>
      <c r="AA460" s="154" t="s">
        <v>1149</v>
      </c>
      <c r="AC460" s="158"/>
      <c r="AE460" s="172">
        <f>AG460</f>
        <v>587.27387374999967</v>
      </c>
      <c r="AF460" s="158">
        <f>AF459</f>
        <v>8.5634999999999994</v>
      </c>
      <c r="AG460" s="166">
        <f>AG459+AF460</f>
        <v>587.27387374999967</v>
      </c>
    </row>
    <row r="461" spans="1:36" ht="24" customHeight="1">
      <c r="A461" s="175">
        <f t="shared" si="34"/>
        <v>294</v>
      </c>
      <c r="B461" s="176" t="s">
        <v>1150</v>
      </c>
      <c r="C461" s="172">
        <v>3.5</v>
      </c>
      <c r="D461" s="176" t="s">
        <v>576</v>
      </c>
      <c r="G461" s="165" t="s">
        <v>589</v>
      </c>
      <c r="H461" s="154" t="s">
        <v>590</v>
      </c>
      <c r="I461" s="154" t="s">
        <v>22</v>
      </c>
      <c r="J461" s="154" t="s">
        <v>589</v>
      </c>
      <c r="K461" s="167">
        <v>0</v>
      </c>
      <c r="R461" s="162" t="s">
        <v>534</v>
      </c>
      <c r="S461" s="76"/>
      <c r="T461" s="156"/>
      <c r="U461" s="154" t="s">
        <v>1151</v>
      </c>
      <c r="W461" s="158"/>
      <c r="Z461" s="156"/>
      <c r="AA461" s="154" t="s">
        <v>1151</v>
      </c>
      <c r="AC461" s="158"/>
      <c r="AE461" s="172">
        <f t="shared" ref="AE461:AE524" si="39">AG461</f>
        <v>595.83737374999964</v>
      </c>
      <c r="AF461" s="158">
        <f>AF460</f>
        <v>8.5634999999999994</v>
      </c>
      <c r="AG461" s="166">
        <f>AG460+AF461</f>
        <v>595.83737374999964</v>
      </c>
    </row>
    <row r="462" spans="1:36" ht="24" customHeight="1">
      <c r="A462" s="175">
        <f t="shared" si="34"/>
        <v>295</v>
      </c>
      <c r="B462" s="176" t="s">
        <v>1152</v>
      </c>
      <c r="C462" s="177">
        <v>350</v>
      </c>
      <c r="D462" s="177">
        <v>375</v>
      </c>
      <c r="K462" s="162" t="s">
        <v>534</v>
      </c>
      <c r="O462" s="154" t="s">
        <v>1138</v>
      </c>
      <c r="R462" s="167">
        <f>SUM(R450:R460)</f>
        <v>1812.7469999999996</v>
      </c>
      <c r="S462" s="76"/>
      <c r="T462" s="156"/>
      <c r="U462" s="154" t="s">
        <v>1153</v>
      </c>
      <c r="W462" s="158"/>
      <c r="Z462" s="156"/>
      <c r="AA462" s="154" t="s">
        <v>1153</v>
      </c>
      <c r="AC462" s="158"/>
      <c r="AE462" s="172">
        <f t="shared" si="39"/>
        <v>604.40087374999962</v>
      </c>
      <c r="AF462" s="158">
        <f>AF461</f>
        <v>8.5634999999999994</v>
      </c>
      <c r="AG462" s="166">
        <f>AG461+AF462</f>
        <v>604.40087374999962</v>
      </c>
    </row>
    <row r="463" spans="1:36" ht="24" customHeight="1">
      <c r="A463" s="175">
        <f t="shared" si="34"/>
        <v>296</v>
      </c>
      <c r="B463" s="176" t="s">
        <v>1154</v>
      </c>
      <c r="C463" s="177">
        <v>400</v>
      </c>
      <c r="D463" s="177">
        <v>425</v>
      </c>
      <c r="H463" s="154" t="s">
        <v>879</v>
      </c>
      <c r="K463" s="167">
        <f>SUM(K459:K461)</f>
        <v>3268.1001500000002</v>
      </c>
      <c r="R463" s="162" t="s">
        <v>534</v>
      </c>
      <c r="S463" s="76"/>
      <c r="T463" s="156"/>
      <c r="U463" s="162" t="s">
        <v>534</v>
      </c>
      <c r="W463" s="158"/>
      <c r="Z463" s="156"/>
      <c r="AA463" s="162" t="s">
        <v>534</v>
      </c>
      <c r="AC463" s="158"/>
      <c r="AE463" s="172">
        <f t="shared" si="39"/>
        <v>612.9643737499996</v>
      </c>
      <c r="AF463" s="158">
        <f>AF462</f>
        <v>8.5634999999999994</v>
      </c>
      <c r="AG463" s="166">
        <f>AG462+AF463</f>
        <v>612.9643737499996</v>
      </c>
    </row>
    <row r="464" spans="1:36" ht="60.75" customHeight="1">
      <c r="A464" s="175">
        <f t="shared" si="34"/>
        <v>297</v>
      </c>
      <c r="B464" s="176" t="s">
        <v>1155</v>
      </c>
      <c r="C464" s="177">
        <v>450</v>
      </c>
      <c r="D464" s="177">
        <v>500</v>
      </c>
      <c r="K464" s="162" t="s">
        <v>534</v>
      </c>
      <c r="O464" s="154" t="s">
        <v>1139</v>
      </c>
      <c r="R464" s="167">
        <f>(R462/30)</f>
        <v>60.424899999999987</v>
      </c>
      <c r="S464" s="167">
        <v>0.01</v>
      </c>
      <c r="T464" s="165" t="s">
        <v>577</v>
      </c>
      <c r="U464" s="210" t="s">
        <v>1156</v>
      </c>
      <c r="V464" s="167">
        <f>Z718</f>
        <v>6523.4590200000011</v>
      </c>
      <c r="W464" s="154" t="s">
        <v>577</v>
      </c>
      <c r="X464" s="167">
        <f>(S464*V464)</f>
        <v>65.234590200000014</v>
      </c>
      <c r="Y464" s="167">
        <v>0.01</v>
      </c>
      <c r="Z464" s="165" t="s">
        <v>577</v>
      </c>
      <c r="AA464" s="210" t="s">
        <v>1157</v>
      </c>
      <c r="AB464" s="167">
        <f>Y688</f>
        <v>7043.395770000001</v>
      </c>
      <c r="AC464" s="154" t="s">
        <v>577</v>
      </c>
      <c r="AD464" s="167">
        <f>(Y464*AB464)</f>
        <v>70.433957700000008</v>
      </c>
      <c r="AE464" s="172" t="str">
        <f t="shared" si="39"/>
        <v>|</v>
      </c>
      <c r="AG464" s="154" t="s">
        <v>1158</v>
      </c>
    </row>
    <row r="465" spans="1:33" ht="24" customHeight="1">
      <c r="A465" s="175">
        <f t="shared" si="34"/>
        <v>298</v>
      </c>
      <c r="B465" s="176" t="s">
        <v>1159</v>
      </c>
      <c r="C465" s="177">
        <v>77.819999999999993</v>
      </c>
      <c r="D465" s="176" t="s">
        <v>576</v>
      </c>
      <c r="H465" s="154" t="s">
        <v>881</v>
      </c>
      <c r="K465" s="167">
        <f>(K463/10)</f>
        <v>326.81001500000002</v>
      </c>
      <c r="R465" s="162" t="s">
        <v>534</v>
      </c>
      <c r="S465" s="167">
        <v>0.01</v>
      </c>
      <c r="T465" s="165" t="s">
        <v>577</v>
      </c>
      <c r="U465" s="154" t="s">
        <v>1160</v>
      </c>
      <c r="V465" s="167"/>
      <c r="W465" s="154" t="s">
        <v>589</v>
      </c>
      <c r="X465" s="167">
        <v>1.1499999999999999</v>
      </c>
      <c r="Y465" s="167">
        <v>0.01</v>
      </c>
      <c r="Z465" s="165" t="s">
        <v>577</v>
      </c>
      <c r="AA465" s="154" t="s">
        <v>1160</v>
      </c>
      <c r="AB465" s="167"/>
      <c r="AC465" s="154" t="s">
        <v>589</v>
      </c>
      <c r="AD465" s="167">
        <v>1.1499999999999999</v>
      </c>
      <c r="AE465" s="172" t="str">
        <f t="shared" si="39"/>
        <v>|</v>
      </c>
      <c r="AG465" s="154" t="s">
        <v>1158</v>
      </c>
    </row>
    <row r="466" spans="1:33" ht="24" customHeight="1">
      <c r="A466" s="175">
        <f t="shared" si="34"/>
        <v>299</v>
      </c>
      <c r="B466" s="176" t="s">
        <v>1161</v>
      </c>
      <c r="C466" s="177">
        <v>99.74</v>
      </c>
      <c r="D466" s="176" t="s">
        <v>576</v>
      </c>
      <c r="K466" s="162" t="s">
        <v>528</v>
      </c>
      <c r="N466" s="154" t="s">
        <v>1162</v>
      </c>
      <c r="O466" s="155" t="s">
        <v>1163</v>
      </c>
      <c r="S466" s="76"/>
      <c r="T466" s="156"/>
      <c r="U466" s="154" t="s">
        <v>1164</v>
      </c>
      <c r="V466" s="167"/>
      <c r="W466" s="158"/>
      <c r="Z466" s="156"/>
      <c r="AA466" s="154" t="s">
        <v>1164</v>
      </c>
      <c r="AB466" s="167"/>
      <c r="AC466" s="158"/>
      <c r="AE466" s="172" t="str">
        <f t="shared" si="39"/>
        <v>|</v>
      </c>
      <c r="AG466" s="154" t="s">
        <v>1158</v>
      </c>
    </row>
    <row r="467" spans="1:33" ht="24" customHeight="1">
      <c r="A467" s="175">
        <f t="shared" si="34"/>
        <v>300</v>
      </c>
      <c r="B467" s="176" t="s">
        <v>1089</v>
      </c>
      <c r="C467" s="177">
        <v>165</v>
      </c>
      <c r="D467" s="176" t="s">
        <v>576</v>
      </c>
      <c r="H467" s="154" t="s">
        <v>789</v>
      </c>
      <c r="K467" s="166">
        <f>(K465+C19/10*F459)</f>
        <v>329.642515</v>
      </c>
      <c r="O467" s="162" t="s">
        <v>534</v>
      </c>
      <c r="S467" s="76"/>
      <c r="T467" s="156"/>
      <c r="V467" s="167"/>
      <c r="W467" s="158"/>
      <c r="X467" s="162" t="s">
        <v>534</v>
      </c>
      <c r="Z467" s="156"/>
      <c r="AB467" s="167"/>
      <c r="AC467" s="158"/>
      <c r="AD467" s="162" t="s">
        <v>534</v>
      </c>
      <c r="AE467" s="172" t="str">
        <f t="shared" si="39"/>
        <v>|</v>
      </c>
      <c r="AG467" s="154" t="s">
        <v>1158</v>
      </c>
    </row>
    <row r="468" spans="1:33" ht="24" customHeight="1">
      <c r="A468" s="175">
        <f t="shared" si="34"/>
        <v>301</v>
      </c>
      <c r="B468" s="176" t="s">
        <v>1090</v>
      </c>
      <c r="C468" s="177">
        <v>258</v>
      </c>
      <c r="D468" s="176" t="s">
        <v>576</v>
      </c>
      <c r="H468" s="154" t="s">
        <v>793</v>
      </c>
      <c r="K468" s="166">
        <f>(K467+C20/10*F459)</f>
        <v>335.35151500000001</v>
      </c>
      <c r="M468" s="167">
        <v>8.1</v>
      </c>
      <c r="N468" s="154" t="s">
        <v>577</v>
      </c>
      <c r="O468" s="154" t="s">
        <v>1122</v>
      </c>
      <c r="P468" s="167">
        <f>(C61)*2</f>
        <v>160.82</v>
      </c>
      <c r="Q468" s="154" t="s">
        <v>577</v>
      </c>
      <c r="R468" s="167">
        <f>(M468*P468)</f>
        <v>1302.6419999999998</v>
      </c>
      <c r="S468" s="76"/>
      <c r="T468" s="156"/>
      <c r="U468" s="154" t="s">
        <v>1165</v>
      </c>
      <c r="V468" s="167"/>
      <c r="W468" s="158"/>
      <c r="X468" s="167">
        <f>SUM(X464:X466)</f>
        <v>66.384590200000019</v>
      </c>
      <c r="Z468" s="156"/>
      <c r="AA468" s="154" t="s">
        <v>1165</v>
      </c>
      <c r="AB468" s="167"/>
      <c r="AC468" s="158"/>
      <c r="AD468" s="167">
        <f>SUM(AD464:AD466)</f>
        <v>71.583957700000013</v>
      </c>
      <c r="AE468" s="172" t="str">
        <f t="shared" si="39"/>
        <v>|</v>
      </c>
      <c r="AG468" s="154" t="s">
        <v>1158</v>
      </c>
    </row>
    <row r="469" spans="1:33" ht="24" customHeight="1">
      <c r="A469" s="175">
        <f t="shared" si="34"/>
        <v>302</v>
      </c>
      <c r="B469" s="176" t="s">
        <v>1091</v>
      </c>
      <c r="C469" s="177">
        <v>298</v>
      </c>
      <c r="D469" s="176" t="s">
        <v>576</v>
      </c>
      <c r="H469" s="154" t="s">
        <v>796</v>
      </c>
      <c r="K469" s="166">
        <f>(K468+C21/10*F459)</f>
        <v>341.06051500000001</v>
      </c>
      <c r="M469" s="167">
        <v>8.1</v>
      </c>
      <c r="N469" s="154" t="s">
        <v>577</v>
      </c>
      <c r="O469" s="154" t="s">
        <v>1123</v>
      </c>
      <c r="P469" s="167">
        <f>(C26)</f>
        <v>28.05</v>
      </c>
      <c r="Q469" s="154" t="s">
        <v>577</v>
      </c>
      <c r="R469" s="167">
        <f>(M469*P469)</f>
        <v>227.20499999999998</v>
      </c>
      <c r="S469" s="76"/>
      <c r="T469" s="156"/>
      <c r="V469" s="167"/>
      <c r="W469" s="158"/>
      <c r="X469" s="162" t="s">
        <v>534</v>
      </c>
      <c r="Z469" s="156"/>
      <c r="AB469" s="167"/>
      <c r="AC469" s="158"/>
      <c r="AD469" s="162" t="s">
        <v>534</v>
      </c>
      <c r="AE469" s="172" t="str">
        <f t="shared" si="39"/>
        <v>|</v>
      </c>
      <c r="AG469" s="154" t="s">
        <v>1158</v>
      </c>
    </row>
    <row r="470" spans="1:33" ht="24" customHeight="1">
      <c r="A470" s="175">
        <f t="shared" si="34"/>
        <v>303</v>
      </c>
      <c r="B470" s="176" t="s">
        <v>1035</v>
      </c>
      <c r="C470" s="177">
        <v>398</v>
      </c>
      <c r="D470" s="176" t="s">
        <v>576</v>
      </c>
      <c r="H470" s="154" t="s">
        <v>798</v>
      </c>
      <c r="K470" s="166">
        <f>(K469+C21/10*F459)</f>
        <v>346.76951500000001</v>
      </c>
      <c r="L470" s="76">
        <f t="shared" ref="L470:L476" si="40">K470-K469</f>
        <v>5.7090000000000032</v>
      </c>
      <c r="M470" s="167">
        <v>30</v>
      </c>
      <c r="N470" s="154" t="s">
        <v>410</v>
      </c>
      <c r="O470" s="154" t="s">
        <v>1124</v>
      </c>
      <c r="P470" s="167">
        <f>(C42)</f>
        <v>5</v>
      </c>
      <c r="Q470" s="154" t="s">
        <v>410</v>
      </c>
      <c r="R470" s="167">
        <f>(M470*P470)</f>
        <v>150</v>
      </c>
      <c r="S470" s="76"/>
      <c r="T470" s="156"/>
      <c r="U470" s="154" t="s">
        <v>685</v>
      </c>
      <c r="V470" s="167"/>
      <c r="W470" s="158"/>
      <c r="X470" s="167">
        <f>ROUND(X468*100,0)</f>
        <v>6638</v>
      </c>
      <c r="Z470" s="156"/>
      <c r="AA470" s="154" t="s">
        <v>685</v>
      </c>
      <c r="AB470" s="167"/>
      <c r="AC470" s="158"/>
      <c r="AD470" s="167">
        <f>ROUND(AD468*100,0)</f>
        <v>7158</v>
      </c>
      <c r="AE470" s="172" t="str">
        <f t="shared" si="39"/>
        <v>|</v>
      </c>
      <c r="AG470" s="154" t="s">
        <v>1158</v>
      </c>
    </row>
    <row r="471" spans="1:33" ht="15.75">
      <c r="A471" s="175">
        <f t="shared" si="34"/>
        <v>304</v>
      </c>
      <c r="B471" s="176" t="s">
        <v>1120</v>
      </c>
      <c r="C471" s="188"/>
      <c r="D471" s="176" t="s">
        <v>576</v>
      </c>
      <c r="H471" s="154" t="s">
        <v>885</v>
      </c>
      <c r="K471" s="166">
        <f>(K470+C21/10*F459)</f>
        <v>352.47851500000002</v>
      </c>
      <c r="L471" s="76">
        <f t="shared" si="40"/>
        <v>5.7090000000000032</v>
      </c>
      <c r="O471" s="154" t="s">
        <v>1125</v>
      </c>
      <c r="S471" s="154" t="s">
        <v>22</v>
      </c>
      <c r="T471" s="156"/>
      <c r="V471" s="167"/>
      <c r="W471" s="158"/>
      <c r="Y471" s="154" t="s">
        <v>22</v>
      </c>
      <c r="Z471" s="156"/>
      <c r="AB471" s="167"/>
      <c r="AC471" s="158"/>
      <c r="AE471" s="172" t="str">
        <f t="shared" si="39"/>
        <v>|</v>
      </c>
      <c r="AG471" s="154" t="s">
        <v>1158</v>
      </c>
    </row>
    <row r="472" spans="1:33" ht="15.75">
      <c r="A472" s="175"/>
      <c r="B472" s="176"/>
      <c r="C472" s="188"/>
      <c r="D472" s="176"/>
      <c r="H472" s="154">
        <v>5</v>
      </c>
      <c r="K472" s="166">
        <f>(K471+C21/10*F459)</f>
        <v>358.18751500000002</v>
      </c>
      <c r="L472" s="76">
        <f t="shared" si="40"/>
        <v>5.7090000000000032</v>
      </c>
      <c r="O472" s="154"/>
      <c r="S472" s="76"/>
      <c r="T472" s="156"/>
      <c r="V472" s="167"/>
      <c r="W472" s="158"/>
      <c r="X472" s="162" t="s">
        <v>528</v>
      </c>
      <c r="Z472" s="156"/>
      <c r="AB472" s="167"/>
      <c r="AC472" s="158"/>
      <c r="AD472" s="162" t="s">
        <v>528</v>
      </c>
      <c r="AE472" s="172"/>
      <c r="AG472" s="154"/>
    </row>
    <row r="473" spans="1:33" ht="15.75">
      <c r="A473" s="175"/>
      <c r="B473" s="176"/>
      <c r="C473" s="188"/>
      <c r="D473" s="176"/>
      <c r="H473" s="154">
        <v>6</v>
      </c>
      <c r="K473" s="166">
        <f>(K472+C21/10*F459)</f>
        <v>363.89651500000002</v>
      </c>
      <c r="L473" s="76">
        <f t="shared" si="40"/>
        <v>5.7090000000000032</v>
      </c>
      <c r="O473" s="154"/>
      <c r="S473" s="76"/>
      <c r="T473" s="165" t="s">
        <v>865</v>
      </c>
      <c r="U473" s="154" t="s">
        <v>1166</v>
      </c>
      <c r="V473" s="167"/>
      <c r="W473" s="158"/>
      <c r="Z473" s="165" t="s">
        <v>865</v>
      </c>
      <c r="AA473" s="154" t="s">
        <v>1166</v>
      </c>
      <c r="AB473" s="167"/>
      <c r="AC473" s="158"/>
      <c r="AE473" s="172"/>
      <c r="AG473" s="154"/>
    </row>
    <row r="474" spans="1:33" ht="15.75">
      <c r="A474" s="175"/>
      <c r="B474" s="176"/>
      <c r="C474" s="188"/>
      <c r="D474" s="176"/>
      <c r="H474" s="154">
        <v>7</v>
      </c>
      <c r="K474" s="166">
        <f>(K473+C21/10*F459)</f>
        <v>369.60551500000003</v>
      </c>
      <c r="L474" s="76">
        <f t="shared" si="40"/>
        <v>5.7090000000000032</v>
      </c>
      <c r="O474" s="154"/>
      <c r="S474" s="76"/>
      <c r="T474" s="156"/>
      <c r="U474" s="154" t="s">
        <v>1167</v>
      </c>
      <c r="V474" s="167"/>
      <c r="W474" s="158"/>
      <c r="Z474" s="156"/>
      <c r="AA474" s="154" t="s">
        <v>1167</v>
      </c>
      <c r="AB474" s="167"/>
      <c r="AC474" s="158"/>
      <c r="AE474" s="172"/>
      <c r="AG474" s="154"/>
    </row>
    <row r="475" spans="1:33" ht="15.75">
      <c r="A475" s="175"/>
      <c r="B475" s="176"/>
      <c r="C475" s="188"/>
      <c r="D475" s="176"/>
      <c r="H475" s="154">
        <v>8</v>
      </c>
      <c r="K475" s="166">
        <f>(K474+C21/10*F459)</f>
        <v>375.31451500000003</v>
      </c>
      <c r="L475" s="76">
        <f t="shared" si="40"/>
        <v>5.7090000000000032</v>
      </c>
      <c r="O475" s="154"/>
      <c r="S475" s="76"/>
      <c r="T475" s="156"/>
      <c r="U475" s="162" t="s">
        <v>534</v>
      </c>
      <c r="V475" s="167"/>
      <c r="W475" s="158"/>
      <c r="Z475" s="156"/>
      <c r="AA475" s="162" t="s">
        <v>534</v>
      </c>
      <c r="AB475" s="167"/>
      <c r="AC475" s="158"/>
      <c r="AE475" s="172"/>
      <c r="AG475" s="154"/>
    </row>
    <row r="476" spans="1:33" ht="15.75">
      <c r="A476" s="175"/>
      <c r="B476" s="176"/>
      <c r="C476" s="188"/>
      <c r="D476" s="176"/>
      <c r="H476" s="154">
        <v>9</v>
      </c>
      <c r="K476" s="166">
        <f>(K475+C21/10*F459)</f>
        <v>381.02351500000003</v>
      </c>
      <c r="L476" s="76">
        <f t="shared" si="40"/>
        <v>5.7090000000000032</v>
      </c>
      <c r="O476" s="154"/>
      <c r="S476" s="198">
        <v>1.4E-2</v>
      </c>
      <c r="T476" s="165" t="s">
        <v>577</v>
      </c>
      <c r="U476" s="154" t="s">
        <v>1168</v>
      </c>
      <c r="V476" s="167">
        <f>X470</f>
        <v>6638</v>
      </c>
      <c r="W476" s="154" t="s">
        <v>577</v>
      </c>
      <c r="X476" s="167">
        <f>(S476*V476)</f>
        <v>92.932000000000002</v>
      </c>
      <c r="Y476" s="198">
        <v>1.4E-2</v>
      </c>
      <c r="Z476" s="165" t="s">
        <v>577</v>
      </c>
      <c r="AA476" s="154" t="s">
        <v>1168</v>
      </c>
      <c r="AB476" s="167">
        <f>AD470</f>
        <v>7158</v>
      </c>
      <c r="AC476" s="154" t="s">
        <v>577</v>
      </c>
      <c r="AD476" s="167">
        <f>(Y476*AB476)</f>
        <v>100.212</v>
      </c>
      <c r="AE476" s="172"/>
      <c r="AG476" s="154"/>
    </row>
    <row r="477" spans="1:33" ht="15.75">
      <c r="A477" s="175"/>
      <c r="B477" s="176"/>
      <c r="C477" s="188"/>
      <c r="D477" s="176"/>
      <c r="H477" s="154">
        <v>10</v>
      </c>
      <c r="K477" s="166">
        <f>(K476+C21/10*F459)</f>
        <v>386.73251500000003</v>
      </c>
      <c r="L477" s="76">
        <f>K477-K476</f>
        <v>5.7090000000000032</v>
      </c>
      <c r="O477" s="154"/>
      <c r="S477" s="198"/>
      <c r="T477" s="156"/>
      <c r="U477" s="154" t="s">
        <v>1169</v>
      </c>
      <c r="V477" s="167"/>
      <c r="W477" s="158"/>
      <c r="X477" s="154" t="s">
        <v>22</v>
      </c>
      <c r="Y477" s="198"/>
      <c r="Z477" s="156"/>
      <c r="AA477" s="154" t="s">
        <v>1169</v>
      </c>
      <c r="AB477" s="167"/>
      <c r="AC477" s="158"/>
      <c r="AD477" s="154" t="s">
        <v>22</v>
      </c>
      <c r="AE477" s="172"/>
      <c r="AG477" s="154"/>
    </row>
    <row r="478" spans="1:33" ht="15.75">
      <c r="A478" s="175"/>
      <c r="B478" s="176"/>
      <c r="C478" s="188"/>
      <c r="D478" s="176"/>
      <c r="H478" s="154"/>
      <c r="K478" s="166">
        <f>(K477+C21/10*F459)</f>
        <v>392.44151500000004</v>
      </c>
      <c r="L478" s="76">
        <f>K478-K477</f>
        <v>5.7090000000000032</v>
      </c>
      <c r="O478" s="154"/>
      <c r="S478" s="167">
        <v>0.5</v>
      </c>
      <c r="T478" s="165" t="s">
        <v>680</v>
      </c>
      <c r="U478" s="154" t="s">
        <v>778</v>
      </c>
      <c r="V478" s="167">
        <f>C10</f>
        <v>717.2</v>
      </c>
      <c r="W478" s="154" t="s">
        <v>680</v>
      </c>
      <c r="X478" s="167">
        <f>(S478*V478)</f>
        <v>358.6</v>
      </c>
      <c r="Y478" s="167">
        <v>0.5</v>
      </c>
      <c r="Z478" s="165" t="s">
        <v>680</v>
      </c>
      <c r="AA478" s="154" t="s">
        <v>778</v>
      </c>
      <c r="AB478" s="167">
        <f>V478</f>
        <v>717.2</v>
      </c>
      <c r="AC478" s="154" t="s">
        <v>680</v>
      </c>
      <c r="AD478" s="167">
        <f>(Y478*AB478)</f>
        <v>358.6</v>
      </c>
      <c r="AE478" s="172"/>
      <c r="AG478" s="154"/>
    </row>
    <row r="479" spans="1:33" ht="15.75">
      <c r="A479" s="175">
        <f>(A471+1)</f>
        <v>305</v>
      </c>
      <c r="B479" s="248" t="s">
        <v>1170</v>
      </c>
      <c r="C479" s="188"/>
      <c r="D479" s="176" t="s">
        <v>576</v>
      </c>
      <c r="F479" s="155" t="s">
        <v>1171</v>
      </c>
      <c r="G479" s="165" t="s">
        <v>307</v>
      </c>
      <c r="H479" s="154" t="s">
        <v>1172</v>
      </c>
      <c r="K479" s="166">
        <f>(K478+C21/10*F459)</f>
        <v>398.15051500000004</v>
      </c>
      <c r="L479" s="76">
        <f>K479-K478</f>
        <v>5.7090000000000032</v>
      </c>
      <c r="O479" s="154" t="s">
        <v>1126</v>
      </c>
      <c r="S479" s="167">
        <v>0.75</v>
      </c>
      <c r="T479" s="165" t="s">
        <v>680</v>
      </c>
      <c r="U479" s="154" t="s">
        <v>754</v>
      </c>
      <c r="V479" s="167">
        <f>C12</f>
        <v>468.6</v>
      </c>
      <c r="W479" s="154" t="s">
        <v>680</v>
      </c>
      <c r="X479" s="167">
        <f>(S479*V479)</f>
        <v>351.45000000000005</v>
      </c>
      <c r="Y479" s="167">
        <v>0.75</v>
      </c>
      <c r="Z479" s="165" t="s">
        <v>680</v>
      </c>
      <c r="AA479" s="154" t="s">
        <v>754</v>
      </c>
      <c r="AB479" s="167">
        <f>V479</f>
        <v>468.6</v>
      </c>
      <c r="AC479" s="154" t="s">
        <v>680</v>
      </c>
      <c r="AD479" s="167">
        <f>(Y479*AB479)</f>
        <v>351.45000000000005</v>
      </c>
      <c r="AE479" s="172" t="str">
        <f t="shared" si="39"/>
        <v>|</v>
      </c>
      <c r="AG479" s="154" t="s">
        <v>1158</v>
      </c>
    </row>
    <row r="480" spans="1:33" ht="50.25" customHeight="1">
      <c r="A480" s="175">
        <f t="shared" si="34"/>
        <v>306</v>
      </c>
      <c r="B480" s="176" t="s">
        <v>1094</v>
      </c>
      <c r="C480" s="177">
        <v>130</v>
      </c>
      <c r="D480" s="176" t="s">
        <v>576</v>
      </c>
      <c r="H480" s="154" t="s">
        <v>1173</v>
      </c>
      <c r="O480" s="154" t="s">
        <v>1127</v>
      </c>
      <c r="S480" s="76"/>
      <c r="T480" s="165" t="s">
        <v>589</v>
      </c>
      <c r="U480" s="154" t="s">
        <v>590</v>
      </c>
      <c r="V480" s="167"/>
      <c r="W480" s="154" t="s">
        <v>589</v>
      </c>
      <c r="X480" s="167">
        <v>0</v>
      </c>
      <c r="Z480" s="165" t="s">
        <v>589</v>
      </c>
      <c r="AA480" s="154" t="s">
        <v>590</v>
      </c>
      <c r="AB480" s="167">
        <f>V480</f>
        <v>0</v>
      </c>
      <c r="AC480" s="154" t="s">
        <v>589</v>
      </c>
      <c r="AD480" s="167">
        <v>0</v>
      </c>
      <c r="AE480" s="172" t="str">
        <f t="shared" si="39"/>
        <v>|</v>
      </c>
      <c r="AG480" s="154" t="s">
        <v>1158</v>
      </c>
    </row>
    <row r="481" spans="1:33" ht="30.75" customHeight="1">
      <c r="A481" s="175">
        <f t="shared" si="34"/>
        <v>307</v>
      </c>
      <c r="B481" s="176" t="s">
        <v>1087</v>
      </c>
      <c r="C481" s="174">
        <v>341</v>
      </c>
      <c r="D481" s="176" t="s">
        <v>576</v>
      </c>
      <c r="H481" s="162" t="s">
        <v>534</v>
      </c>
      <c r="O481" s="154" t="s">
        <v>1128</v>
      </c>
      <c r="S481" s="76"/>
      <c r="T481" s="156"/>
      <c r="V481" s="167"/>
      <c r="W481" s="158"/>
      <c r="X481" s="162" t="s">
        <v>534</v>
      </c>
      <c r="Z481" s="156"/>
      <c r="AB481" s="167"/>
      <c r="AC481" s="158"/>
      <c r="AD481" s="162" t="s">
        <v>534</v>
      </c>
      <c r="AE481" s="172" t="str">
        <f t="shared" si="39"/>
        <v>|</v>
      </c>
      <c r="AG481" s="154" t="s">
        <v>1158</v>
      </c>
    </row>
    <row r="482" spans="1:33" ht="24" customHeight="1">
      <c r="A482" s="175">
        <f t="shared" si="34"/>
        <v>308</v>
      </c>
      <c r="B482" s="176" t="s">
        <v>1089</v>
      </c>
      <c r="C482" s="174">
        <v>577</v>
      </c>
      <c r="D482" s="176" t="s">
        <v>576</v>
      </c>
      <c r="F482" s="167">
        <v>1</v>
      </c>
      <c r="G482" s="165" t="s">
        <v>577</v>
      </c>
      <c r="H482" s="154" t="s">
        <v>1174</v>
      </c>
      <c r="I482" s="167">
        <f>(C26)</f>
        <v>28.05</v>
      </c>
      <c r="J482" s="154" t="s">
        <v>577</v>
      </c>
      <c r="K482" s="166">
        <f>(F482*I482)</f>
        <v>28.05</v>
      </c>
      <c r="M482" s="167">
        <v>8</v>
      </c>
      <c r="N482" s="154" t="s">
        <v>680</v>
      </c>
      <c r="O482" s="154" t="s">
        <v>1131</v>
      </c>
      <c r="P482" s="167">
        <f>(C45)</f>
        <v>7.4</v>
      </c>
      <c r="Q482" s="154" t="s">
        <v>680</v>
      </c>
      <c r="R482" s="167">
        <f>(M482*P482)</f>
        <v>59.2</v>
      </c>
      <c r="S482" s="76"/>
      <c r="T482" s="156"/>
      <c r="U482" s="154" t="s">
        <v>1175</v>
      </c>
      <c r="V482" s="167"/>
      <c r="W482" s="158"/>
      <c r="X482" s="167">
        <f>SUM(X476:X480)</f>
        <v>802.98200000000008</v>
      </c>
      <c r="Z482" s="156"/>
      <c r="AA482" s="154" t="s">
        <v>1175</v>
      </c>
      <c r="AB482" s="167"/>
      <c r="AC482" s="158"/>
      <c r="AD482" s="167">
        <f>SUM(AD476:AD480)</f>
        <v>810.26200000000006</v>
      </c>
      <c r="AE482" s="172" t="str">
        <f t="shared" si="39"/>
        <v>|</v>
      </c>
      <c r="AG482" s="154" t="s">
        <v>1158</v>
      </c>
    </row>
    <row r="483" spans="1:33" ht="24" customHeight="1">
      <c r="A483" s="175">
        <f t="shared" si="34"/>
        <v>309</v>
      </c>
      <c r="B483" s="176" t="s">
        <v>1090</v>
      </c>
      <c r="C483" s="174">
        <v>739</v>
      </c>
      <c r="D483" s="176" t="s">
        <v>576</v>
      </c>
      <c r="K483" s="162" t="s">
        <v>528</v>
      </c>
      <c r="M483" s="167">
        <v>8</v>
      </c>
      <c r="N483" s="154" t="s">
        <v>680</v>
      </c>
      <c r="O483" s="154" t="s">
        <v>1134</v>
      </c>
      <c r="P483" s="167">
        <f>(C52)</f>
        <v>18.399999999999999</v>
      </c>
      <c r="Q483" s="154" t="s">
        <v>680</v>
      </c>
      <c r="R483" s="167">
        <f>(M483*P483)</f>
        <v>147.19999999999999</v>
      </c>
      <c r="S483" s="76"/>
      <c r="T483" s="156"/>
      <c r="V483" s="167"/>
      <c r="W483" s="158"/>
      <c r="X483" s="162" t="s">
        <v>534</v>
      </c>
      <c r="Z483" s="156"/>
      <c r="AB483" s="167"/>
      <c r="AC483" s="158"/>
      <c r="AD483" s="162" t="s">
        <v>534</v>
      </c>
      <c r="AE483" s="172" t="str">
        <f t="shared" si="39"/>
        <v>|</v>
      </c>
      <c r="AG483" s="154" t="s">
        <v>1158</v>
      </c>
    </row>
    <row r="484" spans="1:33" ht="24" customHeight="1">
      <c r="A484" s="175">
        <f t="shared" si="34"/>
        <v>310</v>
      </c>
      <c r="B484" s="176" t="s">
        <v>1091</v>
      </c>
      <c r="C484" s="174">
        <v>950</v>
      </c>
      <c r="D484" s="176" t="s">
        <v>576</v>
      </c>
      <c r="F484" s="200">
        <v>7.3</v>
      </c>
      <c r="G484" s="165" t="s">
        <v>307</v>
      </c>
      <c r="H484" s="154" t="s">
        <v>1176</v>
      </c>
      <c r="M484" s="167">
        <v>1</v>
      </c>
      <c r="N484" s="154" t="s">
        <v>589</v>
      </c>
      <c r="O484" s="154" t="s">
        <v>1136</v>
      </c>
      <c r="P484" s="167">
        <f>(C56)</f>
        <v>12.1</v>
      </c>
      <c r="Q484" s="154" t="s">
        <v>589</v>
      </c>
      <c r="R484" s="167">
        <f>(M484*P484)</f>
        <v>12.1</v>
      </c>
      <c r="S484" s="76"/>
      <c r="T484" s="156"/>
      <c r="U484" s="154" t="s">
        <v>881</v>
      </c>
      <c r="W484" s="158"/>
      <c r="X484" s="167">
        <f>(X482/0.372)</f>
        <v>2158.5537634408606</v>
      </c>
      <c r="Z484" s="156"/>
      <c r="AA484" s="154" t="s">
        <v>881</v>
      </c>
      <c r="AC484" s="158"/>
      <c r="AD484" s="167">
        <f>(AD482/0.372)</f>
        <v>2178.1236559139788</v>
      </c>
      <c r="AE484" s="172" t="str">
        <f t="shared" si="39"/>
        <v>|</v>
      </c>
      <c r="AG484" s="154" t="s">
        <v>1158</v>
      </c>
    </row>
    <row r="485" spans="1:33" ht="24" customHeight="1">
      <c r="A485" s="175">
        <f t="shared" si="34"/>
        <v>311</v>
      </c>
      <c r="B485" s="176" t="s">
        <v>1035</v>
      </c>
      <c r="C485" s="174">
        <v>1205</v>
      </c>
      <c r="D485" s="176" t="s">
        <v>576</v>
      </c>
      <c r="F485" s="154" t="s">
        <v>22</v>
      </c>
      <c r="H485" s="154" t="s">
        <v>1177</v>
      </c>
      <c r="M485" s="167">
        <v>1</v>
      </c>
      <c r="N485" s="154" t="s">
        <v>589</v>
      </c>
      <c r="O485" s="154" t="s">
        <v>590</v>
      </c>
      <c r="Q485" s="154" t="s">
        <v>589</v>
      </c>
      <c r="R485" s="167">
        <v>0</v>
      </c>
      <c r="S485" s="76"/>
      <c r="T485" s="156"/>
      <c r="W485" s="158"/>
      <c r="X485" s="162" t="s">
        <v>528</v>
      </c>
      <c r="Z485" s="156"/>
      <c r="AC485" s="158"/>
      <c r="AD485" s="162" t="s">
        <v>528</v>
      </c>
      <c r="AE485" s="172" t="str">
        <f t="shared" si="39"/>
        <v>|</v>
      </c>
      <c r="AG485" s="154" t="s">
        <v>1158</v>
      </c>
    </row>
    <row r="486" spans="1:33" ht="24" customHeight="1">
      <c r="A486" s="175">
        <f t="shared" si="34"/>
        <v>312</v>
      </c>
      <c r="B486" s="176" t="s">
        <v>1120</v>
      </c>
      <c r="C486" s="231">
        <v>1480</v>
      </c>
      <c r="D486" s="176" t="s">
        <v>576</v>
      </c>
      <c r="F486" s="154" t="s">
        <v>22</v>
      </c>
      <c r="H486" s="162" t="s">
        <v>1178</v>
      </c>
      <c r="R486" s="162" t="s">
        <v>534</v>
      </c>
      <c r="S486" s="76"/>
      <c r="T486" s="156"/>
      <c r="U486" s="154" t="s">
        <v>789</v>
      </c>
      <c r="V486" s="76">
        <f>X484</f>
        <v>2158.5537634408606</v>
      </c>
      <c r="W486" s="158">
        <f>J659</f>
        <v>3.2373118279569901</v>
      </c>
      <c r="X486" s="166">
        <f>V486+W486</f>
        <v>2161.7910752688176</v>
      </c>
      <c r="Z486" s="156"/>
      <c r="AA486" s="154" t="s">
        <v>789</v>
      </c>
      <c r="AB486" s="76">
        <f>AD484</f>
        <v>2178.1236559139788</v>
      </c>
      <c r="AC486" s="158">
        <f t="shared" ref="AC486:AC491" si="41">W486</f>
        <v>3.2373118279569901</v>
      </c>
      <c r="AD486" s="166">
        <f>AB486+AC486</f>
        <v>2181.3609677419358</v>
      </c>
      <c r="AE486" s="172" t="str">
        <f t="shared" si="39"/>
        <v>|</v>
      </c>
      <c r="AG486" s="154" t="s">
        <v>1158</v>
      </c>
    </row>
    <row r="487" spans="1:33" ht="24" customHeight="1">
      <c r="A487" s="175">
        <f t="shared" si="34"/>
        <v>313</v>
      </c>
      <c r="B487" s="248" t="s">
        <v>1179</v>
      </c>
      <c r="C487" s="188"/>
      <c r="D487" s="176"/>
      <c r="F487" s="167">
        <v>0.13</v>
      </c>
      <c r="G487" s="165" t="s">
        <v>577</v>
      </c>
      <c r="H487" s="154" t="s">
        <v>702</v>
      </c>
      <c r="I487" s="167">
        <f>(K40)</f>
        <v>3667.67</v>
      </c>
      <c r="J487" s="154" t="s">
        <v>577</v>
      </c>
      <c r="K487" s="167">
        <f t="shared" ref="K487:K492" si="42">(F487*I487)</f>
        <v>476.7971</v>
      </c>
      <c r="O487" s="154" t="s">
        <v>1138</v>
      </c>
      <c r="R487" s="167">
        <f>SUM(R468:R485)</f>
        <v>1898.3469999999998</v>
      </c>
      <c r="S487" s="76"/>
      <c r="T487" s="156"/>
      <c r="U487" s="154" t="s">
        <v>793</v>
      </c>
      <c r="V487" s="76">
        <f>X486</f>
        <v>2161.7910752688176</v>
      </c>
      <c r="W487" s="158">
        <f>J662</f>
        <v>6.3752688172043008</v>
      </c>
      <c r="X487" s="166">
        <f>V487+W487</f>
        <v>2168.166344086022</v>
      </c>
      <c r="Z487" s="156"/>
      <c r="AA487" s="154" t="s">
        <v>793</v>
      </c>
      <c r="AB487" s="76">
        <f>AD486</f>
        <v>2181.3609677419358</v>
      </c>
      <c r="AC487" s="158">
        <f t="shared" si="41"/>
        <v>6.3752688172043008</v>
      </c>
      <c r="AD487" s="166">
        <f>AB487+AC487</f>
        <v>2187.7362365591403</v>
      </c>
      <c r="AE487" s="172" t="str">
        <f t="shared" si="39"/>
        <v>|</v>
      </c>
      <c r="AG487" s="154" t="s">
        <v>1158</v>
      </c>
    </row>
    <row r="488" spans="1:33" ht="24" customHeight="1">
      <c r="A488" s="175">
        <f t="shared" ref="A488:A494" si="43">(A487+1)</f>
        <v>314</v>
      </c>
      <c r="B488" s="176" t="s">
        <v>1094</v>
      </c>
      <c r="C488" s="174">
        <v>166</v>
      </c>
      <c r="D488" s="176" t="s">
        <v>576</v>
      </c>
      <c r="F488" s="167">
        <v>0.7</v>
      </c>
      <c r="G488" s="165" t="s">
        <v>680</v>
      </c>
      <c r="H488" s="154" t="s">
        <v>778</v>
      </c>
      <c r="I488" s="167">
        <f>(C10)</f>
        <v>717.2</v>
      </c>
      <c r="J488" s="154" t="s">
        <v>680</v>
      </c>
      <c r="K488" s="167">
        <f t="shared" si="42"/>
        <v>502.04</v>
      </c>
      <c r="R488" s="162" t="s">
        <v>534</v>
      </c>
      <c r="S488" s="76"/>
      <c r="T488" s="156"/>
      <c r="U488" s="154" t="s">
        <v>796</v>
      </c>
      <c r="V488" s="76">
        <f>X487</f>
        <v>2168.166344086022</v>
      </c>
      <c r="W488" s="158">
        <f>J663</f>
        <v>6.3752688172043008</v>
      </c>
      <c r="X488" s="166">
        <f>V488+W488</f>
        <v>2174.5416129032265</v>
      </c>
      <c r="Z488" s="156"/>
      <c r="AA488" s="154" t="s">
        <v>796</v>
      </c>
      <c r="AB488" s="76">
        <f>AD487</f>
        <v>2187.7362365591403</v>
      </c>
      <c r="AC488" s="158">
        <f t="shared" si="41"/>
        <v>6.3752688172043008</v>
      </c>
      <c r="AD488" s="166">
        <f>AB488+AC488</f>
        <v>2194.1115053763447</v>
      </c>
      <c r="AE488" s="172" t="str">
        <f t="shared" si="39"/>
        <v>|</v>
      </c>
      <c r="AG488" s="154" t="s">
        <v>1158</v>
      </c>
    </row>
    <row r="489" spans="1:33" ht="33.75" customHeight="1">
      <c r="A489" s="175">
        <f t="shared" si="43"/>
        <v>315</v>
      </c>
      <c r="B489" s="176" t="s">
        <v>1087</v>
      </c>
      <c r="C489" s="174">
        <v>235</v>
      </c>
      <c r="D489" s="176" t="s">
        <v>576</v>
      </c>
      <c r="F489" s="167">
        <v>0.7</v>
      </c>
      <c r="G489" s="165" t="s">
        <v>680</v>
      </c>
      <c r="H489" s="154" t="s">
        <v>752</v>
      </c>
      <c r="I489" s="167">
        <f>(C11)</f>
        <v>669.90000000000009</v>
      </c>
      <c r="J489" s="154" t="s">
        <v>680</v>
      </c>
      <c r="K489" s="167">
        <f t="shared" si="42"/>
        <v>468.93</v>
      </c>
      <c r="O489" s="154" t="s">
        <v>1139</v>
      </c>
      <c r="R489" s="167">
        <f>(R487/30)</f>
        <v>63.278233333333326</v>
      </c>
      <c r="S489" s="76"/>
      <c r="T489" s="156"/>
      <c r="U489" s="154" t="s">
        <v>798</v>
      </c>
      <c r="V489" s="76">
        <f>X488</f>
        <v>2174.5416129032265</v>
      </c>
      <c r="W489" s="158">
        <f>J664</f>
        <v>6.3752688172043008</v>
      </c>
      <c r="X489" s="166">
        <f>V489+W489</f>
        <v>2180.9168817204309</v>
      </c>
      <c r="Z489" s="156"/>
      <c r="AA489" s="154" t="s">
        <v>798</v>
      </c>
      <c r="AB489" s="76">
        <f>AD488</f>
        <v>2194.1115053763447</v>
      </c>
      <c r="AC489" s="158">
        <f t="shared" si="41"/>
        <v>6.3752688172043008</v>
      </c>
      <c r="AD489" s="166">
        <f>AB489+AC489</f>
        <v>2200.4867741935491</v>
      </c>
      <c r="AE489" s="172" t="str">
        <f t="shared" si="39"/>
        <v>|</v>
      </c>
      <c r="AG489" s="154" t="s">
        <v>1158</v>
      </c>
    </row>
    <row r="490" spans="1:33" ht="24" customHeight="1">
      <c r="A490" s="175">
        <f t="shared" si="43"/>
        <v>316</v>
      </c>
      <c r="B490" s="176" t="s">
        <v>1089</v>
      </c>
      <c r="C490" s="174">
        <v>342</v>
      </c>
      <c r="D490" s="176" t="s">
        <v>576</v>
      </c>
      <c r="F490" s="167">
        <v>1.5</v>
      </c>
      <c r="G490" s="165" t="s">
        <v>680</v>
      </c>
      <c r="H490" s="154" t="s">
        <v>754</v>
      </c>
      <c r="I490" s="167">
        <f>(C12)</f>
        <v>468.6</v>
      </c>
      <c r="J490" s="154" t="s">
        <v>680</v>
      </c>
      <c r="K490" s="167">
        <f t="shared" si="42"/>
        <v>702.90000000000009</v>
      </c>
      <c r="R490" s="162" t="s">
        <v>534</v>
      </c>
      <c r="S490" s="76"/>
      <c r="T490" s="156"/>
      <c r="U490" s="154" t="s">
        <v>1180</v>
      </c>
      <c r="V490" s="76">
        <f>X489</f>
        <v>2180.9168817204309</v>
      </c>
      <c r="W490" s="158">
        <f>J665</f>
        <v>6.3752688172043008</v>
      </c>
      <c r="X490" s="166">
        <f>V490+W490</f>
        <v>2187.2921505376353</v>
      </c>
      <c r="Z490" s="156"/>
      <c r="AA490" s="154" t="s">
        <v>1180</v>
      </c>
      <c r="AB490" s="76">
        <f>AD489</f>
        <v>2200.4867741935491</v>
      </c>
      <c r="AC490" s="158">
        <f t="shared" si="41"/>
        <v>6.3752688172043008</v>
      </c>
      <c r="AD490" s="166">
        <f>AB490+AC490</f>
        <v>2206.8620430107535</v>
      </c>
      <c r="AE490" s="172" t="str">
        <f t="shared" si="39"/>
        <v>|</v>
      </c>
      <c r="AG490" s="154" t="s">
        <v>1158</v>
      </c>
    </row>
    <row r="491" spans="1:33" ht="24" customHeight="1">
      <c r="A491" s="175">
        <f t="shared" si="43"/>
        <v>317</v>
      </c>
      <c r="B491" s="176" t="s">
        <v>1090</v>
      </c>
      <c r="C491" s="174">
        <v>499</v>
      </c>
      <c r="D491" s="176" t="s">
        <v>576</v>
      </c>
      <c r="F491" s="167">
        <v>0.5</v>
      </c>
      <c r="G491" s="165" t="s">
        <v>680</v>
      </c>
      <c r="H491" s="154" t="s">
        <v>756</v>
      </c>
      <c r="I491" s="167">
        <f>(C13)</f>
        <v>404.8</v>
      </c>
      <c r="J491" s="154" t="s">
        <v>680</v>
      </c>
      <c r="K491" s="167">
        <f t="shared" si="42"/>
        <v>202.4</v>
      </c>
      <c r="M491" s="154" t="s">
        <v>22</v>
      </c>
      <c r="Y491" s="159"/>
      <c r="AC491" s="158">
        <f t="shared" si="41"/>
        <v>0</v>
      </c>
      <c r="AE491" s="172" t="str">
        <f t="shared" si="39"/>
        <v>|</v>
      </c>
      <c r="AG491" s="154" t="s">
        <v>1158</v>
      </c>
    </row>
    <row r="492" spans="1:33" ht="24" customHeight="1">
      <c r="A492" s="175">
        <f t="shared" si="43"/>
        <v>318</v>
      </c>
      <c r="B492" s="176" t="s">
        <v>1091</v>
      </c>
      <c r="C492" s="174">
        <v>634</v>
      </c>
      <c r="D492" s="176" t="s">
        <v>576</v>
      </c>
      <c r="F492" s="167">
        <v>0.94</v>
      </c>
      <c r="G492" s="165" t="s">
        <v>420</v>
      </c>
      <c r="H492" s="154" t="s">
        <v>1181</v>
      </c>
      <c r="I492" s="167">
        <f>C653</f>
        <v>41.5</v>
      </c>
      <c r="J492" s="154" t="s">
        <v>420</v>
      </c>
      <c r="K492" s="167">
        <f t="shared" si="42"/>
        <v>39.01</v>
      </c>
      <c r="N492" s="154" t="s">
        <v>307</v>
      </c>
      <c r="O492" s="154" t="s">
        <v>1115</v>
      </c>
      <c r="Y492" s="159"/>
      <c r="AE492" s="172" t="str">
        <f t="shared" si="39"/>
        <v>|</v>
      </c>
      <c r="AG492" s="154" t="s">
        <v>1158</v>
      </c>
    </row>
    <row r="493" spans="1:33" ht="24" customHeight="1">
      <c r="A493" s="175">
        <f t="shared" si="43"/>
        <v>319</v>
      </c>
      <c r="B493" s="176" t="s">
        <v>1035</v>
      </c>
      <c r="C493" s="177">
        <v>584</v>
      </c>
      <c r="D493" s="176" t="s">
        <v>576</v>
      </c>
      <c r="H493" s="154" t="s">
        <v>590</v>
      </c>
      <c r="I493" s="154" t="s">
        <v>22</v>
      </c>
      <c r="J493" s="154" t="s">
        <v>589</v>
      </c>
      <c r="K493" s="167">
        <v>0</v>
      </c>
      <c r="O493" s="154" t="s">
        <v>1116</v>
      </c>
      <c r="Y493" s="159"/>
      <c r="AE493" s="172" t="str">
        <f t="shared" si="39"/>
        <v>|</v>
      </c>
      <c r="AG493" s="154" t="s">
        <v>1158</v>
      </c>
    </row>
    <row r="494" spans="1:33" ht="24" customHeight="1">
      <c r="A494" s="175">
        <f t="shared" si="43"/>
        <v>320</v>
      </c>
      <c r="B494" s="176" t="s">
        <v>1120</v>
      </c>
      <c r="C494" s="188"/>
      <c r="D494" s="176" t="s">
        <v>576</v>
      </c>
      <c r="K494" s="162" t="s">
        <v>534</v>
      </c>
      <c r="O494" s="154" t="s">
        <v>1182</v>
      </c>
      <c r="Y494" s="159"/>
      <c r="AE494" s="172" t="str">
        <f t="shared" si="39"/>
        <v>|</v>
      </c>
      <c r="AG494" s="154" t="s">
        <v>1158</v>
      </c>
    </row>
    <row r="495" spans="1:33" ht="24" customHeight="1">
      <c r="A495" s="175">
        <f>(A494+1)</f>
        <v>321</v>
      </c>
      <c r="B495" s="248" t="s">
        <v>1183</v>
      </c>
      <c r="C495" s="188"/>
      <c r="D495" s="176" t="s">
        <v>576</v>
      </c>
      <c r="H495" s="154" t="s">
        <v>879</v>
      </c>
      <c r="K495" s="167">
        <f>SUM(K486:K493)</f>
        <v>2392.0771000000004</v>
      </c>
      <c r="O495" s="162" t="s">
        <v>534</v>
      </c>
      <c r="Y495" s="159"/>
      <c r="AE495" s="172" t="str">
        <f t="shared" si="39"/>
        <v>|</v>
      </c>
      <c r="AG495" s="154" t="s">
        <v>1158</v>
      </c>
    </row>
    <row r="496" spans="1:33" ht="24" customHeight="1">
      <c r="A496" s="175">
        <f>(A495+1)</f>
        <v>322</v>
      </c>
      <c r="B496" s="176" t="s">
        <v>1184</v>
      </c>
      <c r="C496" s="174">
        <v>20.100000000000001</v>
      </c>
      <c r="D496" s="176" t="s">
        <v>576</v>
      </c>
      <c r="K496" s="162" t="s">
        <v>534</v>
      </c>
      <c r="N496" s="154" t="s">
        <v>1118</v>
      </c>
      <c r="O496" s="155" t="s">
        <v>1185</v>
      </c>
      <c r="Y496" s="159"/>
      <c r="AE496" s="172" t="str">
        <f t="shared" si="39"/>
        <v>|</v>
      </c>
      <c r="AG496" s="154" t="s">
        <v>1158</v>
      </c>
    </row>
    <row r="497" spans="1:33" ht="33.75" customHeight="1">
      <c r="A497" s="175">
        <f>(A496+1)</f>
        <v>323</v>
      </c>
      <c r="B497" s="176" t="s">
        <v>1186</v>
      </c>
      <c r="C497" s="177">
        <v>11.5</v>
      </c>
      <c r="D497" s="176" t="s">
        <v>576</v>
      </c>
      <c r="H497" s="169" t="s">
        <v>881</v>
      </c>
      <c r="K497" s="166">
        <f>(K495/10)</f>
        <v>239.20771000000005</v>
      </c>
      <c r="O497" s="162" t="s">
        <v>534</v>
      </c>
      <c r="Y497" s="159"/>
      <c r="AE497" s="172" t="str">
        <f t="shared" si="39"/>
        <v>|</v>
      </c>
      <c r="AG497" s="154" t="s">
        <v>1158</v>
      </c>
    </row>
    <row r="498" spans="1:33" ht="36" customHeight="1">
      <c r="A498" s="188"/>
      <c r="B498" s="188"/>
      <c r="C498" s="188"/>
      <c r="D498" s="188"/>
      <c r="F498" s="154" t="s">
        <v>22</v>
      </c>
      <c r="AE498" s="172" t="str">
        <f t="shared" si="39"/>
        <v>|</v>
      </c>
      <c r="AG498" s="154" t="s">
        <v>1158</v>
      </c>
    </row>
    <row r="499" spans="1:33" ht="24" customHeight="1">
      <c r="A499" s="175">
        <f>(A497+1)</f>
        <v>324</v>
      </c>
      <c r="B499" s="176" t="s">
        <v>1187</v>
      </c>
      <c r="C499" s="174">
        <v>28.4</v>
      </c>
      <c r="D499" s="176" t="s">
        <v>576</v>
      </c>
      <c r="K499" s="162" t="s">
        <v>528</v>
      </c>
      <c r="M499" s="167">
        <v>30</v>
      </c>
      <c r="N499" s="154" t="s">
        <v>410</v>
      </c>
      <c r="O499" s="154" t="s">
        <v>1188</v>
      </c>
      <c r="P499" s="167">
        <f>(C42)</f>
        <v>5</v>
      </c>
      <c r="Q499" s="154" t="s">
        <v>410</v>
      </c>
      <c r="R499" s="167">
        <f>(M499*P499)</f>
        <v>150</v>
      </c>
      <c r="AE499" s="172" t="str">
        <f t="shared" si="39"/>
        <v>|</v>
      </c>
      <c r="AG499" s="154" t="s">
        <v>1158</v>
      </c>
    </row>
    <row r="500" spans="1:33" ht="24" customHeight="1">
      <c r="A500" s="175">
        <f t="shared" ref="A500:A562" si="44">(A499+1)</f>
        <v>325</v>
      </c>
      <c r="B500" s="176" t="s">
        <v>1189</v>
      </c>
      <c r="C500" s="177">
        <v>56.74</v>
      </c>
      <c r="D500" s="176" t="s">
        <v>576</v>
      </c>
      <c r="F500" s="155"/>
      <c r="G500" s="165" t="s">
        <v>307</v>
      </c>
      <c r="H500" s="154" t="s">
        <v>1190</v>
      </c>
      <c r="M500" s="154" t="s">
        <v>22</v>
      </c>
      <c r="O500" s="154" t="s">
        <v>1191</v>
      </c>
      <c r="P500" s="154" t="s">
        <v>22</v>
      </c>
      <c r="R500" s="154" t="s">
        <v>22</v>
      </c>
      <c r="AE500" s="172" t="str">
        <f t="shared" si="39"/>
        <v>|</v>
      </c>
      <c r="AG500" s="154" t="s">
        <v>1158</v>
      </c>
    </row>
    <row r="501" spans="1:33" ht="24" customHeight="1">
      <c r="A501" s="175">
        <f t="shared" si="44"/>
        <v>326</v>
      </c>
      <c r="B501" s="176" t="s">
        <v>1192</v>
      </c>
      <c r="C501" s="177">
        <v>56.74</v>
      </c>
      <c r="D501" s="176" t="s">
        <v>576</v>
      </c>
      <c r="H501" s="154" t="s">
        <v>974</v>
      </c>
      <c r="M501" s="167">
        <v>8</v>
      </c>
      <c r="N501" s="154" t="s">
        <v>576</v>
      </c>
      <c r="O501" s="154" t="s">
        <v>1131</v>
      </c>
      <c r="P501" s="167">
        <f>(C43)</f>
        <v>6.2</v>
      </c>
      <c r="Q501" s="154" t="s">
        <v>576</v>
      </c>
      <c r="R501" s="167">
        <f t="shared" ref="R501:R506" si="45">(M501*P501)</f>
        <v>49.6</v>
      </c>
      <c r="AE501" s="172" t="str">
        <f t="shared" si="39"/>
        <v>|</v>
      </c>
      <c r="AG501" s="154" t="s">
        <v>1158</v>
      </c>
    </row>
    <row r="502" spans="1:33" ht="45.75" customHeight="1">
      <c r="A502" s="175">
        <f t="shared" si="44"/>
        <v>327</v>
      </c>
      <c r="B502" s="248" t="s">
        <v>1193</v>
      </c>
      <c r="C502" s="188"/>
      <c r="D502" s="176" t="s">
        <v>22</v>
      </c>
      <c r="H502" s="162" t="s">
        <v>534</v>
      </c>
      <c r="M502" s="167">
        <v>8</v>
      </c>
      <c r="N502" s="154" t="s">
        <v>576</v>
      </c>
      <c r="O502" s="154" t="s">
        <v>1134</v>
      </c>
      <c r="P502" s="167">
        <f>(C50)</f>
        <v>8.6999999999999993</v>
      </c>
      <c r="Q502" s="154" t="s">
        <v>576</v>
      </c>
      <c r="R502" s="167">
        <f t="shared" si="45"/>
        <v>69.599999999999994</v>
      </c>
      <c r="AE502" s="172" t="str">
        <f t="shared" si="39"/>
        <v>|</v>
      </c>
      <c r="AG502" s="154" t="s">
        <v>1158</v>
      </c>
    </row>
    <row r="503" spans="1:33" ht="24" customHeight="1">
      <c r="A503" s="175">
        <f t="shared" si="44"/>
        <v>328</v>
      </c>
      <c r="B503" s="176" t="s">
        <v>1194</v>
      </c>
      <c r="C503" s="174">
        <v>69.2</v>
      </c>
      <c r="D503" s="176" t="s">
        <v>576</v>
      </c>
      <c r="F503" s="167">
        <v>9</v>
      </c>
      <c r="G503" s="165" t="s">
        <v>577</v>
      </c>
      <c r="H503" s="154" t="s">
        <v>1195</v>
      </c>
      <c r="I503" s="167">
        <f>(C70)</f>
        <v>846.21</v>
      </c>
      <c r="J503" s="154" t="s">
        <v>577</v>
      </c>
      <c r="K503" s="167">
        <f t="shared" ref="K503:K508" si="46">(F503*I503)</f>
        <v>7615.89</v>
      </c>
      <c r="M503" s="167">
        <v>3</v>
      </c>
      <c r="N503" s="154" t="s">
        <v>576</v>
      </c>
      <c r="O503" s="154" t="s">
        <v>1196</v>
      </c>
      <c r="P503" s="167">
        <f>(C41)</f>
        <v>531.30000000000007</v>
      </c>
      <c r="Q503" s="154" t="s">
        <v>576</v>
      </c>
      <c r="R503" s="167">
        <f t="shared" si="45"/>
        <v>1593.9</v>
      </c>
      <c r="AE503" s="172" t="str">
        <f t="shared" si="39"/>
        <v>|</v>
      </c>
      <c r="AG503" s="154" t="s">
        <v>1158</v>
      </c>
    </row>
    <row r="504" spans="1:33" ht="24" customHeight="1">
      <c r="A504" s="175">
        <f t="shared" si="44"/>
        <v>329</v>
      </c>
      <c r="B504" s="176" t="s">
        <v>1186</v>
      </c>
      <c r="C504" s="177">
        <v>15.6</v>
      </c>
      <c r="D504" s="176" t="s">
        <v>576</v>
      </c>
      <c r="F504" s="198">
        <v>3.2309999999999999</v>
      </c>
      <c r="G504" s="165" t="s">
        <v>567</v>
      </c>
      <c r="H504" s="154" t="s">
        <v>568</v>
      </c>
      <c r="I504" s="167">
        <f>(C67)</f>
        <v>5750</v>
      </c>
      <c r="J504" s="154" t="s">
        <v>567</v>
      </c>
      <c r="K504" s="167">
        <f t="shared" si="46"/>
        <v>18578.25</v>
      </c>
      <c r="M504" s="167">
        <v>1</v>
      </c>
      <c r="N504" s="154" t="s">
        <v>576</v>
      </c>
      <c r="O504" s="154" t="s">
        <v>1197</v>
      </c>
      <c r="P504" s="167">
        <f>(C10)</f>
        <v>717.2</v>
      </c>
      <c r="Q504" s="154" t="s">
        <v>576</v>
      </c>
      <c r="R504" s="167">
        <f t="shared" si="45"/>
        <v>717.2</v>
      </c>
      <c r="AE504" s="172" t="str">
        <f t="shared" si="39"/>
        <v>|</v>
      </c>
      <c r="AG504" s="154" t="s">
        <v>1158</v>
      </c>
    </row>
    <row r="505" spans="1:33" ht="24" customHeight="1">
      <c r="A505" s="175">
        <f t="shared" si="44"/>
        <v>330</v>
      </c>
      <c r="B505" s="176" t="s">
        <v>1198</v>
      </c>
      <c r="C505" s="174">
        <v>74.599999999999994</v>
      </c>
      <c r="D505" s="176" t="s">
        <v>576</v>
      </c>
      <c r="F505" s="167">
        <v>4.5</v>
      </c>
      <c r="G505" s="165" t="s">
        <v>577</v>
      </c>
      <c r="H505" s="154" t="s">
        <v>578</v>
      </c>
      <c r="I505" s="167">
        <f>(C78)</f>
        <v>1514.4</v>
      </c>
      <c r="J505" s="154" t="s">
        <v>577</v>
      </c>
      <c r="K505" s="167">
        <f t="shared" si="46"/>
        <v>6814.8</v>
      </c>
      <c r="M505" s="167">
        <v>2</v>
      </c>
      <c r="N505" s="154" t="s">
        <v>576</v>
      </c>
      <c r="O505" s="154" t="s">
        <v>754</v>
      </c>
      <c r="P505" s="167">
        <f>(C12)</f>
        <v>468.6</v>
      </c>
      <c r="Q505" s="154" t="s">
        <v>576</v>
      </c>
      <c r="R505" s="167">
        <f t="shared" si="45"/>
        <v>937.2</v>
      </c>
      <c r="AE505" s="172" t="str">
        <f t="shared" si="39"/>
        <v>|</v>
      </c>
      <c r="AG505" s="154" t="s">
        <v>1158</v>
      </c>
    </row>
    <row r="506" spans="1:33" ht="24" customHeight="1">
      <c r="A506" s="175">
        <f t="shared" si="44"/>
        <v>331</v>
      </c>
      <c r="B506" s="176" t="s">
        <v>1189</v>
      </c>
      <c r="C506" s="177">
        <v>100.3</v>
      </c>
      <c r="D506" s="176" t="s">
        <v>576</v>
      </c>
      <c r="F506" s="167">
        <v>3.5</v>
      </c>
      <c r="G506" s="165" t="s">
        <v>576</v>
      </c>
      <c r="H506" s="154" t="s">
        <v>752</v>
      </c>
      <c r="I506" s="167">
        <f>(C11)</f>
        <v>669.90000000000009</v>
      </c>
      <c r="J506" s="154" t="s">
        <v>576</v>
      </c>
      <c r="K506" s="167">
        <f t="shared" si="46"/>
        <v>2344.6500000000005</v>
      </c>
      <c r="M506" s="167">
        <v>1</v>
      </c>
      <c r="N506" s="154" t="s">
        <v>576</v>
      </c>
      <c r="O506" s="154" t="s">
        <v>756</v>
      </c>
      <c r="P506" s="167">
        <f>(C13)</f>
        <v>404.8</v>
      </c>
      <c r="Q506" s="154" t="s">
        <v>576</v>
      </c>
      <c r="R506" s="167">
        <f t="shared" si="45"/>
        <v>404.8</v>
      </c>
      <c r="AE506" s="172" t="str">
        <f t="shared" si="39"/>
        <v>|</v>
      </c>
      <c r="AG506" s="154" t="s">
        <v>1158</v>
      </c>
    </row>
    <row r="507" spans="1:33" ht="24" customHeight="1">
      <c r="A507" s="175">
        <f t="shared" si="44"/>
        <v>332</v>
      </c>
      <c r="B507" s="176" t="s">
        <v>1192</v>
      </c>
      <c r="C507" s="177">
        <v>100.3</v>
      </c>
      <c r="D507" s="176" t="s">
        <v>576</v>
      </c>
      <c r="F507" s="167">
        <v>21.2</v>
      </c>
      <c r="G507" s="165" t="s">
        <v>576</v>
      </c>
      <c r="H507" s="154" t="s">
        <v>754</v>
      </c>
      <c r="I507" s="167">
        <f>(C12)</f>
        <v>468.6</v>
      </c>
      <c r="J507" s="154" t="s">
        <v>576</v>
      </c>
      <c r="K507" s="167">
        <f t="shared" si="46"/>
        <v>9934.32</v>
      </c>
      <c r="N507" s="154" t="s">
        <v>589</v>
      </c>
      <c r="O507" s="154" t="s">
        <v>1199</v>
      </c>
      <c r="P507" s="154" t="s">
        <v>22</v>
      </c>
      <c r="Q507" s="154" t="s">
        <v>589</v>
      </c>
      <c r="R507" s="167">
        <f>(C56)</f>
        <v>12.1</v>
      </c>
      <c r="AE507" s="172" t="str">
        <f t="shared" si="39"/>
        <v>|</v>
      </c>
      <c r="AG507" s="154" t="s">
        <v>1158</v>
      </c>
    </row>
    <row r="508" spans="1:33" ht="24" customHeight="1">
      <c r="A508" s="175">
        <f t="shared" si="44"/>
        <v>333</v>
      </c>
      <c r="B508" s="248" t="s">
        <v>1200</v>
      </c>
      <c r="C508" s="188"/>
      <c r="D508" s="176" t="s">
        <v>22</v>
      </c>
      <c r="F508" s="167">
        <v>35.299999999999997</v>
      </c>
      <c r="G508" s="165" t="s">
        <v>576</v>
      </c>
      <c r="H508" s="154" t="s">
        <v>756</v>
      </c>
      <c r="I508" s="167">
        <f>(C13)</f>
        <v>404.8</v>
      </c>
      <c r="J508" s="154" t="s">
        <v>576</v>
      </c>
      <c r="K508" s="167">
        <f t="shared" si="46"/>
        <v>14289.439999999999</v>
      </c>
      <c r="O508" s="154" t="s">
        <v>1201</v>
      </c>
      <c r="P508" s="154" t="s">
        <v>22</v>
      </c>
      <c r="R508" s="154" t="s">
        <v>22</v>
      </c>
      <c r="AE508" s="172" t="str">
        <f t="shared" si="39"/>
        <v>|</v>
      </c>
      <c r="AG508" s="154" t="s">
        <v>1158</v>
      </c>
    </row>
    <row r="509" spans="1:33" ht="24" customHeight="1">
      <c r="A509" s="175">
        <f t="shared" si="44"/>
        <v>334</v>
      </c>
      <c r="B509" s="176" t="s">
        <v>1194</v>
      </c>
      <c r="C509" s="174">
        <v>40</v>
      </c>
      <c r="D509" s="176" t="s">
        <v>576</v>
      </c>
      <c r="G509" s="165" t="s">
        <v>589</v>
      </c>
      <c r="H509" s="154" t="s">
        <v>590</v>
      </c>
      <c r="I509" s="154" t="s">
        <v>22</v>
      </c>
      <c r="J509" s="154" t="s">
        <v>589</v>
      </c>
      <c r="K509" s="167">
        <v>0</v>
      </c>
      <c r="N509" s="154" t="s">
        <v>589</v>
      </c>
      <c r="O509" s="154" t="s">
        <v>590</v>
      </c>
      <c r="Q509" s="154" t="s">
        <v>589</v>
      </c>
      <c r="R509" s="167">
        <v>0</v>
      </c>
      <c r="AE509" s="172" t="str">
        <f t="shared" si="39"/>
        <v>|</v>
      </c>
      <c r="AG509" s="154" t="s">
        <v>1158</v>
      </c>
    </row>
    <row r="510" spans="1:33" ht="24" customHeight="1">
      <c r="A510" s="175">
        <f t="shared" si="44"/>
        <v>335</v>
      </c>
      <c r="B510" s="176" t="s">
        <v>1186</v>
      </c>
      <c r="C510" s="250">
        <v>47</v>
      </c>
      <c r="D510" s="176" t="s">
        <v>576</v>
      </c>
      <c r="K510" s="162" t="s">
        <v>534</v>
      </c>
      <c r="R510" s="162" t="s">
        <v>534</v>
      </c>
      <c r="AE510" s="172" t="str">
        <f t="shared" si="39"/>
        <v>|</v>
      </c>
      <c r="AG510" s="154" t="s">
        <v>1158</v>
      </c>
    </row>
    <row r="511" spans="1:33" ht="24" customHeight="1">
      <c r="A511" s="175">
        <f t="shared" si="44"/>
        <v>336</v>
      </c>
      <c r="B511" s="176" t="s">
        <v>1198</v>
      </c>
      <c r="C511" s="174">
        <v>51.5</v>
      </c>
      <c r="D511" s="176" t="s">
        <v>576</v>
      </c>
      <c r="H511" s="154" t="s">
        <v>989</v>
      </c>
      <c r="K511" s="167">
        <f>SUM(K503:K509)</f>
        <v>59577.350000000006</v>
      </c>
      <c r="O511" s="154" t="s">
        <v>1202</v>
      </c>
      <c r="R511" s="167">
        <f>SUM(R499:R509)</f>
        <v>3934.4</v>
      </c>
      <c r="AE511" s="172" t="str">
        <f t="shared" si="39"/>
        <v>|</v>
      </c>
      <c r="AG511" s="154" t="s">
        <v>1158</v>
      </c>
    </row>
    <row r="512" spans="1:33" ht="24" customHeight="1">
      <c r="A512" s="175">
        <f t="shared" si="44"/>
        <v>337</v>
      </c>
      <c r="B512" s="176" t="s">
        <v>1203</v>
      </c>
      <c r="C512" s="177">
        <v>36.61</v>
      </c>
      <c r="D512" s="176" t="s">
        <v>576</v>
      </c>
      <c r="K512" s="162" t="s">
        <v>534</v>
      </c>
      <c r="R512" s="162" t="s">
        <v>534</v>
      </c>
      <c r="AE512" s="172" t="str">
        <f t="shared" si="39"/>
        <v>|</v>
      </c>
      <c r="AG512" s="154" t="s">
        <v>1158</v>
      </c>
    </row>
    <row r="513" spans="1:33" ht="24" customHeight="1">
      <c r="A513" s="175">
        <f t="shared" si="44"/>
        <v>338</v>
      </c>
      <c r="B513" s="176" t="s">
        <v>1189</v>
      </c>
      <c r="C513" s="177">
        <v>78.709999999999994</v>
      </c>
      <c r="D513" s="176" t="s">
        <v>576</v>
      </c>
      <c r="H513" s="154" t="s">
        <v>685</v>
      </c>
      <c r="K513" s="167">
        <f>(K511/10)+0.01</f>
        <v>5957.7450000000008</v>
      </c>
      <c r="O513" s="154" t="s">
        <v>1139</v>
      </c>
      <c r="R513" s="167">
        <f>(R511/30)</f>
        <v>131.14666666666668</v>
      </c>
      <c r="AE513" s="172" t="str">
        <f t="shared" si="39"/>
        <v>|</v>
      </c>
      <c r="AG513" s="154" t="s">
        <v>1158</v>
      </c>
    </row>
    <row r="514" spans="1:33" ht="24" customHeight="1">
      <c r="A514" s="175">
        <f t="shared" si="44"/>
        <v>339</v>
      </c>
      <c r="B514" s="176" t="s">
        <v>1192</v>
      </c>
      <c r="C514" s="177">
        <v>78.709999999999994</v>
      </c>
      <c r="D514" s="176" t="s">
        <v>576</v>
      </c>
      <c r="R514" s="162" t="s">
        <v>534</v>
      </c>
      <c r="AE514" s="172">
        <f t="shared" si="39"/>
        <v>0</v>
      </c>
    </row>
    <row r="515" spans="1:33" ht="24" customHeight="1">
      <c r="A515" s="175">
        <f t="shared" si="44"/>
        <v>340</v>
      </c>
      <c r="B515" s="176" t="s">
        <v>1204</v>
      </c>
      <c r="C515" s="188"/>
      <c r="D515" s="176" t="s">
        <v>1205</v>
      </c>
      <c r="F515" s="167">
        <v>1</v>
      </c>
      <c r="G515" s="165" t="s">
        <v>577</v>
      </c>
      <c r="H515" s="154" t="s">
        <v>997</v>
      </c>
      <c r="K515" s="167">
        <f>C25</f>
        <v>67.650000000000006</v>
      </c>
      <c r="N515" s="154" t="s">
        <v>7</v>
      </c>
      <c r="O515" s="155" t="s">
        <v>1206</v>
      </c>
      <c r="AE515" s="172" t="str">
        <f t="shared" si="39"/>
        <v>|</v>
      </c>
      <c r="AG515" s="154" t="s">
        <v>1158</v>
      </c>
    </row>
    <row r="516" spans="1:33" ht="24" customHeight="1">
      <c r="A516" s="175">
        <f t="shared" si="44"/>
        <v>341</v>
      </c>
      <c r="B516" s="176" t="s">
        <v>1207</v>
      </c>
      <c r="C516" s="195">
        <v>20.55</v>
      </c>
      <c r="D516" s="176" t="s">
        <v>410</v>
      </c>
      <c r="K516" s="162" t="s">
        <v>534</v>
      </c>
      <c r="O516" s="162" t="s">
        <v>534</v>
      </c>
      <c r="AE516" s="172" t="str">
        <f t="shared" si="39"/>
        <v>|</v>
      </c>
      <c r="AG516" s="154" t="s">
        <v>1158</v>
      </c>
    </row>
    <row r="517" spans="1:33" ht="24" customHeight="1">
      <c r="A517" s="175">
        <f t="shared" si="44"/>
        <v>342</v>
      </c>
      <c r="B517" s="176" t="s">
        <v>1208</v>
      </c>
      <c r="C517" s="195">
        <v>26</v>
      </c>
      <c r="D517" s="176" t="s">
        <v>410</v>
      </c>
      <c r="E517" s="231">
        <v>97.7</v>
      </c>
      <c r="H517" s="154" t="s">
        <v>1209</v>
      </c>
      <c r="K517" s="167">
        <f>SUM(K513:K515)</f>
        <v>6025.3950000000004</v>
      </c>
      <c r="M517" s="167">
        <v>30</v>
      </c>
      <c r="N517" s="154" t="s">
        <v>410</v>
      </c>
      <c r="O517" s="154" t="s">
        <v>1188</v>
      </c>
      <c r="P517" s="167">
        <f>(C42)</f>
        <v>5</v>
      </c>
      <c r="Q517" s="154" t="s">
        <v>410</v>
      </c>
      <c r="R517" s="167">
        <f>(M517*P517)</f>
        <v>150</v>
      </c>
      <c r="AE517" s="172" t="str">
        <f t="shared" si="39"/>
        <v>|</v>
      </c>
      <c r="AG517" s="154" t="s">
        <v>1158</v>
      </c>
    </row>
    <row r="518" spans="1:33" ht="24" customHeight="1">
      <c r="A518" s="175">
        <f t="shared" si="44"/>
        <v>343</v>
      </c>
      <c r="B518" s="176" t="s">
        <v>1210</v>
      </c>
      <c r="C518" s="195">
        <v>35</v>
      </c>
      <c r="D518" s="176" t="s">
        <v>410</v>
      </c>
      <c r="K518" s="162" t="s">
        <v>534</v>
      </c>
      <c r="M518" s="154" t="s">
        <v>22</v>
      </c>
      <c r="O518" s="154" t="s">
        <v>1191</v>
      </c>
      <c r="P518" s="154" t="s">
        <v>22</v>
      </c>
      <c r="R518" s="154" t="s">
        <v>22</v>
      </c>
      <c r="AE518" s="172" t="str">
        <f t="shared" si="39"/>
        <v>|</v>
      </c>
      <c r="AG518" s="154" t="s">
        <v>1158</v>
      </c>
    </row>
    <row r="519" spans="1:33" ht="24" customHeight="1">
      <c r="A519" s="175">
        <f t="shared" si="44"/>
        <v>344</v>
      </c>
      <c r="B519" s="176" t="s">
        <v>1211</v>
      </c>
      <c r="C519" s="195">
        <v>52</v>
      </c>
      <c r="D519" s="176" t="s">
        <v>410</v>
      </c>
      <c r="G519" s="165" t="s">
        <v>1212</v>
      </c>
      <c r="H519" s="154" t="s">
        <v>789</v>
      </c>
      <c r="K519" s="167">
        <f>(K517+C22)</f>
        <v>6111.4150000000009</v>
      </c>
      <c r="L519" s="76">
        <f>K519-K517</f>
        <v>86.020000000000437</v>
      </c>
      <c r="M519" s="167">
        <v>8</v>
      </c>
      <c r="N519" s="154" t="s">
        <v>576</v>
      </c>
      <c r="O519" s="154" t="s">
        <v>1131</v>
      </c>
      <c r="P519" s="167">
        <f>(C44)</f>
        <v>6.2</v>
      </c>
      <c r="Q519" s="154" t="s">
        <v>576</v>
      </c>
      <c r="R519" s="167">
        <f t="shared" ref="R519:R524" si="47">(M519*P519)</f>
        <v>49.6</v>
      </c>
      <c r="AE519" s="172" t="str">
        <f t="shared" si="39"/>
        <v>|</v>
      </c>
      <c r="AG519" s="154" t="s">
        <v>1158</v>
      </c>
    </row>
    <row r="520" spans="1:33" ht="24" customHeight="1">
      <c r="A520" s="175">
        <f t="shared" si="44"/>
        <v>345</v>
      </c>
      <c r="B520" s="176" t="s">
        <v>1213</v>
      </c>
      <c r="C520" s="195">
        <v>65</v>
      </c>
      <c r="D520" s="177">
        <v>21</v>
      </c>
      <c r="G520" s="165" t="s">
        <v>1214</v>
      </c>
      <c r="H520" s="154" t="s">
        <v>793</v>
      </c>
      <c r="K520" s="167">
        <f>(K519+C23)</f>
        <v>6280.8150000000005</v>
      </c>
      <c r="M520" s="167">
        <v>8</v>
      </c>
      <c r="N520" s="154" t="s">
        <v>576</v>
      </c>
      <c r="O520" s="154" t="s">
        <v>1134</v>
      </c>
      <c r="P520" s="167">
        <f>(C51)</f>
        <v>8.9</v>
      </c>
      <c r="Q520" s="154" t="s">
        <v>576</v>
      </c>
      <c r="R520" s="167">
        <f t="shared" si="47"/>
        <v>71.2</v>
      </c>
      <c r="AE520" s="172" t="str">
        <f t="shared" si="39"/>
        <v>|</v>
      </c>
      <c r="AG520" s="154" t="s">
        <v>1158</v>
      </c>
    </row>
    <row r="521" spans="1:33" ht="24" customHeight="1">
      <c r="A521" s="175">
        <f t="shared" si="44"/>
        <v>346</v>
      </c>
      <c r="B521" s="176" t="s">
        <v>1215</v>
      </c>
      <c r="C521" s="195">
        <v>82</v>
      </c>
      <c r="D521" s="177">
        <v>37.15</v>
      </c>
      <c r="G521" s="165" t="s">
        <v>1216</v>
      </c>
      <c r="H521" s="154" t="s">
        <v>796</v>
      </c>
      <c r="K521" s="167">
        <f>(K520+C24)</f>
        <v>6450.2150000000001</v>
      </c>
      <c r="M521" s="167">
        <v>3</v>
      </c>
      <c r="N521" s="154" t="s">
        <v>576</v>
      </c>
      <c r="O521" s="154" t="s">
        <v>1196</v>
      </c>
      <c r="P521" s="167">
        <f>(C41)</f>
        <v>531.30000000000007</v>
      </c>
      <c r="Q521" s="154" t="s">
        <v>576</v>
      </c>
      <c r="R521" s="167">
        <f t="shared" si="47"/>
        <v>1593.9</v>
      </c>
      <c r="AE521" s="172" t="str">
        <f t="shared" si="39"/>
        <v>|</v>
      </c>
      <c r="AG521" s="154" t="s">
        <v>1158</v>
      </c>
    </row>
    <row r="522" spans="1:33" ht="24" customHeight="1">
      <c r="A522" s="175">
        <f t="shared" si="44"/>
        <v>347</v>
      </c>
      <c r="B522" s="176" t="s">
        <v>1217</v>
      </c>
      <c r="C522" s="188"/>
      <c r="D522" s="176" t="s">
        <v>22</v>
      </c>
      <c r="G522" s="165" t="s">
        <v>1218</v>
      </c>
      <c r="H522" s="154" t="s">
        <v>798</v>
      </c>
      <c r="K522" s="167">
        <f>(K521+C24)</f>
        <v>6619.6149999999998</v>
      </c>
      <c r="M522" s="167">
        <v>1</v>
      </c>
      <c r="N522" s="154" t="s">
        <v>576</v>
      </c>
      <c r="O522" s="154" t="s">
        <v>1197</v>
      </c>
      <c r="P522" s="167">
        <f>(C10)</f>
        <v>717.2</v>
      </c>
      <c r="Q522" s="154" t="s">
        <v>576</v>
      </c>
      <c r="R522" s="167">
        <f t="shared" si="47"/>
        <v>717.2</v>
      </c>
      <c r="AE522" s="172" t="str">
        <f t="shared" si="39"/>
        <v>|::</v>
      </c>
      <c r="AG522" s="154" t="s">
        <v>947</v>
      </c>
    </row>
    <row r="523" spans="1:33" ht="24" customHeight="1">
      <c r="A523" s="175">
        <f t="shared" si="44"/>
        <v>348</v>
      </c>
      <c r="B523" s="176" t="s">
        <v>1094</v>
      </c>
      <c r="C523" s="177">
        <v>4.1900000000000004</v>
      </c>
      <c r="D523" s="176" t="s">
        <v>576</v>
      </c>
      <c r="M523" s="167">
        <v>2</v>
      </c>
      <c r="N523" s="154" t="s">
        <v>576</v>
      </c>
      <c r="O523" s="154" t="s">
        <v>754</v>
      </c>
      <c r="P523" s="167">
        <f>(C12)</f>
        <v>468.6</v>
      </c>
      <c r="Q523" s="154" t="s">
        <v>576</v>
      </c>
      <c r="R523" s="167">
        <f t="shared" si="47"/>
        <v>937.2</v>
      </c>
      <c r="AE523" s="172">
        <f t="shared" si="39"/>
        <v>0</v>
      </c>
    </row>
    <row r="524" spans="1:33" ht="24" customHeight="1">
      <c r="A524" s="175">
        <f t="shared" si="44"/>
        <v>349</v>
      </c>
      <c r="B524" s="176" t="s">
        <v>1087</v>
      </c>
      <c r="C524" s="177">
        <v>5</v>
      </c>
      <c r="D524" s="176" t="s">
        <v>576</v>
      </c>
      <c r="F524" s="155" t="s">
        <v>324</v>
      </c>
      <c r="G524" s="165" t="s">
        <v>307</v>
      </c>
      <c r="H524" s="154" t="s">
        <v>1219</v>
      </c>
      <c r="M524" s="167">
        <v>1</v>
      </c>
      <c r="N524" s="154" t="s">
        <v>576</v>
      </c>
      <c r="O524" s="154" t="s">
        <v>756</v>
      </c>
      <c r="P524" s="167">
        <f>(C13)</f>
        <v>404.8</v>
      </c>
      <c r="Q524" s="154" t="s">
        <v>576</v>
      </c>
      <c r="R524" s="167">
        <f t="shared" si="47"/>
        <v>404.8</v>
      </c>
      <c r="AE524" s="172">
        <f t="shared" si="39"/>
        <v>0</v>
      </c>
    </row>
    <row r="525" spans="1:33" ht="24" customHeight="1">
      <c r="A525" s="175">
        <f t="shared" si="44"/>
        <v>350</v>
      </c>
      <c r="B525" s="176" t="s">
        <v>1089</v>
      </c>
      <c r="C525" s="177">
        <v>8.06</v>
      </c>
      <c r="D525" s="176" t="s">
        <v>576</v>
      </c>
      <c r="H525" s="162" t="s">
        <v>534</v>
      </c>
      <c r="N525" s="154" t="s">
        <v>589</v>
      </c>
      <c r="O525" s="154" t="s">
        <v>1199</v>
      </c>
      <c r="P525" s="154" t="s">
        <v>22</v>
      </c>
      <c r="Q525" s="154" t="s">
        <v>589</v>
      </c>
      <c r="R525" s="167">
        <f>(C56)</f>
        <v>12.1</v>
      </c>
      <c r="U525" s="251" t="s">
        <v>1220</v>
      </c>
      <c r="AA525" s="251" t="s">
        <v>1221</v>
      </c>
      <c r="AE525" s="172" t="str">
        <f t="shared" ref="AE525:AE596" si="48">AG525</f>
        <v>|</v>
      </c>
      <c r="AG525" s="154" t="s">
        <v>1158</v>
      </c>
    </row>
    <row r="526" spans="1:33" ht="24" customHeight="1">
      <c r="A526" s="175">
        <f t="shared" si="44"/>
        <v>351</v>
      </c>
      <c r="B526" s="176" t="s">
        <v>1090</v>
      </c>
      <c r="C526" s="177">
        <v>11.86</v>
      </c>
      <c r="D526" s="176" t="s">
        <v>576</v>
      </c>
      <c r="F526" s="198">
        <v>1.4999999999999999E-2</v>
      </c>
      <c r="G526" s="165" t="s">
        <v>577</v>
      </c>
      <c r="H526" s="154" t="s">
        <v>1222</v>
      </c>
      <c r="I526" s="167">
        <f>(K513)</f>
        <v>5957.7450000000008</v>
      </c>
      <c r="J526" s="154" t="s">
        <v>577</v>
      </c>
      <c r="K526" s="167">
        <f>(F526*I526)</f>
        <v>89.366175000000013</v>
      </c>
      <c r="O526" s="154" t="s">
        <v>1201</v>
      </c>
      <c r="P526" s="154" t="s">
        <v>22</v>
      </c>
      <c r="R526" s="154" t="s">
        <v>22</v>
      </c>
      <c r="S526" s="155" t="s">
        <v>324</v>
      </c>
      <c r="T526" s="165" t="s">
        <v>307</v>
      </c>
      <c r="U526" s="154" t="s">
        <v>1223</v>
      </c>
      <c r="W526" s="158"/>
      <c r="Y526" s="155" t="s">
        <v>324</v>
      </c>
      <c r="Z526" s="165" t="s">
        <v>307</v>
      </c>
      <c r="AA526" s="154" t="s">
        <v>1224</v>
      </c>
      <c r="AC526" s="158"/>
      <c r="AE526" s="172" t="str">
        <f t="shared" si="48"/>
        <v>|</v>
      </c>
      <c r="AG526" s="154" t="s">
        <v>1158</v>
      </c>
    </row>
    <row r="527" spans="1:33" ht="24" customHeight="1">
      <c r="A527" s="175">
        <f t="shared" si="44"/>
        <v>352</v>
      </c>
      <c r="B527" s="176" t="s">
        <v>1091</v>
      </c>
      <c r="C527" s="177">
        <v>18.88</v>
      </c>
      <c r="D527" s="176" t="s">
        <v>576</v>
      </c>
      <c r="F527" s="167">
        <v>0.5</v>
      </c>
      <c r="G527" s="165" t="s">
        <v>680</v>
      </c>
      <c r="H527" s="154" t="s">
        <v>778</v>
      </c>
      <c r="I527" s="167">
        <f>(C10)</f>
        <v>717.2</v>
      </c>
      <c r="J527" s="154" t="s">
        <v>680</v>
      </c>
      <c r="K527" s="167">
        <f>(F527*I527)</f>
        <v>358.6</v>
      </c>
      <c r="N527" s="154" t="s">
        <v>589</v>
      </c>
      <c r="O527" s="154" t="s">
        <v>590</v>
      </c>
      <c r="Q527" s="154" t="s">
        <v>589</v>
      </c>
      <c r="R527" s="167">
        <v>0</v>
      </c>
      <c r="S527" s="76"/>
      <c r="T527" s="156"/>
      <c r="U527" s="162" t="s">
        <v>534</v>
      </c>
      <c r="W527" s="158"/>
      <c r="Z527" s="156"/>
      <c r="AA527" s="162" t="s">
        <v>534</v>
      </c>
      <c r="AC527" s="158"/>
      <c r="AE527" s="172" t="str">
        <f t="shared" si="48"/>
        <v>|</v>
      </c>
      <c r="AG527" s="154" t="s">
        <v>1158</v>
      </c>
    </row>
    <row r="528" spans="1:33" ht="24" customHeight="1">
      <c r="A528" s="175">
        <f t="shared" si="44"/>
        <v>353</v>
      </c>
      <c r="B528" s="176" t="s">
        <v>1035</v>
      </c>
      <c r="C528" s="177">
        <v>26</v>
      </c>
      <c r="D528" s="176" t="s">
        <v>576</v>
      </c>
      <c r="F528" s="167">
        <v>0.75</v>
      </c>
      <c r="G528" s="165" t="s">
        <v>680</v>
      </c>
      <c r="H528" s="154" t="s">
        <v>754</v>
      </c>
      <c r="I528" s="167">
        <f>(C12)</f>
        <v>468.6</v>
      </c>
      <c r="J528" s="154" t="s">
        <v>680</v>
      </c>
      <c r="K528" s="167">
        <f>(F528*I528)</f>
        <v>351.45000000000005</v>
      </c>
      <c r="R528" s="162" t="s">
        <v>534</v>
      </c>
      <c r="S528" s="198">
        <v>1.4999999999999999E-2</v>
      </c>
      <c r="T528" s="165" t="s">
        <v>577</v>
      </c>
      <c r="U528" s="154" t="s">
        <v>1222</v>
      </c>
      <c r="V528" s="167">
        <f>X657</f>
        <v>6065.4191145000004</v>
      </c>
      <c r="W528" s="154" t="s">
        <v>577</v>
      </c>
      <c r="X528" s="167">
        <f>(S528*V528)</f>
        <v>90.981286717499998</v>
      </c>
      <c r="Y528" s="198">
        <v>1.4999999999999999E-2</v>
      </c>
      <c r="Z528" s="165" t="s">
        <v>577</v>
      </c>
      <c r="AA528" s="154" t="s">
        <v>1222</v>
      </c>
      <c r="AB528" s="167">
        <f>AF657</f>
        <v>6585.3558645000003</v>
      </c>
      <c r="AC528" s="154" t="s">
        <v>577</v>
      </c>
      <c r="AD528" s="167">
        <f>(Y528*AB528)</f>
        <v>98.780337967500003</v>
      </c>
      <c r="AE528" s="172" t="str">
        <f t="shared" si="48"/>
        <v>|</v>
      </c>
      <c r="AG528" s="154" t="s">
        <v>1158</v>
      </c>
    </row>
    <row r="529" spans="1:33" ht="24" customHeight="1">
      <c r="A529" s="175">
        <f t="shared" si="44"/>
        <v>354</v>
      </c>
      <c r="B529" s="176" t="s">
        <v>1225</v>
      </c>
      <c r="C529" s="188"/>
      <c r="D529" s="176" t="s">
        <v>22</v>
      </c>
      <c r="G529" s="165" t="s">
        <v>589</v>
      </c>
      <c r="H529" s="154" t="s">
        <v>590</v>
      </c>
      <c r="J529" s="154" t="s">
        <v>589</v>
      </c>
      <c r="K529" s="167">
        <v>0</v>
      </c>
      <c r="O529" s="154" t="s">
        <v>1202</v>
      </c>
      <c r="R529" s="167">
        <f>SUM(R517:R527)</f>
        <v>3936.0000000000005</v>
      </c>
      <c r="S529" s="167">
        <v>0.5</v>
      </c>
      <c r="T529" s="165" t="s">
        <v>680</v>
      </c>
      <c r="U529" s="154" t="s">
        <v>778</v>
      </c>
      <c r="V529" s="167">
        <f>C10</f>
        <v>717.2</v>
      </c>
      <c r="W529" s="154" t="s">
        <v>680</v>
      </c>
      <c r="X529" s="167">
        <f>(S529*V529)</f>
        <v>358.6</v>
      </c>
      <c r="Y529" s="167">
        <v>0.5</v>
      </c>
      <c r="Z529" s="165" t="s">
        <v>680</v>
      </c>
      <c r="AA529" s="154" t="s">
        <v>778</v>
      </c>
      <c r="AB529" s="167">
        <f>V529</f>
        <v>717.2</v>
      </c>
      <c r="AC529" s="154" t="s">
        <v>680</v>
      </c>
      <c r="AD529" s="167">
        <f>(Y529*AB529)</f>
        <v>358.6</v>
      </c>
      <c r="AE529" s="172" t="str">
        <f t="shared" si="48"/>
        <v>|</v>
      </c>
      <c r="AG529" s="154" t="s">
        <v>1158</v>
      </c>
    </row>
    <row r="530" spans="1:33" ht="24" customHeight="1">
      <c r="A530" s="175">
        <f t="shared" si="44"/>
        <v>355</v>
      </c>
      <c r="B530" s="176" t="s">
        <v>1094</v>
      </c>
      <c r="C530" s="177">
        <v>4.62</v>
      </c>
      <c r="D530" s="176" t="s">
        <v>576</v>
      </c>
      <c r="K530" s="162" t="s">
        <v>534</v>
      </c>
      <c r="R530" s="162" t="s">
        <v>534</v>
      </c>
      <c r="S530" s="167">
        <v>0.75</v>
      </c>
      <c r="T530" s="165" t="s">
        <v>680</v>
      </c>
      <c r="U530" s="154" t="s">
        <v>754</v>
      </c>
      <c r="V530" s="167">
        <f>C12</f>
        <v>468.6</v>
      </c>
      <c r="W530" s="154" t="s">
        <v>680</v>
      </c>
      <c r="X530" s="167">
        <f>(S530*V530)</f>
        <v>351.45000000000005</v>
      </c>
      <c r="Y530" s="167">
        <v>0.75</v>
      </c>
      <c r="Z530" s="165" t="s">
        <v>680</v>
      </c>
      <c r="AA530" s="154" t="s">
        <v>754</v>
      </c>
      <c r="AB530" s="167">
        <f>V530</f>
        <v>468.6</v>
      </c>
      <c r="AC530" s="154" t="s">
        <v>680</v>
      </c>
      <c r="AD530" s="167">
        <f>(Y530*AB530)</f>
        <v>351.45000000000005</v>
      </c>
      <c r="AE530" s="172" t="str">
        <f t="shared" si="48"/>
        <v>|</v>
      </c>
      <c r="AG530" s="154" t="s">
        <v>1158</v>
      </c>
    </row>
    <row r="531" spans="1:33" ht="24" customHeight="1">
      <c r="A531" s="175">
        <f t="shared" si="44"/>
        <v>356</v>
      </c>
      <c r="B531" s="176" t="s">
        <v>1087</v>
      </c>
      <c r="C531" s="177">
        <v>7.83</v>
      </c>
      <c r="D531" s="176" t="s">
        <v>576</v>
      </c>
      <c r="H531" s="154" t="s">
        <v>1226</v>
      </c>
      <c r="K531" s="167">
        <f>SUM(K526:K529)</f>
        <v>799.41617500000007</v>
      </c>
      <c r="O531" s="154" t="s">
        <v>1139</v>
      </c>
      <c r="R531" s="167">
        <f>(R529/30)</f>
        <v>131.20000000000002</v>
      </c>
      <c r="S531" s="76"/>
      <c r="T531" s="165" t="s">
        <v>589</v>
      </c>
      <c r="U531" s="154" t="s">
        <v>590</v>
      </c>
      <c r="W531" s="154" t="s">
        <v>589</v>
      </c>
      <c r="X531" s="167">
        <v>0</v>
      </c>
      <c r="Z531" s="165" t="s">
        <v>589</v>
      </c>
      <c r="AA531" s="154" t="s">
        <v>590</v>
      </c>
      <c r="AB531" s="167">
        <f>V531</f>
        <v>0</v>
      </c>
      <c r="AC531" s="154" t="s">
        <v>589</v>
      </c>
      <c r="AD531" s="167">
        <v>0</v>
      </c>
      <c r="AE531" s="172" t="str">
        <f t="shared" si="48"/>
        <v>|</v>
      </c>
      <c r="AG531" s="154" t="s">
        <v>1158</v>
      </c>
    </row>
    <row r="532" spans="1:33" ht="24" customHeight="1">
      <c r="A532" s="175">
        <f t="shared" si="44"/>
        <v>357</v>
      </c>
      <c r="B532" s="176" t="s">
        <v>1089</v>
      </c>
      <c r="C532" s="177">
        <v>11.38</v>
      </c>
      <c r="D532" s="176" t="s">
        <v>576</v>
      </c>
      <c r="K532" s="162" t="s">
        <v>534</v>
      </c>
      <c r="R532" s="162" t="s">
        <v>534</v>
      </c>
      <c r="S532" s="76"/>
      <c r="T532" s="156"/>
      <c r="W532" s="158"/>
      <c r="X532" s="162" t="s">
        <v>534</v>
      </c>
      <c r="Z532" s="156"/>
      <c r="AC532" s="158"/>
      <c r="AD532" s="162" t="s">
        <v>534</v>
      </c>
      <c r="AE532" s="172" t="str">
        <f t="shared" si="48"/>
        <v>|</v>
      </c>
      <c r="AG532" s="154" t="s">
        <v>1158</v>
      </c>
    </row>
    <row r="533" spans="1:33" ht="24" customHeight="1">
      <c r="A533" s="175">
        <f t="shared" si="44"/>
        <v>358</v>
      </c>
      <c r="B533" s="176" t="s">
        <v>1090</v>
      </c>
      <c r="C533" s="177">
        <v>18.75</v>
      </c>
      <c r="D533" s="176" t="s">
        <v>576</v>
      </c>
      <c r="H533" s="154" t="s">
        <v>881</v>
      </c>
      <c r="K533" s="167">
        <f>(K531/0.743)</f>
        <v>1075.9302489905788</v>
      </c>
      <c r="S533" s="76"/>
      <c r="T533" s="156"/>
      <c r="U533" s="154" t="s">
        <v>1226</v>
      </c>
      <c r="W533" s="158"/>
      <c r="X533" s="167">
        <f>SUM(X528:X531)</f>
        <v>801.03128671750005</v>
      </c>
      <c r="Z533" s="156"/>
      <c r="AA533" s="154" t="s">
        <v>1226</v>
      </c>
      <c r="AC533" s="158"/>
      <c r="AD533" s="167">
        <f>SUM(AD528:AD531)</f>
        <v>808.8303379675001</v>
      </c>
      <c r="AE533" s="172" t="str">
        <f t="shared" si="48"/>
        <v>|</v>
      </c>
      <c r="AG533" s="154" t="s">
        <v>1158</v>
      </c>
    </row>
    <row r="534" spans="1:33" ht="24" customHeight="1">
      <c r="A534" s="175">
        <f t="shared" si="44"/>
        <v>359</v>
      </c>
      <c r="B534" s="176" t="s">
        <v>1091</v>
      </c>
      <c r="C534" s="177">
        <v>35.1</v>
      </c>
      <c r="D534" s="176" t="s">
        <v>576</v>
      </c>
      <c r="K534" s="162" t="s">
        <v>528</v>
      </c>
      <c r="S534" s="76"/>
      <c r="T534" s="156"/>
      <c r="W534" s="158"/>
      <c r="X534" s="162" t="s">
        <v>534</v>
      </c>
      <c r="Z534" s="156"/>
      <c r="AC534" s="158"/>
      <c r="AD534" s="162" t="s">
        <v>534</v>
      </c>
      <c r="AE534" s="172" t="str">
        <f t="shared" si="48"/>
        <v>|</v>
      </c>
      <c r="AG534" s="154" t="s">
        <v>1158</v>
      </c>
    </row>
    <row r="535" spans="1:33" ht="24" customHeight="1">
      <c r="A535" s="175">
        <f t="shared" si="44"/>
        <v>360</v>
      </c>
      <c r="B535" s="176" t="s">
        <v>1035</v>
      </c>
      <c r="C535" s="177">
        <v>45.57</v>
      </c>
      <c r="D535" s="176" t="s">
        <v>576</v>
      </c>
      <c r="H535" s="154" t="s">
        <v>789</v>
      </c>
      <c r="I535" s="167">
        <f>K533</f>
        <v>1075.9302489905788</v>
      </c>
      <c r="J535" s="154">
        <f>C22*0.015/0.743</f>
        <v>1.7366083445491252</v>
      </c>
      <c r="K535" s="166">
        <f>I535+J535</f>
        <v>1077.6668573351278</v>
      </c>
      <c r="N535" s="154" t="s">
        <v>1162</v>
      </c>
      <c r="O535" s="155" t="s">
        <v>1227</v>
      </c>
      <c r="S535" s="76"/>
      <c r="T535" s="156"/>
      <c r="U535" s="154" t="s">
        <v>881</v>
      </c>
      <c r="W535" s="158"/>
      <c r="X535" s="167">
        <f>(X533/0.743)</f>
        <v>1078.1040198082101</v>
      </c>
      <c r="Z535" s="156"/>
      <c r="AA535" s="154" t="s">
        <v>881</v>
      </c>
      <c r="AC535" s="158"/>
      <c r="AD535" s="167">
        <f>(AD533/0.743)</f>
        <v>1088.6007240477795</v>
      </c>
      <c r="AE535" s="172" t="str">
        <f t="shared" si="48"/>
        <v>|</v>
      </c>
      <c r="AG535" s="154" t="s">
        <v>1158</v>
      </c>
    </row>
    <row r="536" spans="1:33" ht="24" customHeight="1">
      <c r="A536" s="175">
        <f t="shared" si="44"/>
        <v>361</v>
      </c>
      <c r="B536" s="176" t="s">
        <v>1228</v>
      </c>
      <c r="C536" s="188"/>
      <c r="D536" s="176" t="s">
        <v>22</v>
      </c>
      <c r="H536" s="154" t="s">
        <v>793</v>
      </c>
      <c r="I536" s="167">
        <f>K535</f>
        <v>1077.6668573351278</v>
      </c>
      <c r="J536" s="154">
        <f>C23*0.015/0.743</f>
        <v>3.4199192462987886</v>
      </c>
      <c r="K536" s="166">
        <f>I536+J536</f>
        <v>1081.0867765814266</v>
      </c>
      <c r="O536" s="162" t="s">
        <v>534</v>
      </c>
      <c r="S536" s="76"/>
      <c r="T536" s="156"/>
      <c r="W536" s="158"/>
      <c r="X536" s="162" t="s">
        <v>528</v>
      </c>
      <c r="Z536" s="156"/>
      <c r="AC536" s="158"/>
      <c r="AD536" s="162" t="s">
        <v>528</v>
      </c>
      <c r="AE536" s="172" t="str">
        <f t="shared" si="48"/>
        <v>|</v>
      </c>
      <c r="AG536" s="154" t="s">
        <v>1158</v>
      </c>
    </row>
    <row r="537" spans="1:33" ht="24" customHeight="1">
      <c r="A537" s="175">
        <f t="shared" si="44"/>
        <v>362</v>
      </c>
      <c r="B537" s="176" t="s">
        <v>1094</v>
      </c>
      <c r="C537" s="177">
        <v>7.8</v>
      </c>
      <c r="D537" s="176" t="s">
        <v>576</v>
      </c>
      <c r="H537" s="154" t="s">
        <v>796</v>
      </c>
      <c r="I537" s="167">
        <f>K536</f>
        <v>1081.0867765814266</v>
      </c>
      <c r="J537" s="154">
        <f>J536</f>
        <v>3.4199192462987886</v>
      </c>
      <c r="K537" s="166">
        <f>I537+J537</f>
        <v>1084.5066958277255</v>
      </c>
      <c r="M537" s="167">
        <v>30</v>
      </c>
      <c r="N537" s="154" t="s">
        <v>410</v>
      </c>
      <c r="O537" s="154" t="s">
        <v>1188</v>
      </c>
      <c r="P537" s="167">
        <f>(C42)</f>
        <v>5</v>
      </c>
      <c r="Q537" s="154" t="s">
        <v>410</v>
      </c>
      <c r="R537" s="167">
        <f>(M537*P537)</f>
        <v>150</v>
      </c>
      <c r="S537" s="76"/>
      <c r="T537" s="156"/>
      <c r="U537" s="154" t="s">
        <v>789</v>
      </c>
      <c r="V537" s="167">
        <f>X535</f>
        <v>1078.1040198082101</v>
      </c>
      <c r="W537" s="154">
        <f>J535</f>
        <v>1.7366083445491252</v>
      </c>
      <c r="X537" s="166">
        <f>V537+W537</f>
        <v>1079.8406281527591</v>
      </c>
      <c r="Z537" s="156"/>
      <c r="AA537" s="154" t="s">
        <v>789</v>
      </c>
      <c r="AB537" s="167">
        <f>AD535</f>
        <v>1088.6007240477795</v>
      </c>
      <c r="AC537" s="154">
        <f>W537</f>
        <v>1.7366083445491252</v>
      </c>
      <c r="AD537" s="166">
        <f>AB537+AC537</f>
        <v>1090.3373323923286</v>
      </c>
      <c r="AE537" s="172" t="str">
        <f t="shared" si="48"/>
        <v>|</v>
      </c>
      <c r="AG537" s="154" t="s">
        <v>1158</v>
      </c>
    </row>
    <row r="538" spans="1:33" ht="24" customHeight="1">
      <c r="A538" s="175">
        <f t="shared" si="44"/>
        <v>363</v>
      </c>
      <c r="B538" s="176" t="s">
        <v>1087</v>
      </c>
      <c r="C538" s="177">
        <v>9.49</v>
      </c>
      <c r="D538" s="176" t="s">
        <v>576</v>
      </c>
      <c r="H538" s="154" t="s">
        <v>798</v>
      </c>
      <c r="I538" s="167">
        <f>K537</f>
        <v>1084.5066958277255</v>
      </c>
      <c r="J538" s="154">
        <f>J537</f>
        <v>3.4199192462987886</v>
      </c>
      <c r="K538" s="166">
        <f>I538+J538</f>
        <v>1087.9266150740243</v>
      </c>
      <c r="M538" s="154" t="s">
        <v>22</v>
      </c>
      <c r="O538" s="154" t="s">
        <v>1191</v>
      </c>
      <c r="P538" s="154" t="s">
        <v>22</v>
      </c>
      <c r="R538" s="154" t="s">
        <v>22</v>
      </c>
      <c r="S538" s="76"/>
      <c r="T538" s="156"/>
      <c r="U538" s="154" t="s">
        <v>793</v>
      </c>
      <c r="V538" s="167">
        <f>X537</f>
        <v>1079.8406281527591</v>
      </c>
      <c r="W538" s="154">
        <f t="shared" ref="W538:W549" si="49">J538</f>
        <v>3.4199192462987886</v>
      </c>
      <c r="X538" s="166">
        <f>V538+W538</f>
        <v>1083.2605473990579</v>
      </c>
      <c r="Z538" s="156"/>
      <c r="AA538" s="154" t="s">
        <v>793</v>
      </c>
      <c r="AB538" s="167">
        <f>AD537</f>
        <v>1090.3373323923286</v>
      </c>
      <c r="AC538" s="154">
        <f t="shared" ref="AC538:AC549" si="50">W538</f>
        <v>3.4199192462987886</v>
      </c>
      <c r="AD538" s="166">
        <f>AB538+AC538</f>
        <v>1093.7572516386274</v>
      </c>
      <c r="AE538" s="172" t="str">
        <f t="shared" si="48"/>
        <v>|</v>
      </c>
      <c r="AG538" s="154" t="s">
        <v>1158</v>
      </c>
    </row>
    <row r="539" spans="1:33" ht="24" customHeight="1">
      <c r="A539" s="175">
        <f t="shared" si="44"/>
        <v>364</v>
      </c>
      <c r="B539" s="176" t="s">
        <v>1089</v>
      </c>
      <c r="C539" s="177">
        <v>13.91</v>
      </c>
      <c r="D539" s="176" t="s">
        <v>576</v>
      </c>
      <c r="H539" s="154" t="s">
        <v>793</v>
      </c>
      <c r="I539" s="167">
        <f>K538</f>
        <v>1087.9266150740243</v>
      </c>
      <c r="J539" s="154">
        <f>J538</f>
        <v>3.4199192462987886</v>
      </c>
      <c r="K539" s="166">
        <f>I539+J539</f>
        <v>1091.3465343203231</v>
      </c>
      <c r="M539" s="167">
        <v>8</v>
      </c>
      <c r="N539" s="154" t="s">
        <v>576</v>
      </c>
      <c r="O539" s="154" t="s">
        <v>1131</v>
      </c>
      <c r="P539" s="167">
        <f>(C45)</f>
        <v>7.4</v>
      </c>
      <c r="Q539" s="154" t="s">
        <v>576</v>
      </c>
      <c r="R539" s="167">
        <f>(M539*P539)</f>
        <v>59.2</v>
      </c>
      <c r="S539" s="76"/>
      <c r="T539" s="156"/>
      <c r="U539" s="154" t="s">
        <v>796</v>
      </c>
      <c r="V539" s="167">
        <f>X538</f>
        <v>1083.2605473990579</v>
      </c>
      <c r="W539" s="154">
        <f t="shared" si="49"/>
        <v>3.4199192462987886</v>
      </c>
      <c r="X539" s="166">
        <f>V539+W539</f>
        <v>1086.6804666453568</v>
      </c>
      <c r="Z539" s="156"/>
      <c r="AA539" s="154" t="s">
        <v>796</v>
      </c>
      <c r="AB539" s="167">
        <f>AD538</f>
        <v>1093.7572516386274</v>
      </c>
      <c r="AC539" s="154">
        <f t="shared" si="50"/>
        <v>3.4199192462987886</v>
      </c>
      <c r="AD539" s="166">
        <f>AB539+AC539</f>
        <v>1097.1771708849262</v>
      </c>
      <c r="AE539" s="172" t="str">
        <f t="shared" si="48"/>
        <v>|</v>
      </c>
      <c r="AG539" s="154" t="s">
        <v>1158</v>
      </c>
    </row>
    <row r="540" spans="1:33" ht="24" hidden="1" customHeight="1">
      <c r="A540" s="175"/>
      <c r="B540" s="176"/>
      <c r="C540" s="177"/>
      <c r="D540" s="176"/>
      <c r="H540" s="154">
        <v>5</v>
      </c>
      <c r="I540" s="167">
        <f t="shared" ref="I540:I545" si="51">K539</f>
        <v>1091.3465343203231</v>
      </c>
      <c r="J540" s="154">
        <f t="shared" ref="J540:J547" si="52">J539</f>
        <v>3.4199192462987886</v>
      </c>
      <c r="K540" s="166">
        <f t="shared" ref="K540:K545" si="53">I540+J540</f>
        <v>1094.766453566622</v>
      </c>
      <c r="M540" s="167"/>
      <c r="N540" s="154"/>
      <c r="O540" s="154"/>
      <c r="P540" s="167"/>
      <c r="Q540" s="154"/>
      <c r="R540" s="167"/>
      <c r="S540" s="76"/>
      <c r="T540" s="156"/>
      <c r="U540" s="154" t="s">
        <v>798</v>
      </c>
      <c r="V540" s="167">
        <f>X539</f>
        <v>1086.6804666453568</v>
      </c>
      <c r="W540" s="154">
        <f t="shared" si="49"/>
        <v>3.4199192462987886</v>
      </c>
      <c r="X540" s="166">
        <f>V540+W540</f>
        <v>1090.1003858916556</v>
      </c>
      <c r="Z540" s="156"/>
      <c r="AA540" s="154" t="s">
        <v>798</v>
      </c>
      <c r="AB540" s="167">
        <f>AD539</f>
        <v>1097.1771708849262</v>
      </c>
      <c r="AC540" s="154">
        <f t="shared" si="50"/>
        <v>3.4199192462987886</v>
      </c>
      <c r="AD540" s="166">
        <f>AB540+AC540</f>
        <v>1100.5970901312251</v>
      </c>
      <c r="AE540" s="172"/>
      <c r="AG540" s="154"/>
    </row>
    <row r="541" spans="1:33" ht="24" hidden="1" customHeight="1">
      <c r="A541" s="175"/>
      <c r="B541" s="176"/>
      <c r="C541" s="177"/>
      <c r="D541" s="176"/>
      <c r="H541" s="154">
        <v>6</v>
      </c>
      <c r="I541" s="167">
        <f t="shared" si="51"/>
        <v>1094.766453566622</v>
      </c>
      <c r="J541" s="154">
        <f t="shared" si="52"/>
        <v>3.4199192462987886</v>
      </c>
      <c r="K541" s="166">
        <f t="shared" si="53"/>
        <v>1098.1863728129208</v>
      </c>
      <c r="M541" s="167"/>
      <c r="N541" s="154"/>
      <c r="O541" s="154"/>
      <c r="P541" s="167"/>
      <c r="Q541" s="154"/>
      <c r="R541" s="167"/>
      <c r="S541" s="76"/>
      <c r="T541" s="156"/>
      <c r="U541" s="154" t="s">
        <v>793</v>
      </c>
      <c r="V541" s="167">
        <f>X540</f>
        <v>1090.1003858916556</v>
      </c>
      <c r="W541" s="154">
        <f t="shared" si="49"/>
        <v>3.4199192462987886</v>
      </c>
      <c r="X541" s="166">
        <f>V541+W541</f>
        <v>1093.5203051379544</v>
      </c>
      <c r="Z541" s="156"/>
      <c r="AA541" s="154" t="s">
        <v>793</v>
      </c>
      <c r="AB541" s="167">
        <f>AD540</f>
        <v>1100.5970901312251</v>
      </c>
      <c r="AC541" s="154">
        <f t="shared" si="50"/>
        <v>3.4199192462987886</v>
      </c>
      <c r="AD541" s="166">
        <f>AB541+AC541</f>
        <v>1104.0170093775239</v>
      </c>
      <c r="AE541" s="172"/>
      <c r="AG541" s="154"/>
    </row>
    <row r="542" spans="1:33" ht="24" hidden="1" customHeight="1">
      <c r="A542" s="175"/>
      <c r="B542" s="176"/>
      <c r="C542" s="177"/>
      <c r="D542" s="176"/>
      <c r="H542" s="154">
        <v>7</v>
      </c>
      <c r="I542" s="167">
        <f t="shared" si="51"/>
        <v>1098.1863728129208</v>
      </c>
      <c r="J542" s="154">
        <f t="shared" si="52"/>
        <v>3.4199192462987886</v>
      </c>
      <c r="K542" s="166">
        <f t="shared" si="53"/>
        <v>1101.6062920592196</v>
      </c>
      <c r="M542" s="167"/>
      <c r="N542" s="154"/>
      <c r="O542" s="154"/>
      <c r="P542" s="167"/>
      <c r="Q542" s="154"/>
      <c r="R542" s="167"/>
      <c r="S542" s="76"/>
      <c r="T542" s="156"/>
      <c r="U542" s="154">
        <v>5</v>
      </c>
      <c r="V542" s="167">
        <f t="shared" ref="V542:V547" si="54">X541</f>
        <v>1093.5203051379544</v>
      </c>
      <c r="W542" s="154">
        <f t="shared" si="49"/>
        <v>3.4199192462987886</v>
      </c>
      <c r="X542" s="166">
        <f t="shared" ref="X542:X547" si="55">V542+W542</f>
        <v>1096.9402243842533</v>
      </c>
      <c r="Z542" s="156"/>
      <c r="AA542" s="154">
        <v>5</v>
      </c>
      <c r="AB542" s="167">
        <f t="shared" ref="AB542:AB547" si="56">AD541</f>
        <v>1104.0170093775239</v>
      </c>
      <c r="AC542" s="154">
        <f t="shared" si="50"/>
        <v>3.4199192462987886</v>
      </c>
      <c r="AD542" s="166">
        <f t="shared" ref="AD542:AD547" si="57">AB542+AC542</f>
        <v>1107.4369286238227</v>
      </c>
      <c r="AE542" s="172"/>
      <c r="AG542" s="154"/>
    </row>
    <row r="543" spans="1:33" ht="24" hidden="1" customHeight="1">
      <c r="A543" s="175"/>
      <c r="B543" s="176"/>
      <c r="C543" s="177"/>
      <c r="D543" s="176"/>
      <c r="H543" s="154">
        <v>8</v>
      </c>
      <c r="I543" s="167">
        <f t="shared" si="51"/>
        <v>1101.6062920592196</v>
      </c>
      <c r="J543" s="154">
        <f t="shared" si="52"/>
        <v>3.4199192462987886</v>
      </c>
      <c r="K543" s="166">
        <f t="shared" si="53"/>
        <v>1105.0262113055185</v>
      </c>
      <c r="M543" s="167"/>
      <c r="N543" s="154"/>
      <c r="O543" s="154"/>
      <c r="P543" s="167"/>
      <c r="Q543" s="154"/>
      <c r="R543" s="167"/>
      <c r="S543" s="76"/>
      <c r="T543" s="156"/>
      <c r="U543" s="154">
        <v>6</v>
      </c>
      <c r="V543" s="167">
        <f t="shared" si="54"/>
        <v>1096.9402243842533</v>
      </c>
      <c r="W543" s="154">
        <f t="shared" si="49"/>
        <v>3.4199192462987886</v>
      </c>
      <c r="X543" s="166">
        <f t="shared" si="55"/>
        <v>1100.3601436305521</v>
      </c>
      <c r="Z543" s="156"/>
      <c r="AA543" s="154">
        <v>6</v>
      </c>
      <c r="AB543" s="167">
        <f t="shared" si="56"/>
        <v>1107.4369286238227</v>
      </c>
      <c r="AC543" s="154">
        <f t="shared" si="50"/>
        <v>3.4199192462987886</v>
      </c>
      <c r="AD543" s="166">
        <f t="shared" si="57"/>
        <v>1110.8568478701216</v>
      </c>
      <c r="AE543" s="172"/>
      <c r="AG543" s="154"/>
    </row>
    <row r="544" spans="1:33" ht="24" hidden="1" customHeight="1">
      <c r="A544" s="175"/>
      <c r="B544" s="176"/>
      <c r="C544" s="177"/>
      <c r="D544" s="176"/>
      <c r="H544" s="154">
        <v>9</v>
      </c>
      <c r="I544" s="167">
        <f t="shared" si="51"/>
        <v>1105.0262113055185</v>
      </c>
      <c r="J544" s="154">
        <f t="shared" si="52"/>
        <v>3.4199192462987886</v>
      </c>
      <c r="K544" s="166">
        <f t="shared" si="53"/>
        <v>1108.4461305518173</v>
      </c>
      <c r="M544" s="167"/>
      <c r="N544" s="154"/>
      <c r="O544" s="154"/>
      <c r="P544" s="167"/>
      <c r="Q544" s="154"/>
      <c r="R544" s="167"/>
      <c r="S544" s="76"/>
      <c r="T544" s="156"/>
      <c r="U544" s="154">
        <v>7</v>
      </c>
      <c r="V544" s="167">
        <f t="shared" si="54"/>
        <v>1100.3601436305521</v>
      </c>
      <c r="W544" s="154">
        <f t="shared" si="49"/>
        <v>3.4199192462987886</v>
      </c>
      <c r="X544" s="166">
        <f t="shared" si="55"/>
        <v>1103.7800628768509</v>
      </c>
      <c r="Z544" s="156"/>
      <c r="AA544" s="154">
        <v>7</v>
      </c>
      <c r="AB544" s="167">
        <f t="shared" si="56"/>
        <v>1110.8568478701216</v>
      </c>
      <c r="AC544" s="154">
        <f t="shared" si="50"/>
        <v>3.4199192462987886</v>
      </c>
      <c r="AD544" s="166">
        <f t="shared" si="57"/>
        <v>1114.2767671164204</v>
      </c>
      <c r="AE544" s="172"/>
      <c r="AG544" s="154"/>
    </row>
    <row r="545" spans="1:33" ht="24" hidden="1" customHeight="1">
      <c r="A545" s="175"/>
      <c r="B545" s="176"/>
      <c r="C545" s="177"/>
      <c r="D545" s="176"/>
      <c r="H545" s="154">
        <v>10</v>
      </c>
      <c r="I545" s="167">
        <f t="shared" si="51"/>
        <v>1108.4461305518173</v>
      </c>
      <c r="J545" s="154">
        <f t="shared" si="52"/>
        <v>3.4199192462987886</v>
      </c>
      <c r="K545" s="166">
        <f t="shared" si="53"/>
        <v>1111.8660497981161</v>
      </c>
      <c r="M545" s="167"/>
      <c r="N545" s="154"/>
      <c r="O545" s="154"/>
      <c r="P545" s="167"/>
      <c r="Q545" s="154"/>
      <c r="R545" s="167"/>
      <c r="S545" s="76"/>
      <c r="T545" s="156"/>
      <c r="U545" s="154">
        <v>8</v>
      </c>
      <c r="V545" s="167">
        <f t="shared" si="54"/>
        <v>1103.7800628768509</v>
      </c>
      <c r="W545" s="154">
        <f t="shared" si="49"/>
        <v>3.4199192462987886</v>
      </c>
      <c r="X545" s="166">
        <f t="shared" si="55"/>
        <v>1107.1999821231498</v>
      </c>
      <c r="Z545" s="156"/>
      <c r="AA545" s="154">
        <v>8</v>
      </c>
      <c r="AB545" s="167">
        <f t="shared" si="56"/>
        <v>1114.2767671164204</v>
      </c>
      <c r="AC545" s="154">
        <f t="shared" si="50"/>
        <v>3.4199192462987886</v>
      </c>
      <c r="AD545" s="166">
        <f t="shared" si="57"/>
        <v>1117.6966863627192</v>
      </c>
      <c r="AE545" s="172"/>
      <c r="AG545" s="154"/>
    </row>
    <row r="546" spans="1:33" ht="24" hidden="1" customHeight="1">
      <c r="A546" s="175"/>
      <c r="B546" s="176"/>
      <c r="C546" s="177"/>
      <c r="D546" s="176"/>
      <c r="H546" s="154">
        <v>11</v>
      </c>
      <c r="I546" s="167">
        <f>K545</f>
        <v>1111.8660497981161</v>
      </c>
      <c r="J546" s="154">
        <f t="shared" si="52"/>
        <v>3.4199192462987886</v>
      </c>
      <c r="K546" s="166">
        <f>I546+J546</f>
        <v>1115.285969044415</v>
      </c>
      <c r="M546" s="167"/>
      <c r="N546" s="154"/>
      <c r="O546" s="154"/>
      <c r="P546" s="167"/>
      <c r="Q546" s="154"/>
      <c r="R546" s="167"/>
      <c r="S546" s="76"/>
      <c r="T546" s="156"/>
      <c r="U546" s="154">
        <v>9</v>
      </c>
      <c r="V546" s="167">
        <f t="shared" si="54"/>
        <v>1107.1999821231498</v>
      </c>
      <c r="W546" s="154">
        <f t="shared" si="49"/>
        <v>3.4199192462987886</v>
      </c>
      <c r="X546" s="166">
        <f t="shared" si="55"/>
        <v>1110.6199013694486</v>
      </c>
      <c r="Z546" s="156"/>
      <c r="AA546" s="154">
        <v>9</v>
      </c>
      <c r="AB546" s="167">
        <f t="shared" si="56"/>
        <v>1117.6966863627192</v>
      </c>
      <c r="AC546" s="154">
        <f t="shared" si="50"/>
        <v>3.4199192462987886</v>
      </c>
      <c r="AD546" s="166">
        <f t="shared" si="57"/>
        <v>1121.1166056090181</v>
      </c>
      <c r="AE546" s="172"/>
      <c r="AG546" s="154"/>
    </row>
    <row r="547" spans="1:33" ht="24" hidden="1" customHeight="1">
      <c r="A547" s="175"/>
      <c r="B547" s="176"/>
      <c r="C547" s="177"/>
      <c r="D547" s="176"/>
      <c r="H547" s="154">
        <v>12</v>
      </c>
      <c r="I547" s="167">
        <f>K546</f>
        <v>1115.285969044415</v>
      </c>
      <c r="J547" s="154">
        <f t="shared" si="52"/>
        <v>3.4199192462987886</v>
      </c>
      <c r="K547" s="166">
        <f>I547+J547</f>
        <v>1118.7058882907138</v>
      </c>
      <c r="M547" s="167"/>
      <c r="N547" s="154"/>
      <c r="O547" s="154"/>
      <c r="P547" s="167"/>
      <c r="Q547" s="154"/>
      <c r="R547" s="167"/>
      <c r="S547" s="76"/>
      <c r="T547" s="156"/>
      <c r="U547" s="154">
        <v>10</v>
      </c>
      <c r="V547" s="167">
        <f t="shared" si="54"/>
        <v>1110.6199013694486</v>
      </c>
      <c r="W547" s="154">
        <f t="shared" si="49"/>
        <v>3.4199192462987886</v>
      </c>
      <c r="X547" s="166">
        <f t="shared" si="55"/>
        <v>1114.0398206157474</v>
      </c>
      <c r="Z547" s="156"/>
      <c r="AA547" s="154">
        <v>10</v>
      </c>
      <c r="AB547" s="167">
        <f t="shared" si="56"/>
        <v>1121.1166056090181</v>
      </c>
      <c r="AC547" s="154">
        <f t="shared" si="50"/>
        <v>3.4199192462987886</v>
      </c>
      <c r="AD547" s="166">
        <f t="shared" si="57"/>
        <v>1124.5365248553169</v>
      </c>
      <c r="AE547" s="172"/>
      <c r="AG547" s="154"/>
    </row>
    <row r="548" spans="1:33" ht="24" customHeight="1">
      <c r="A548" s="175">
        <f>(A539+1)</f>
        <v>365</v>
      </c>
      <c r="B548" s="176" t="s">
        <v>1090</v>
      </c>
      <c r="C548" s="177">
        <v>26.59</v>
      </c>
      <c r="D548" s="176" t="s">
        <v>576</v>
      </c>
      <c r="F548" s="155" t="s">
        <v>325</v>
      </c>
      <c r="G548" s="165" t="s">
        <v>307</v>
      </c>
      <c r="H548" s="154" t="s">
        <v>1229</v>
      </c>
      <c r="M548" s="167">
        <v>8</v>
      </c>
      <c r="N548" s="154" t="s">
        <v>576</v>
      </c>
      <c r="O548" s="154" t="s">
        <v>1134</v>
      </c>
      <c r="P548" s="167">
        <f>(C52)</f>
        <v>18.399999999999999</v>
      </c>
      <c r="Q548" s="154" t="s">
        <v>576</v>
      </c>
      <c r="R548" s="167">
        <f>(M548*P548)</f>
        <v>147.19999999999999</v>
      </c>
      <c r="S548" s="76"/>
      <c r="T548" s="156"/>
      <c r="U548" s="154">
        <v>11</v>
      </c>
      <c r="V548" s="167">
        <f>X547</f>
        <v>1114.0398206157474</v>
      </c>
      <c r="W548" s="154">
        <f t="shared" si="49"/>
        <v>0</v>
      </c>
      <c r="X548" s="166">
        <f>V548+W548</f>
        <v>1114.0398206157474</v>
      </c>
      <c r="Z548" s="156"/>
      <c r="AA548" s="154">
        <v>11</v>
      </c>
      <c r="AB548" s="167">
        <f>AD547</f>
        <v>1124.5365248553169</v>
      </c>
      <c r="AC548" s="154">
        <f t="shared" si="50"/>
        <v>0</v>
      </c>
      <c r="AD548" s="166">
        <f>AB548+AC548</f>
        <v>1124.5365248553169</v>
      </c>
      <c r="AE548" s="172" t="str">
        <f t="shared" si="48"/>
        <v>|</v>
      </c>
      <c r="AG548" s="154" t="s">
        <v>1158</v>
      </c>
    </row>
    <row r="549" spans="1:33" ht="45.75" customHeight="1">
      <c r="A549" s="175">
        <f t="shared" si="44"/>
        <v>366</v>
      </c>
      <c r="B549" s="176" t="s">
        <v>1091</v>
      </c>
      <c r="C549" s="177">
        <v>39.909999999999997</v>
      </c>
      <c r="D549" s="176" t="s">
        <v>576</v>
      </c>
      <c r="H549" s="162" t="s">
        <v>534</v>
      </c>
      <c r="M549" s="167">
        <v>3</v>
      </c>
      <c r="N549" s="154" t="s">
        <v>576</v>
      </c>
      <c r="O549" s="154" t="s">
        <v>1196</v>
      </c>
      <c r="P549" s="167">
        <f>(C41)</f>
        <v>531.30000000000007</v>
      </c>
      <c r="Q549" s="154" t="s">
        <v>576</v>
      </c>
      <c r="R549" s="167">
        <f>(M549*P549)</f>
        <v>1593.9</v>
      </c>
      <c r="S549" s="76"/>
      <c r="T549" s="156"/>
      <c r="U549" s="154">
        <v>12</v>
      </c>
      <c r="V549" s="167">
        <f>X548</f>
        <v>1114.0398206157474</v>
      </c>
      <c r="W549" s="154">
        <f t="shared" si="49"/>
        <v>0</v>
      </c>
      <c r="X549" s="166">
        <f>V549+W549</f>
        <v>1114.0398206157474</v>
      </c>
      <c r="Z549" s="156"/>
      <c r="AA549" s="154">
        <v>12</v>
      </c>
      <c r="AB549" s="167">
        <f>AD548</f>
        <v>1124.5365248553169</v>
      </c>
      <c r="AC549" s="154">
        <f t="shared" si="50"/>
        <v>0</v>
      </c>
      <c r="AD549" s="166">
        <f>AB549+AC549</f>
        <v>1124.5365248553169</v>
      </c>
      <c r="AE549" s="172" t="str">
        <f t="shared" si="48"/>
        <v>|</v>
      </c>
      <c r="AG549" s="154" t="s">
        <v>1158</v>
      </c>
    </row>
    <row r="550" spans="1:33" ht="52.5" customHeight="1">
      <c r="A550" s="175">
        <f t="shared" si="44"/>
        <v>367</v>
      </c>
      <c r="B550" s="176" t="s">
        <v>1035</v>
      </c>
      <c r="C550" s="177">
        <v>66</v>
      </c>
      <c r="D550" s="176" t="s">
        <v>576</v>
      </c>
      <c r="F550" s="167">
        <v>0.03</v>
      </c>
      <c r="G550" s="165" t="s">
        <v>577</v>
      </c>
      <c r="H550" s="154" t="s">
        <v>1222</v>
      </c>
      <c r="I550" s="167">
        <f>(K513)</f>
        <v>5957.7450000000008</v>
      </c>
      <c r="J550" s="154" t="s">
        <v>577</v>
      </c>
      <c r="K550" s="167">
        <f>(F550*I550)</f>
        <v>178.73235000000003</v>
      </c>
      <c r="M550" s="167">
        <v>1</v>
      </c>
      <c r="N550" s="154" t="s">
        <v>576</v>
      </c>
      <c r="O550" s="154" t="s">
        <v>1197</v>
      </c>
      <c r="P550" s="167">
        <f>(C10)</f>
        <v>717.2</v>
      </c>
      <c r="Q550" s="154" t="s">
        <v>576</v>
      </c>
      <c r="R550" s="167">
        <f>(M550*P550)</f>
        <v>717.2</v>
      </c>
      <c r="S550" s="155" t="s">
        <v>325</v>
      </c>
      <c r="T550" s="165" t="s">
        <v>307</v>
      </c>
      <c r="U550" s="210" t="s">
        <v>1230</v>
      </c>
      <c r="W550" s="154"/>
      <c r="Y550" s="155" t="s">
        <v>325</v>
      </c>
      <c r="Z550" s="165" t="s">
        <v>307</v>
      </c>
      <c r="AA550" s="1009" t="s">
        <v>1230</v>
      </c>
      <c r="AB550" s="1009"/>
      <c r="AC550" s="154"/>
      <c r="AE550" s="172" t="str">
        <f t="shared" si="48"/>
        <v>|</v>
      </c>
      <c r="AG550" s="154" t="s">
        <v>1158</v>
      </c>
    </row>
    <row r="551" spans="1:33" ht="24" customHeight="1">
      <c r="A551" s="175">
        <f t="shared" si="44"/>
        <v>368</v>
      </c>
      <c r="B551" s="176" t="s">
        <v>1231</v>
      </c>
      <c r="C551" s="188"/>
      <c r="D551" s="176" t="s">
        <v>22</v>
      </c>
      <c r="F551" s="167">
        <v>0.5</v>
      </c>
      <c r="G551" s="165" t="s">
        <v>680</v>
      </c>
      <c r="H551" s="154" t="s">
        <v>778</v>
      </c>
      <c r="I551" s="167">
        <f>(C10)</f>
        <v>717.2</v>
      </c>
      <c r="J551" s="154" t="s">
        <v>680</v>
      </c>
      <c r="K551" s="167">
        <f>(F551*I551)</f>
        <v>358.6</v>
      </c>
      <c r="M551" s="167">
        <v>2</v>
      </c>
      <c r="N551" s="154" t="s">
        <v>576</v>
      </c>
      <c r="O551" s="154" t="s">
        <v>754</v>
      </c>
      <c r="P551" s="167">
        <f>(C12)</f>
        <v>468.6</v>
      </c>
      <c r="Q551" s="154" t="s">
        <v>576</v>
      </c>
      <c r="R551" s="167">
        <f>(M551*P551)</f>
        <v>937.2</v>
      </c>
      <c r="S551" s="76"/>
      <c r="T551" s="156"/>
      <c r="U551" s="162" t="s">
        <v>534</v>
      </c>
      <c r="W551" s="158"/>
      <c r="Z551" s="156"/>
      <c r="AA551" s="162" t="s">
        <v>534</v>
      </c>
      <c r="AC551" s="158"/>
      <c r="AE551" s="172" t="str">
        <f t="shared" si="48"/>
        <v>|</v>
      </c>
      <c r="AG551" s="154" t="s">
        <v>1158</v>
      </c>
    </row>
    <row r="552" spans="1:33" ht="24" customHeight="1">
      <c r="A552" s="175">
        <f t="shared" si="44"/>
        <v>369</v>
      </c>
      <c r="B552" s="176" t="s">
        <v>1194</v>
      </c>
      <c r="C552" s="177">
        <v>4.75</v>
      </c>
      <c r="D552" s="176" t="s">
        <v>576</v>
      </c>
      <c r="F552" s="167">
        <v>0.75</v>
      </c>
      <c r="G552" s="165" t="s">
        <v>680</v>
      </c>
      <c r="H552" s="154" t="s">
        <v>754</v>
      </c>
      <c r="I552" s="167">
        <f>(C12)</f>
        <v>468.6</v>
      </c>
      <c r="J552" s="154" t="s">
        <v>680</v>
      </c>
      <c r="K552" s="167">
        <f>(F552*I552)</f>
        <v>351.45000000000005</v>
      </c>
      <c r="M552" s="167">
        <v>1</v>
      </c>
      <c r="N552" s="154" t="s">
        <v>576</v>
      </c>
      <c r="O552" s="154" t="s">
        <v>756</v>
      </c>
      <c r="P552" s="167">
        <f>(C13)</f>
        <v>404.8</v>
      </c>
      <c r="Q552" s="154" t="s">
        <v>576</v>
      </c>
      <c r="R552" s="167">
        <f>(M552*P552)</f>
        <v>404.8</v>
      </c>
      <c r="S552" s="167">
        <v>0.03</v>
      </c>
      <c r="T552" s="165" t="s">
        <v>577</v>
      </c>
      <c r="U552" s="154" t="s">
        <v>1232</v>
      </c>
      <c r="V552" s="167">
        <f>V528</f>
        <v>6065.4191145000004</v>
      </c>
      <c r="W552" s="154" t="s">
        <v>577</v>
      </c>
      <c r="X552" s="167">
        <f>(S552*V552)</f>
        <v>181.962573435</v>
      </c>
      <c r="Y552" s="167">
        <v>0.03</v>
      </c>
      <c r="Z552" s="165" t="s">
        <v>577</v>
      </c>
      <c r="AA552" s="154" t="s">
        <v>1232</v>
      </c>
      <c r="AB552" s="167">
        <f>AB528</f>
        <v>6585.3558645000003</v>
      </c>
      <c r="AC552" s="154" t="s">
        <v>577</v>
      </c>
      <c r="AD552" s="167">
        <f>(Y552*AB552)</f>
        <v>197.56067593500001</v>
      </c>
      <c r="AE552" s="172" t="str">
        <f t="shared" si="48"/>
        <v>|</v>
      </c>
      <c r="AG552" s="154" t="s">
        <v>1158</v>
      </c>
    </row>
    <row r="553" spans="1:33" ht="24" customHeight="1">
      <c r="A553" s="175">
        <f t="shared" si="44"/>
        <v>370</v>
      </c>
      <c r="B553" s="176" t="s">
        <v>1186</v>
      </c>
      <c r="C553" s="177">
        <v>6.89</v>
      </c>
      <c r="D553" s="176" t="s">
        <v>576</v>
      </c>
      <c r="E553" s="252">
        <f>0.03/40*75</f>
        <v>5.6250000000000001E-2</v>
      </c>
      <c r="G553" s="165" t="s">
        <v>589</v>
      </c>
      <c r="H553" s="154" t="s">
        <v>590</v>
      </c>
      <c r="J553" s="154" t="s">
        <v>589</v>
      </c>
      <c r="K553" s="167">
        <v>0</v>
      </c>
      <c r="N553" s="154" t="s">
        <v>589</v>
      </c>
      <c r="O553" s="154" t="s">
        <v>1199</v>
      </c>
      <c r="P553" s="154" t="s">
        <v>22</v>
      </c>
      <c r="Q553" s="154" t="s">
        <v>589</v>
      </c>
      <c r="R553" s="167">
        <f>(C56)</f>
        <v>12.1</v>
      </c>
      <c r="S553" s="167">
        <v>0.5</v>
      </c>
      <c r="T553" s="165" t="s">
        <v>680</v>
      </c>
      <c r="U553" s="154" t="s">
        <v>778</v>
      </c>
      <c r="V553" s="167">
        <f>V529</f>
        <v>717.2</v>
      </c>
      <c r="W553" s="154" t="s">
        <v>680</v>
      </c>
      <c r="X553" s="167">
        <f>(S553*V553)</f>
        <v>358.6</v>
      </c>
      <c r="Y553" s="167">
        <v>0.5</v>
      </c>
      <c r="Z553" s="165" t="s">
        <v>680</v>
      </c>
      <c r="AA553" s="154" t="s">
        <v>778</v>
      </c>
      <c r="AB553" s="167">
        <f>AB529</f>
        <v>717.2</v>
      </c>
      <c r="AC553" s="154" t="s">
        <v>680</v>
      </c>
      <c r="AD553" s="167">
        <f>(Y553*AB553)</f>
        <v>358.6</v>
      </c>
      <c r="AE553" s="172" t="str">
        <f t="shared" si="48"/>
        <v>|</v>
      </c>
      <c r="AG553" s="154" t="s">
        <v>1158</v>
      </c>
    </row>
    <row r="554" spans="1:33" ht="24" customHeight="1">
      <c r="A554" s="175">
        <f t="shared" si="44"/>
        <v>371</v>
      </c>
      <c r="B554" s="176" t="s">
        <v>1198</v>
      </c>
      <c r="C554" s="177">
        <v>6.18</v>
      </c>
      <c r="D554" s="176" t="s">
        <v>576</v>
      </c>
      <c r="K554" s="162" t="s">
        <v>534</v>
      </c>
      <c r="O554" s="154" t="s">
        <v>1201</v>
      </c>
      <c r="P554" s="154" t="s">
        <v>22</v>
      </c>
      <c r="R554" s="154" t="s">
        <v>22</v>
      </c>
      <c r="S554" s="167">
        <v>0.75</v>
      </c>
      <c r="T554" s="165" t="s">
        <v>680</v>
      </c>
      <c r="U554" s="154" t="s">
        <v>754</v>
      </c>
      <c r="V554" s="167">
        <f>V530</f>
        <v>468.6</v>
      </c>
      <c r="W554" s="154" t="s">
        <v>680</v>
      </c>
      <c r="X554" s="167">
        <f>(S554*V554)</f>
        <v>351.45000000000005</v>
      </c>
      <c r="Y554" s="167">
        <v>0.75</v>
      </c>
      <c r="Z554" s="165" t="s">
        <v>680</v>
      </c>
      <c r="AA554" s="154" t="s">
        <v>754</v>
      </c>
      <c r="AB554" s="167">
        <f>AB530</f>
        <v>468.6</v>
      </c>
      <c r="AC554" s="154" t="s">
        <v>680</v>
      </c>
      <c r="AD554" s="167">
        <f>(Y554*AB554)</f>
        <v>351.45000000000005</v>
      </c>
      <c r="AE554" s="172" t="str">
        <f t="shared" si="48"/>
        <v>|</v>
      </c>
      <c r="AG554" s="154" t="s">
        <v>1158</v>
      </c>
    </row>
    <row r="555" spans="1:33" ht="24" customHeight="1">
      <c r="A555" s="175">
        <f t="shared" si="44"/>
        <v>372</v>
      </c>
      <c r="B555" s="176" t="s">
        <v>1233</v>
      </c>
      <c r="C555" s="177">
        <v>13.29</v>
      </c>
      <c r="D555" s="176" t="s">
        <v>576</v>
      </c>
      <c r="H555" s="154" t="s">
        <v>1226</v>
      </c>
      <c r="K555" s="167">
        <f>SUM(K550:K553)</f>
        <v>888.78235000000006</v>
      </c>
      <c r="N555" s="154" t="s">
        <v>589</v>
      </c>
      <c r="O555" s="154" t="s">
        <v>590</v>
      </c>
      <c r="Q555" s="154" t="s">
        <v>589</v>
      </c>
      <c r="R555" s="167">
        <v>0</v>
      </c>
      <c r="S555" s="76"/>
      <c r="T555" s="165" t="s">
        <v>589</v>
      </c>
      <c r="U555" s="154" t="s">
        <v>590</v>
      </c>
      <c r="V555" s="167">
        <f>V531</f>
        <v>0</v>
      </c>
      <c r="W555" s="154" t="s">
        <v>589</v>
      </c>
      <c r="X555" s="167">
        <v>0</v>
      </c>
      <c r="Z555" s="165" t="s">
        <v>589</v>
      </c>
      <c r="AA555" s="154" t="s">
        <v>590</v>
      </c>
      <c r="AB555" s="167">
        <f>AB531</f>
        <v>0</v>
      </c>
      <c r="AC555" s="154" t="s">
        <v>589</v>
      </c>
      <c r="AD555" s="167">
        <v>0</v>
      </c>
      <c r="AE555" s="172" t="str">
        <f t="shared" si="48"/>
        <v>|</v>
      </c>
      <c r="AG555" s="154" t="s">
        <v>1158</v>
      </c>
    </row>
    <row r="556" spans="1:33" ht="24" customHeight="1">
      <c r="A556" s="175">
        <f t="shared" si="44"/>
        <v>373</v>
      </c>
      <c r="B556" s="176" t="s">
        <v>1234</v>
      </c>
      <c r="C556" s="177">
        <v>14.11</v>
      </c>
      <c r="D556" s="176" t="s">
        <v>576</v>
      </c>
      <c r="K556" s="162" t="s">
        <v>534</v>
      </c>
      <c r="R556" s="162" t="s">
        <v>534</v>
      </c>
      <c r="S556" s="76"/>
      <c r="T556" s="156"/>
      <c r="W556" s="158"/>
      <c r="X556" s="162" t="s">
        <v>534</v>
      </c>
      <c r="Z556" s="156"/>
      <c r="AC556" s="158"/>
      <c r="AD556" s="162" t="s">
        <v>534</v>
      </c>
      <c r="AE556" s="172" t="str">
        <f t="shared" si="48"/>
        <v>|</v>
      </c>
      <c r="AG556" s="154" t="s">
        <v>1158</v>
      </c>
    </row>
    <row r="557" spans="1:33" ht="24" customHeight="1">
      <c r="A557" s="175">
        <f t="shared" si="44"/>
        <v>374</v>
      </c>
      <c r="B557" s="176" t="s">
        <v>1235</v>
      </c>
      <c r="C557" s="177">
        <v>14.69</v>
      </c>
      <c r="D557" s="176" t="s">
        <v>576</v>
      </c>
      <c r="H557" s="154" t="s">
        <v>881</v>
      </c>
      <c r="K557" s="167">
        <f>(K555/0.743)</f>
        <v>1196.2077388963662</v>
      </c>
      <c r="O557" s="154" t="s">
        <v>1202</v>
      </c>
      <c r="R557" s="167">
        <f>SUM(R537:R555)</f>
        <v>4021.6</v>
      </c>
      <c r="S557" s="76"/>
      <c r="T557" s="156"/>
      <c r="U557" s="154" t="s">
        <v>1226</v>
      </c>
      <c r="W557" s="158"/>
      <c r="X557" s="167">
        <f>SUM(X552:X555)</f>
        <v>892.01257343500004</v>
      </c>
      <c r="Z557" s="156"/>
      <c r="AA557" s="154" t="s">
        <v>1226</v>
      </c>
      <c r="AC557" s="158"/>
      <c r="AD557" s="167">
        <f>SUM(AD552:AD555)</f>
        <v>907.61067593500002</v>
      </c>
      <c r="AE557" s="172" t="str">
        <f t="shared" si="48"/>
        <v>|</v>
      </c>
      <c r="AG557" s="154" t="s">
        <v>1158</v>
      </c>
    </row>
    <row r="558" spans="1:33" ht="24" customHeight="1">
      <c r="A558" s="175">
        <f t="shared" si="44"/>
        <v>375</v>
      </c>
      <c r="B558" s="176" t="s">
        <v>1236</v>
      </c>
      <c r="C558" s="188"/>
      <c r="D558" s="176" t="s">
        <v>22</v>
      </c>
      <c r="K558" s="162" t="s">
        <v>528</v>
      </c>
      <c r="R558" s="162" t="s">
        <v>534</v>
      </c>
      <c r="S558" s="76"/>
      <c r="T558" s="156"/>
      <c r="W558" s="158"/>
      <c r="X558" s="162" t="s">
        <v>534</v>
      </c>
      <c r="Z558" s="156"/>
      <c r="AC558" s="158"/>
      <c r="AD558" s="162" t="s">
        <v>534</v>
      </c>
      <c r="AE558" s="172" t="str">
        <f t="shared" si="48"/>
        <v>|</v>
      </c>
      <c r="AG558" s="154" t="s">
        <v>1158</v>
      </c>
    </row>
    <row r="559" spans="1:33" ht="24" customHeight="1">
      <c r="A559" s="175">
        <f t="shared" si="44"/>
        <v>376</v>
      </c>
      <c r="B559" s="176" t="s">
        <v>1194</v>
      </c>
      <c r="C559" s="177">
        <v>10.3</v>
      </c>
      <c r="D559" s="176" t="s">
        <v>576</v>
      </c>
      <c r="H559" s="154" t="s">
        <v>789</v>
      </c>
      <c r="I559" s="167">
        <f>K557</f>
        <v>1196.2077388963662</v>
      </c>
      <c r="J559" s="154">
        <f>C22*0.03/0.743</f>
        <v>3.4732166890982503</v>
      </c>
      <c r="K559" s="166">
        <f>I559+J559</f>
        <v>1199.6809555854645</v>
      </c>
      <c r="M559" s="76">
        <f>0.47*38.5</f>
        <v>18.094999999999999</v>
      </c>
      <c r="O559" s="154" t="s">
        <v>1139</v>
      </c>
      <c r="R559" s="167">
        <f>(R557/30)</f>
        <v>134.05333333333334</v>
      </c>
      <c r="S559" s="76"/>
      <c r="T559" s="156"/>
      <c r="U559" s="154" t="s">
        <v>1237</v>
      </c>
      <c r="W559" s="158"/>
      <c r="X559" s="166">
        <f>(X557/0.743)</f>
        <v>1200.5552805316286</v>
      </c>
      <c r="Z559" s="156"/>
      <c r="AA559" s="154" t="s">
        <v>1237</v>
      </c>
      <c r="AC559" s="158"/>
      <c r="AD559" s="166">
        <f>(AD557/0.743)</f>
        <v>1221.5486890107672</v>
      </c>
      <c r="AE559" s="172" t="str">
        <f t="shared" si="48"/>
        <v>|</v>
      </c>
      <c r="AG559" s="154" t="s">
        <v>1158</v>
      </c>
    </row>
    <row r="560" spans="1:33" ht="24" customHeight="1">
      <c r="A560" s="175">
        <f t="shared" si="44"/>
        <v>377</v>
      </c>
      <c r="B560" s="176" t="s">
        <v>1186</v>
      </c>
      <c r="C560" s="177">
        <v>19.05</v>
      </c>
      <c r="D560" s="176" t="s">
        <v>576</v>
      </c>
      <c r="H560" s="154" t="s">
        <v>793</v>
      </c>
      <c r="I560" s="167">
        <f>K559</f>
        <v>1199.6809555854645</v>
      </c>
      <c r="J560" s="154">
        <f>C23*0.03/0.743</f>
        <v>6.8398384925975773</v>
      </c>
      <c r="K560" s="166">
        <f>I560+J560</f>
        <v>1206.5207940780622</v>
      </c>
      <c r="M560" s="76">
        <f>0.24*546</f>
        <v>131.04</v>
      </c>
      <c r="R560" s="162" t="s">
        <v>534</v>
      </c>
      <c r="S560" s="76"/>
      <c r="T560" s="156"/>
      <c r="W560" s="158"/>
      <c r="X560" s="162" t="s">
        <v>528</v>
      </c>
      <c r="Z560" s="156"/>
      <c r="AC560" s="158"/>
      <c r="AD560" s="162" t="s">
        <v>528</v>
      </c>
      <c r="AE560" s="172" t="str">
        <f t="shared" si="48"/>
        <v>|</v>
      </c>
      <c r="AG560" s="154" t="s">
        <v>1158</v>
      </c>
    </row>
    <row r="561" spans="1:33" ht="24" customHeight="1">
      <c r="A561" s="175">
        <f t="shared" si="44"/>
        <v>378</v>
      </c>
      <c r="B561" s="176" t="s">
        <v>1198</v>
      </c>
      <c r="C561" s="177">
        <v>15.34</v>
      </c>
      <c r="D561" s="176" t="s">
        <v>576</v>
      </c>
      <c r="H561" s="154" t="s">
        <v>796</v>
      </c>
      <c r="I561" s="167">
        <f>K560</f>
        <v>1206.5207940780622</v>
      </c>
      <c r="J561" s="154">
        <f>J560</f>
        <v>6.8398384925975773</v>
      </c>
      <c r="K561" s="166">
        <f>I561+J561</f>
        <v>1213.3606325706598</v>
      </c>
      <c r="M561" s="76">
        <f>0.24*143.6</f>
        <v>34.463999999999999</v>
      </c>
      <c r="N561" s="154" t="s">
        <v>307</v>
      </c>
      <c r="O561" s="154" t="s">
        <v>1115</v>
      </c>
      <c r="S561" s="76"/>
      <c r="T561" s="156"/>
      <c r="U561" s="154" t="s">
        <v>789</v>
      </c>
      <c r="V561" s="167">
        <f>X559</f>
        <v>1200.5552805316286</v>
      </c>
      <c r="W561" s="154">
        <f>J559</f>
        <v>3.4732166890982503</v>
      </c>
      <c r="X561" s="166">
        <f>V561+W561</f>
        <v>1204.0284972207269</v>
      </c>
      <c r="Z561" s="156"/>
      <c r="AA561" s="154" t="s">
        <v>789</v>
      </c>
      <c r="AB561" s="167">
        <f>AD559</f>
        <v>1221.5486890107672</v>
      </c>
      <c r="AC561" s="154">
        <f t="shared" ref="AC561:AC566" si="58">W561</f>
        <v>3.4732166890982503</v>
      </c>
      <c r="AD561" s="166">
        <f t="shared" ref="AD561:AD566" si="59">AB561+AC561</f>
        <v>1225.0219056998656</v>
      </c>
      <c r="AE561" s="172" t="str">
        <f t="shared" si="48"/>
        <v>|</v>
      </c>
      <c r="AG561" s="154" t="s">
        <v>1158</v>
      </c>
    </row>
    <row r="562" spans="1:33" ht="24" customHeight="1">
      <c r="A562" s="175">
        <f t="shared" si="44"/>
        <v>379</v>
      </c>
      <c r="B562" s="176" t="s">
        <v>1238</v>
      </c>
      <c r="C562" s="177">
        <v>29.41</v>
      </c>
      <c r="D562" s="176" t="s">
        <v>576</v>
      </c>
      <c r="H562" s="154" t="s">
        <v>798</v>
      </c>
      <c r="I562" s="167">
        <f>K561</f>
        <v>1213.3606325706598</v>
      </c>
      <c r="J562" s="154">
        <f>J561</f>
        <v>6.8398384925975773</v>
      </c>
      <c r="K562" s="166">
        <f>I562+J562</f>
        <v>1220.2004710632575</v>
      </c>
      <c r="M562" s="76">
        <f>0.79*328.9</f>
        <v>259.83100000000002</v>
      </c>
      <c r="O562" s="154" t="s">
        <v>1239</v>
      </c>
      <c r="S562" s="76"/>
      <c r="T562" s="156"/>
      <c r="U562" s="154" t="s">
        <v>793</v>
      </c>
      <c r="V562" s="167">
        <f>X561</f>
        <v>1204.0284972207269</v>
      </c>
      <c r="W562" s="154">
        <f>J560</f>
        <v>6.8398384925975773</v>
      </c>
      <c r="X562" s="166">
        <f>V562+W562</f>
        <v>1210.8683357133245</v>
      </c>
      <c r="Z562" s="156"/>
      <c r="AA562" s="154" t="s">
        <v>793</v>
      </c>
      <c r="AB562" s="167">
        <f>AD561</f>
        <v>1225.0219056998656</v>
      </c>
      <c r="AC562" s="154">
        <f t="shared" si="58"/>
        <v>6.8398384925975773</v>
      </c>
      <c r="AD562" s="166">
        <f t="shared" si="59"/>
        <v>1231.8617441924632</v>
      </c>
      <c r="AE562" s="172" t="str">
        <f t="shared" si="48"/>
        <v>|</v>
      </c>
      <c r="AG562" s="154" t="s">
        <v>1158</v>
      </c>
    </row>
    <row r="563" spans="1:33" ht="24" customHeight="1">
      <c r="A563" s="188"/>
      <c r="B563" s="188"/>
      <c r="C563" s="188"/>
      <c r="D563" s="188"/>
      <c r="F563" s="154" t="s">
        <v>22</v>
      </c>
      <c r="H563" s="154" t="s">
        <v>793</v>
      </c>
      <c r="I563" s="167">
        <f>K562</f>
        <v>1220.2004710632575</v>
      </c>
      <c r="J563" s="154">
        <f>J562</f>
        <v>6.8398384925975773</v>
      </c>
      <c r="K563" s="166">
        <f>I563+J563</f>
        <v>1227.0403095558552</v>
      </c>
      <c r="M563" s="76">
        <f>SUM(M559:M562)</f>
        <v>443.43</v>
      </c>
      <c r="S563" s="76"/>
      <c r="T563" s="156"/>
      <c r="U563" s="154" t="s">
        <v>796</v>
      </c>
      <c r="V563" s="167">
        <f>X562</f>
        <v>1210.8683357133245</v>
      </c>
      <c r="W563" s="154">
        <f>J561</f>
        <v>6.8398384925975773</v>
      </c>
      <c r="X563" s="166">
        <f>V563+W563</f>
        <v>1217.7081742059222</v>
      </c>
      <c r="Z563" s="156"/>
      <c r="AA563" s="154" t="s">
        <v>796</v>
      </c>
      <c r="AB563" s="167">
        <f>AD562</f>
        <v>1231.8617441924632</v>
      </c>
      <c r="AC563" s="154">
        <f t="shared" si="58"/>
        <v>6.8398384925975773</v>
      </c>
      <c r="AD563" s="166">
        <f t="shared" si="59"/>
        <v>1238.7015826850609</v>
      </c>
      <c r="AE563" s="172" t="str">
        <f t="shared" si="48"/>
        <v>|</v>
      </c>
      <c r="AG563" s="154" t="s">
        <v>1158</v>
      </c>
    </row>
    <row r="564" spans="1:33" ht="15.75">
      <c r="A564" s="175">
        <f>(A562+1)</f>
        <v>380</v>
      </c>
      <c r="B564" s="176" t="s">
        <v>1234</v>
      </c>
      <c r="C564" s="177">
        <v>38.35</v>
      </c>
      <c r="D564" s="176" t="s">
        <v>576</v>
      </c>
      <c r="H564" s="154">
        <v>5</v>
      </c>
      <c r="I564" s="167">
        <f t="shared" ref="I564:I569" si="60">K563</f>
        <v>1227.0403095558552</v>
      </c>
      <c r="J564" s="154">
        <f t="shared" ref="J564:J571" si="61">J563</f>
        <v>6.8398384925975773</v>
      </c>
      <c r="K564" s="166">
        <f t="shared" ref="K564:K569" si="62">I564+J564</f>
        <v>1233.8801480484528</v>
      </c>
      <c r="O564" s="154" t="s">
        <v>1117</v>
      </c>
      <c r="S564" s="76"/>
      <c r="T564" s="156"/>
      <c r="U564" s="154" t="s">
        <v>798</v>
      </c>
      <c r="V564" s="167">
        <f>X563</f>
        <v>1217.7081742059222</v>
      </c>
      <c r="W564" s="154">
        <f>J562</f>
        <v>6.8398384925975773</v>
      </c>
      <c r="X564" s="166">
        <f>V564+W564</f>
        <v>1224.5480126985199</v>
      </c>
      <c r="Z564" s="156"/>
      <c r="AA564" s="154" t="s">
        <v>798</v>
      </c>
      <c r="AB564" s="167">
        <f>AD563</f>
        <v>1238.7015826850609</v>
      </c>
      <c r="AC564" s="154">
        <f t="shared" si="58"/>
        <v>6.8398384925975773</v>
      </c>
      <c r="AD564" s="166">
        <f t="shared" si="59"/>
        <v>1245.5414211776585</v>
      </c>
      <c r="AE564" s="172" t="str">
        <f t="shared" si="48"/>
        <v>|</v>
      </c>
      <c r="AG564" s="154" t="s">
        <v>1158</v>
      </c>
    </row>
    <row r="565" spans="1:33" ht="15.75">
      <c r="A565" s="175"/>
      <c r="B565" s="176"/>
      <c r="C565" s="177"/>
      <c r="D565" s="176"/>
      <c r="H565" s="154">
        <v>6</v>
      </c>
      <c r="I565" s="167">
        <f t="shared" si="60"/>
        <v>1233.8801480484528</v>
      </c>
      <c r="J565" s="154">
        <f t="shared" si="61"/>
        <v>6.8398384925975773</v>
      </c>
      <c r="K565" s="166">
        <f t="shared" si="62"/>
        <v>1240.7199865410505</v>
      </c>
      <c r="O565" s="154"/>
      <c r="S565" s="154" t="s">
        <v>22</v>
      </c>
      <c r="T565" s="156"/>
      <c r="U565" s="154" t="s">
        <v>1240</v>
      </c>
      <c r="V565" s="167">
        <f>X564</f>
        <v>1224.5480126985199</v>
      </c>
      <c r="W565" s="154">
        <f>J563</f>
        <v>6.8398384925975773</v>
      </c>
      <c r="X565" s="166">
        <f>V565+W565</f>
        <v>1231.3878511911175</v>
      </c>
      <c r="AA565" s="154" t="s">
        <v>793</v>
      </c>
      <c r="AB565" s="167">
        <f>AD564</f>
        <v>1245.5414211776585</v>
      </c>
      <c r="AC565" s="154">
        <f t="shared" si="58"/>
        <v>6.8398384925975773</v>
      </c>
      <c r="AD565" s="166">
        <f t="shared" si="59"/>
        <v>1252.3812596702562</v>
      </c>
      <c r="AE565" s="172"/>
      <c r="AG565" s="154"/>
    </row>
    <row r="566" spans="1:33" ht="15.75">
      <c r="A566" s="175"/>
      <c r="B566" s="176"/>
      <c r="C566" s="177"/>
      <c r="D566" s="176"/>
      <c r="H566" s="154">
        <v>7</v>
      </c>
      <c r="I566" s="167">
        <f t="shared" si="60"/>
        <v>1240.7199865410505</v>
      </c>
      <c r="J566" s="154">
        <f t="shared" si="61"/>
        <v>6.8398384925975773</v>
      </c>
      <c r="K566" s="166">
        <f t="shared" si="62"/>
        <v>1247.5598250336482</v>
      </c>
      <c r="O566" s="154"/>
      <c r="AA566" s="154" t="s">
        <v>796</v>
      </c>
      <c r="AB566" s="167">
        <f>AD565</f>
        <v>1252.3812596702562</v>
      </c>
      <c r="AC566" s="154">
        <f t="shared" si="58"/>
        <v>0</v>
      </c>
      <c r="AD566" s="166">
        <f t="shared" si="59"/>
        <v>1252.3812596702562</v>
      </c>
      <c r="AE566" s="172"/>
      <c r="AG566" s="154"/>
    </row>
    <row r="567" spans="1:33" ht="15.75">
      <c r="A567" s="175"/>
      <c r="B567" s="176"/>
      <c r="C567" s="177"/>
      <c r="D567" s="176"/>
      <c r="H567" s="154">
        <v>8</v>
      </c>
      <c r="I567" s="167">
        <f t="shared" si="60"/>
        <v>1247.5598250336482</v>
      </c>
      <c r="J567" s="154">
        <f t="shared" si="61"/>
        <v>6.8398384925975773</v>
      </c>
      <c r="K567" s="166">
        <f t="shared" si="62"/>
        <v>1254.3996635262458</v>
      </c>
      <c r="O567" s="154"/>
      <c r="AE567" s="172"/>
      <c r="AG567" s="154"/>
    </row>
    <row r="568" spans="1:33" ht="15.75">
      <c r="A568" s="175"/>
      <c r="B568" s="176"/>
      <c r="C568" s="177"/>
      <c r="D568" s="176"/>
      <c r="H568" s="154">
        <v>9</v>
      </c>
      <c r="I568" s="167">
        <f t="shared" si="60"/>
        <v>1254.3996635262458</v>
      </c>
      <c r="J568" s="154">
        <f t="shared" si="61"/>
        <v>6.8398384925975773</v>
      </c>
      <c r="K568" s="166">
        <f t="shared" si="62"/>
        <v>1261.2395020188435</v>
      </c>
      <c r="O568" s="154"/>
      <c r="AE568" s="172"/>
      <c r="AG568" s="154"/>
    </row>
    <row r="569" spans="1:33" ht="15.75">
      <c r="A569" s="175"/>
      <c r="B569" s="176"/>
      <c r="C569" s="177"/>
      <c r="D569" s="176"/>
      <c r="H569" s="154">
        <v>10</v>
      </c>
      <c r="I569" s="167">
        <f t="shared" si="60"/>
        <v>1261.2395020188435</v>
      </c>
      <c r="J569" s="154">
        <f t="shared" si="61"/>
        <v>6.8398384925975773</v>
      </c>
      <c r="K569" s="166">
        <f t="shared" si="62"/>
        <v>1268.0793405114412</v>
      </c>
      <c r="O569" s="154"/>
      <c r="AE569" s="172"/>
      <c r="AG569" s="154"/>
    </row>
    <row r="570" spans="1:33" ht="15.75">
      <c r="A570" s="175"/>
      <c r="B570" s="176"/>
      <c r="C570" s="177"/>
      <c r="D570" s="176"/>
      <c r="H570" s="154">
        <v>11</v>
      </c>
      <c r="I570" s="167">
        <f>K569</f>
        <v>1268.0793405114412</v>
      </c>
      <c r="J570" s="154">
        <f t="shared" si="61"/>
        <v>6.8398384925975773</v>
      </c>
      <c r="K570" s="166">
        <f>I570+J570</f>
        <v>1274.9191790040388</v>
      </c>
      <c r="O570" s="154"/>
      <c r="AE570" s="172"/>
      <c r="AG570" s="154"/>
    </row>
    <row r="571" spans="1:33" ht="15.75">
      <c r="A571" s="175"/>
      <c r="B571" s="176"/>
      <c r="C571" s="177"/>
      <c r="D571" s="176"/>
      <c r="H571" s="154">
        <v>12</v>
      </c>
      <c r="I571" s="167">
        <f>K570</f>
        <v>1274.9191790040388</v>
      </c>
      <c r="J571" s="154">
        <f t="shared" si="61"/>
        <v>6.8398384925975773</v>
      </c>
      <c r="K571" s="166">
        <f>I571+J571</f>
        <v>1281.7590174966365</v>
      </c>
      <c r="O571" s="154"/>
      <c r="AE571" s="172"/>
      <c r="AG571" s="154"/>
    </row>
    <row r="572" spans="1:33" ht="15.75">
      <c r="A572" s="175">
        <f>(A564+1)</f>
        <v>381</v>
      </c>
      <c r="B572" s="176" t="s">
        <v>1235</v>
      </c>
      <c r="C572" s="177">
        <v>37.96</v>
      </c>
      <c r="D572" s="176" t="s">
        <v>576</v>
      </c>
      <c r="F572" s="200"/>
      <c r="G572" s="165" t="s">
        <v>22</v>
      </c>
      <c r="H572" s="154" t="s">
        <v>1241</v>
      </c>
      <c r="O572" s="162" t="s">
        <v>534</v>
      </c>
      <c r="S572" s="204"/>
      <c r="T572" s="165" t="s">
        <v>22</v>
      </c>
      <c r="U572" s="154" t="s">
        <v>1241</v>
      </c>
      <c r="W572" s="158"/>
      <c r="AA572" s="154" t="s">
        <v>798</v>
      </c>
      <c r="AB572" s="167">
        <f>AD571</f>
        <v>0</v>
      </c>
      <c r="AC572" s="154">
        <f>W572</f>
        <v>0</v>
      </c>
      <c r="AD572" s="166">
        <f>AB572+AC572</f>
        <v>0</v>
      </c>
      <c r="AE572" s="172" t="str">
        <f t="shared" si="48"/>
        <v>|</v>
      </c>
      <c r="AG572" s="154" t="s">
        <v>1158</v>
      </c>
    </row>
    <row r="573" spans="1:33" ht="24" customHeight="1">
      <c r="A573" s="175">
        <f t="shared" ref="A573:A587" si="63">(A572+1)</f>
        <v>382</v>
      </c>
      <c r="B573" s="176" t="s">
        <v>1242</v>
      </c>
      <c r="C573" s="188"/>
      <c r="D573" s="176" t="s">
        <v>22</v>
      </c>
      <c r="H573" s="154" t="s">
        <v>1243</v>
      </c>
      <c r="T573" s="156"/>
      <c r="U573" s="154" t="s">
        <v>1243</v>
      </c>
      <c r="W573" s="158"/>
      <c r="AE573" s="172" t="str">
        <f t="shared" si="48"/>
        <v>|</v>
      </c>
      <c r="AG573" s="154" t="s">
        <v>1158</v>
      </c>
    </row>
    <row r="574" spans="1:33" ht="24" customHeight="1">
      <c r="A574" s="175">
        <f t="shared" si="63"/>
        <v>383</v>
      </c>
      <c r="B574" s="176" t="s">
        <v>1194</v>
      </c>
      <c r="C574" s="177">
        <v>6.68</v>
      </c>
      <c r="D574" s="176" t="s">
        <v>576</v>
      </c>
      <c r="H574" s="154" t="s">
        <v>1244</v>
      </c>
      <c r="N574" s="154" t="s">
        <v>1118</v>
      </c>
      <c r="O574" s="154" t="s">
        <v>1245</v>
      </c>
      <c r="T574" s="156"/>
      <c r="U574" s="154" t="s">
        <v>1244</v>
      </c>
      <c r="W574" s="158"/>
      <c r="AE574" s="172" t="str">
        <f t="shared" si="48"/>
        <v>|</v>
      </c>
      <c r="AG574" s="154" t="s">
        <v>1158</v>
      </c>
    </row>
    <row r="575" spans="1:33" ht="24" customHeight="1">
      <c r="A575" s="175">
        <f t="shared" si="63"/>
        <v>384</v>
      </c>
      <c r="B575" s="176" t="s">
        <v>1186</v>
      </c>
      <c r="C575" s="177">
        <v>9.4499999999999993</v>
      </c>
      <c r="D575" s="176" t="s">
        <v>576</v>
      </c>
      <c r="H575" s="154" t="s">
        <v>1246</v>
      </c>
      <c r="O575" s="162" t="s">
        <v>534</v>
      </c>
      <c r="T575" s="156"/>
      <c r="U575" s="154" t="s">
        <v>1246</v>
      </c>
      <c r="W575" s="158"/>
      <c r="AE575" s="172" t="str">
        <f t="shared" si="48"/>
        <v>|</v>
      </c>
      <c r="AG575" s="154" t="s">
        <v>1158</v>
      </c>
    </row>
    <row r="576" spans="1:33" ht="24" customHeight="1">
      <c r="A576" s="175">
        <f t="shared" si="63"/>
        <v>385</v>
      </c>
      <c r="B576" s="176" t="s">
        <v>1198</v>
      </c>
      <c r="C576" s="177">
        <v>33.04</v>
      </c>
      <c r="D576" s="176" t="s">
        <v>576</v>
      </c>
      <c r="H576" s="154" t="s">
        <v>1247</v>
      </c>
      <c r="M576" s="167">
        <v>8.1</v>
      </c>
      <c r="N576" s="154" t="s">
        <v>577</v>
      </c>
      <c r="O576" s="154" t="s">
        <v>1122</v>
      </c>
      <c r="P576" s="167">
        <f>(C61)*2</f>
        <v>160.82</v>
      </c>
      <c r="Q576" s="154" t="s">
        <v>577</v>
      </c>
      <c r="R576" s="167">
        <f>(M576*P576)</f>
        <v>1302.6419999999998</v>
      </c>
      <c r="T576" s="156"/>
      <c r="U576" s="154" t="s">
        <v>1247</v>
      </c>
      <c r="W576" s="158"/>
      <c r="AE576" s="172" t="str">
        <f t="shared" si="48"/>
        <v>|</v>
      </c>
      <c r="AG576" s="154" t="s">
        <v>1158</v>
      </c>
    </row>
    <row r="577" spans="1:33" ht="24" customHeight="1">
      <c r="A577" s="175">
        <f t="shared" si="63"/>
        <v>386</v>
      </c>
      <c r="B577" s="176" t="s">
        <v>1238</v>
      </c>
      <c r="C577" s="177">
        <v>33.04</v>
      </c>
      <c r="D577" s="176" t="s">
        <v>576</v>
      </c>
      <c r="H577" s="154" t="s">
        <v>1248</v>
      </c>
      <c r="M577" s="167">
        <v>8.1</v>
      </c>
      <c r="N577" s="154" t="s">
        <v>577</v>
      </c>
      <c r="O577" s="154" t="s">
        <v>1123</v>
      </c>
      <c r="P577" s="167">
        <f>(C26)</f>
        <v>28.05</v>
      </c>
      <c r="Q577" s="154" t="s">
        <v>577</v>
      </c>
      <c r="R577" s="167">
        <f>(M577*P577)</f>
        <v>227.20499999999998</v>
      </c>
      <c r="T577" s="156"/>
      <c r="U577" s="154" t="s">
        <v>1248</v>
      </c>
      <c r="W577" s="158"/>
      <c r="AE577" s="172" t="str">
        <f t="shared" si="48"/>
        <v>|</v>
      </c>
      <c r="AG577" s="154" t="s">
        <v>1158</v>
      </c>
    </row>
    <row r="578" spans="1:33" ht="24" customHeight="1">
      <c r="A578" s="175">
        <f t="shared" si="63"/>
        <v>387</v>
      </c>
      <c r="B578" s="176" t="s">
        <v>1249</v>
      </c>
      <c r="C578" s="177">
        <v>33.04</v>
      </c>
      <c r="D578" s="176" t="s">
        <v>576</v>
      </c>
      <c r="H578" s="154" t="s">
        <v>1250</v>
      </c>
      <c r="M578" s="167">
        <v>30</v>
      </c>
      <c r="N578" s="154" t="s">
        <v>410</v>
      </c>
      <c r="O578" s="154" t="s">
        <v>1124</v>
      </c>
      <c r="P578" s="167">
        <f>(C661)</f>
        <v>6.45</v>
      </c>
      <c r="Q578" s="154" t="s">
        <v>410</v>
      </c>
      <c r="R578" s="167">
        <f>(M578*P578)</f>
        <v>193.5</v>
      </c>
      <c r="T578" s="156"/>
      <c r="U578" s="154" t="s">
        <v>1250</v>
      </c>
      <c r="W578" s="158"/>
      <c r="AE578" s="172" t="str">
        <f t="shared" si="48"/>
        <v>|</v>
      </c>
      <c r="AG578" s="154" t="s">
        <v>1158</v>
      </c>
    </row>
    <row r="579" spans="1:33" ht="24" customHeight="1">
      <c r="A579" s="175">
        <f t="shared" si="63"/>
        <v>388</v>
      </c>
      <c r="B579" s="176" t="s">
        <v>1251</v>
      </c>
      <c r="C579" s="177">
        <v>33.04</v>
      </c>
      <c r="D579" s="176" t="s">
        <v>576</v>
      </c>
      <c r="H579" s="162" t="s">
        <v>534</v>
      </c>
      <c r="I579" s="162" t="s">
        <v>534</v>
      </c>
      <c r="O579" s="154" t="s">
        <v>1252</v>
      </c>
      <c r="T579" s="156"/>
      <c r="U579" s="162" t="s">
        <v>534</v>
      </c>
      <c r="V579" s="162" t="s">
        <v>534</v>
      </c>
      <c r="W579" s="158"/>
      <c r="AE579" s="172" t="str">
        <f t="shared" si="48"/>
        <v>|</v>
      </c>
      <c r="AG579" s="154" t="s">
        <v>1158</v>
      </c>
    </row>
    <row r="580" spans="1:33" ht="24" customHeight="1">
      <c r="A580" s="175">
        <f t="shared" si="63"/>
        <v>389</v>
      </c>
      <c r="B580" s="176" t="s">
        <v>1253</v>
      </c>
      <c r="C580" s="177">
        <v>538</v>
      </c>
      <c r="D580" s="176" t="s">
        <v>576</v>
      </c>
      <c r="G580" s="165" t="s">
        <v>930</v>
      </c>
      <c r="H580" s="154" t="s">
        <v>1254</v>
      </c>
      <c r="O580" s="154" t="s">
        <v>1126</v>
      </c>
      <c r="T580" s="165" t="s">
        <v>930</v>
      </c>
      <c r="U580" s="154" t="s">
        <v>1255</v>
      </c>
      <c r="W580" s="158"/>
      <c r="AE580" s="172" t="str">
        <f t="shared" si="48"/>
        <v>|</v>
      </c>
      <c r="AG580" s="154" t="s">
        <v>1158</v>
      </c>
    </row>
    <row r="581" spans="1:33" ht="24" customHeight="1">
      <c r="A581" s="175">
        <f t="shared" si="63"/>
        <v>390</v>
      </c>
      <c r="B581" s="176" t="s">
        <v>1256</v>
      </c>
      <c r="C581" s="177">
        <v>340</v>
      </c>
      <c r="D581" s="176" t="s">
        <v>576</v>
      </c>
      <c r="H581" s="154" t="s">
        <v>1257</v>
      </c>
      <c r="O581" s="154" t="s">
        <v>1127</v>
      </c>
      <c r="T581" s="156"/>
      <c r="U581" s="154" t="s">
        <v>1257</v>
      </c>
      <c r="W581" s="158"/>
      <c r="AE581" s="172" t="str">
        <f t="shared" si="48"/>
        <v>|</v>
      </c>
      <c r="AG581" s="154" t="s">
        <v>1158</v>
      </c>
    </row>
    <row r="582" spans="1:33" ht="24" customHeight="1">
      <c r="A582" s="175">
        <f t="shared" si="63"/>
        <v>391</v>
      </c>
      <c r="B582" s="176" t="s">
        <v>1258</v>
      </c>
      <c r="C582" s="177">
        <v>1039</v>
      </c>
      <c r="D582" s="176" t="s">
        <v>576</v>
      </c>
      <c r="F582" s="167">
        <v>10</v>
      </c>
      <c r="G582" s="165" t="s">
        <v>250</v>
      </c>
      <c r="H582" s="154" t="s">
        <v>1259</v>
      </c>
      <c r="I582" s="173">
        <f>C751</f>
        <v>363</v>
      </c>
      <c r="J582" s="154" t="s">
        <v>250</v>
      </c>
      <c r="K582" s="167">
        <f>(F582*I582)</f>
        <v>3630</v>
      </c>
      <c r="O582" s="154" t="s">
        <v>1128</v>
      </c>
      <c r="S582" s="198">
        <v>10</v>
      </c>
      <c r="T582" s="165" t="s">
        <v>250</v>
      </c>
      <c r="U582" s="154" t="s">
        <v>1259</v>
      </c>
      <c r="V582" s="173">
        <f>I604</f>
        <v>394</v>
      </c>
      <c r="W582" s="154" t="s">
        <v>250</v>
      </c>
      <c r="X582" s="167">
        <f>(S582*V582)</f>
        <v>3940</v>
      </c>
      <c r="AE582" s="172" t="str">
        <f t="shared" si="48"/>
        <v>|</v>
      </c>
      <c r="AG582" s="154" t="s">
        <v>1158</v>
      </c>
    </row>
    <row r="583" spans="1:33" ht="24" customHeight="1">
      <c r="A583" s="175">
        <f t="shared" si="63"/>
        <v>392</v>
      </c>
      <c r="B583" s="176" t="s">
        <v>1260</v>
      </c>
      <c r="C583" s="177">
        <v>100.44</v>
      </c>
      <c r="D583" s="176" t="s">
        <v>576</v>
      </c>
      <c r="F583" s="167">
        <v>1</v>
      </c>
      <c r="G583" s="165" t="s">
        <v>1261</v>
      </c>
      <c r="H583" s="154" t="s">
        <v>1262</v>
      </c>
      <c r="I583" s="167">
        <f>C10</f>
        <v>717.2</v>
      </c>
      <c r="J583" s="154" t="s">
        <v>332</v>
      </c>
      <c r="K583" s="167">
        <f>(F583*I583)</f>
        <v>717.2</v>
      </c>
      <c r="M583" s="167">
        <v>8</v>
      </c>
      <c r="N583" s="154" t="s">
        <v>680</v>
      </c>
      <c r="O583" s="154" t="s">
        <v>1131</v>
      </c>
      <c r="P583" s="167">
        <f>(C663)</f>
        <v>6.2</v>
      </c>
      <c r="Q583" s="154" t="s">
        <v>680</v>
      </c>
      <c r="R583" s="167">
        <f>(M583*P583)</f>
        <v>49.6</v>
      </c>
      <c r="S583" s="198">
        <v>1</v>
      </c>
      <c r="T583" s="165" t="s">
        <v>1261</v>
      </c>
      <c r="U583" s="154" t="s">
        <v>1262</v>
      </c>
      <c r="V583" s="167">
        <f>I583</f>
        <v>717.2</v>
      </c>
      <c r="W583" s="154" t="s">
        <v>332</v>
      </c>
      <c r="X583" s="167">
        <f>(S583*V583)</f>
        <v>717.2</v>
      </c>
      <c r="AE583" s="172" t="str">
        <f t="shared" si="48"/>
        <v>|</v>
      </c>
      <c r="AG583" s="154" t="s">
        <v>1158</v>
      </c>
    </row>
    <row r="584" spans="1:33" ht="24" customHeight="1">
      <c r="A584" s="175">
        <f t="shared" si="63"/>
        <v>393</v>
      </c>
      <c r="B584" s="176" t="s">
        <v>1263</v>
      </c>
      <c r="C584" s="177">
        <v>31</v>
      </c>
      <c r="D584" s="176" t="s">
        <v>1007</v>
      </c>
      <c r="F584" s="167">
        <v>1</v>
      </c>
      <c r="G584" s="165" t="s">
        <v>1261</v>
      </c>
      <c r="H584" s="154" t="s">
        <v>1264</v>
      </c>
      <c r="I584" s="167">
        <f>C12</f>
        <v>468.6</v>
      </c>
      <c r="J584" s="154" t="s">
        <v>332</v>
      </c>
      <c r="K584" s="167">
        <f>(F584*I584)</f>
        <v>468.6</v>
      </c>
      <c r="M584" s="167">
        <v>8</v>
      </c>
      <c r="N584" s="154" t="s">
        <v>680</v>
      </c>
      <c r="O584" s="154" t="s">
        <v>1134</v>
      </c>
      <c r="P584" s="167">
        <f>(C672)</f>
        <v>8.6999999999999993</v>
      </c>
      <c r="Q584" s="154" t="s">
        <v>680</v>
      </c>
      <c r="R584" s="167">
        <f>(M584*P584)</f>
        <v>69.599999999999994</v>
      </c>
      <c r="S584" s="198">
        <v>1</v>
      </c>
      <c r="T584" s="165" t="s">
        <v>1261</v>
      </c>
      <c r="U584" s="154" t="s">
        <v>1264</v>
      </c>
      <c r="V584" s="167">
        <f>I584</f>
        <v>468.6</v>
      </c>
      <c r="W584" s="154" t="s">
        <v>332</v>
      </c>
      <c r="X584" s="167">
        <f>(S584*V584)</f>
        <v>468.6</v>
      </c>
      <c r="AE584" s="172" t="str">
        <f t="shared" si="48"/>
        <v>|</v>
      </c>
      <c r="AG584" s="154" t="s">
        <v>1158</v>
      </c>
    </row>
    <row r="585" spans="1:33" ht="24" customHeight="1">
      <c r="A585" s="175">
        <f t="shared" si="63"/>
        <v>394</v>
      </c>
      <c r="B585" s="176" t="s">
        <v>1265</v>
      </c>
      <c r="C585" s="174">
        <v>200</v>
      </c>
      <c r="D585" s="176" t="s">
        <v>576</v>
      </c>
      <c r="G585" s="165" t="s">
        <v>589</v>
      </c>
      <c r="H585" s="154" t="s">
        <v>1266</v>
      </c>
      <c r="J585" s="154" t="s">
        <v>589</v>
      </c>
      <c r="K585" s="167">
        <v>120</v>
      </c>
      <c r="M585" s="167">
        <v>1</v>
      </c>
      <c r="N585" s="154" t="s">
        <v>589</v>
      </c>
      <c r="O585" s="154" t="s">
        <v>1136</v>
      </c>
      <c r="P585" s="167">
        <f>(C673)</f>
        <v>4</v>
      </c>
      <c r="Q585" s="154" t="s">
        <v>589</v>
      </c>
      <c r="R585" s="167">
        <f>(M585*P585)</f>
        <v>4</v>
      </c>
      <c r="T585" s="165" t="s">
        <v>589</v>
      </c>
      <c r="U585" s="154" t="s">
        <v>1266</v>
      </c>
      <c r="V585" s="167">
        <f>I585</f>
        <v>0</v>
      </c>
      <c r="W585" s="154" t="s">
        <v>589</v>
      </c>
      <c r="X585" s="167">
        <v>120</v>
      </c>
      <c r="AE585" s="172" t="str">
        <f t="shared" si="48"/>
        <v>|</v>
      </c>
      <c r="AG585" s="154" t="s">
        <v>1158</v>
      </c>
    </row>
    <row r="586" spans="1:33" ht="24" customHeight="1">
      <c r="A586" s="175">
        <f t="shared" si="63"/>
        <v>395</v>
      </c>
      <c r="B586" s="176" t="s">
        <v>1267</v>
      </c>
      <c r="C586" s="177">
        <v>82.2</v>
      </c>
      <c r="D586" s="176" t="s">
        <v>576</v>
      </c>
      <c r="H586" s="154" t="s">
        <v>1268</v>
      </c>
      <c r="K586" s="162" t="s">
        <v>534</v>
      </c>
      <c r="M586" s="167">
        <v>1</v>
      </c>
      <c r="N586" s="154" t="s">
        <v>589</v>
      </c>
      <c r="O586" s="154" t="s">
        <v>590</v>
      </c>
      <c r="Q586" s="154" t="s">
        <v>589</v>
      </c>
      <c r="R586" s="167">
        <v>0</v>
      </c>
      <c r="T586" s="156"/>
      <c r="U586" s="154" t="s">
        <v>1268</v>
      </c>
      <c r="W586" s="158"/>
      <c r="X586" s="162" t="s">
        <v>534</v>
      </c>
      <c r="AE586" s="172">
        <f t="shared" si="48"/>
        <v>0</v>
      </c>
    </row>
    <row r="587" spans="1:33" ht="24" customHeight="1">
      <c r="A587" s="175">
        <f t="shared" si="63"/>
        <v>396</v>
      </c>
      <c r="B587" s="176" t="s">
        <v>1269</v>
      </c>
      <c r="C587" s="177">
        <v>57.51</v>
      </c>
      <c r="D587" s="176" t="s">
        <v>576</v>
      </c>
      <c r="H587" s="155" t="s">
        <v>1270</v>
      </c>
      <c r="K587" s="167">
        <f>SUM(K582:K585)</f>
        <v>4935.8</v>
      </c>
      <c r="R587" s="162" t="s">
        <v>534</v>
      </c>
      <c r="T587" s="156"/>
      <c r="U587" s="155" t="s">
        <v>1270</v>
      </c>
      <c r="W587" s="158"/>
      <c r="X587" s="167">
        <f>SUM(X582:X585)</f>
        <v>5245.8</v>
      </c>
      <c r="AE587" s="172" t="str">
        <f t="shared" si="48"/>
        <v>|</v>
      </c>
      <c r="AG587" s="154" t="s">
        <v>1158</v>
      </c>
    </row>
    <row r="588" spans="1:33" ht="24" customHeight="1">
      <c r="A588" s="175">
        <f>(A587+1)</f>
        <v>397</v>
      </c>
      <c r="B588" s="176" t="s">
        <v>1271</v>
      </c>
      <c r="C588" s="195">
        <v>30</v>
      </c>
      <c r="D588" s="176" t="s">
        <v>576</v>
      </c>
      <c r="K588" s="162" t="s">
        <v>534</v>
      </c>
      <c r="O588" s="154" t="s">
        <v>1138</v>
      </c>
      <c r="R588" s="167">
        <f>SUM(R576:R586)</f>
        <v>1846.5469999999996</v>
      </c>
      <c r="T588" s="156"/>
      <c r="W588" s="158"/>
      <c r="X588" s="162" t="s">
        <v>534</v>
      </c>
      <c r="AE588" s="172" t="str">
        <f t="shared" si="48"/>
        <v>|</v>
      </c>
      <c r="AG588" s="154" t="s">
        <v>1158</v>
      </c>
    </row>
    <row r="589" spans="1:33" ht="24" customHeight="1">
      <c r="A589" s="175">
        <f t="shared" ref="A589:A636" si="64">(A588+1)</f>
        <v>398</v>
      </c>
      <c r="B589" s="176" t="s">
        <v>1272</v>
      </c>
      <c r="C589" s="177">
        <v>57.51</v>
      </c>
      <c r="D589" s="176" t="s">
        <v>576</v>
      </c>
      <c r="H589" s="155" t="s">
        <v>1273</v>
      </c>
      <c r="K589" s="167">
        <f>K587/10</f>
        <v>493.58000000000004</v>
      </c>
      <c r="R589" s="162" t="s">
        <v>534</v>
      </c>
      <c r="T589" s="156"/>
      <c r="U589" s="155" t="s">
        <v>1273</v>
      </c>
      <c r="W589" s="158"/>
      <c r="X589" s="167">
        <f>X587/10</f>
        <v>524.58000000000004</v>
      </c>
      <c r="AE589" s="172" t="str">
        <f t="shared" si="48"/>
        <v>|</v>
      </c>
      <c r="AG589" s="154" t="s">
        <v>1158</v>
      </c>
    </row>
    <row r="590" spans="1:33" ht="24" customHeight="1">
      <c r="A590" s="175">
        <f t="shared" si="64"/>
        <v>399</v>
      </c>
      <c r="B590" s="176" t="s">
        <v>1274</v>
      </c>
      <c r="C590" s="177">
        <v>20</v>
      </c>
      <c r="D590" s="176" t="s">
        <v>576</v>
      </c>
      <c r="H590" s="154" t="s">
        <v>789</v>
      </c>
      <c r="I590" s="167">
        <f t="shared" ref="I590:I599" si="65">K589</f>
        <v>493.58000000000004</v>
      </c>
      <c r="J590" s="154">
        <f>C22*0.02</f>
        <v>1.7204000000000002</v>
      </c>
      <c r="K590" s="166">
        <f>I590+J590</f>
        <v>495.30040000000002</v>
      </c>
      <c r="O590" s="154" t="s">
        <v>1139</v>
      </c>
      <c r="R590" s="167">
        <f>(R588/30)</f>
        <v>61.551566666666652</v>
      </c>
      <c r="T590" s="156"/>
      <c r="U590" s="154" t="s">
        <v>789</v>
      </c>
      <c r="V590" s="167">
        <f>J612</f>
        <v>3.4408000000000003</v>
      </c>
      <c r="W590" s="154">
        <f>P22*0.02</f>
        <v>30.288000000000004</v>
      </c>
      <c r="X590" s="166">
        <f>X589+V590</f>
        <v>528.02080000000001</v>
      </c>
      <c r="AE590" s="172" t="str">
        <f t="shared" si="48"/>
        <v>|</v>
      </c>
      <c r="AG590" s="154" t="s">
        <v>1158</v>
      </c>
    </row>
    <row r="591" spans="1:33" ht="24" customHeight="1">
      <c r="A591" s="175">
        <f t="shared" si="64"/>
        <v>400</v>
      </c>
      <c r="B591" s="176" t="s">
        <v>1275</v>
      </c>
      <c r="C591" s="177">
        <v>21.92</v>
      </c>
      <c r="D591" s="176" t="s">
        <v>576</v>
      </c>
      <c r="H591" s="154" t="s">
        <v>793</v>
      </c>
      <c r="I591" s="167">
        <f t="shared" si="65"/>
        <v>495.30040000000002</v>
      </c>
      <c r="J591" s="154">
        <f>C23*0.02</f>
        <v>3.3880000000000003</v>
      </c>
      <c r="K591" s="166">
        <f>I591+J591</f>
        <v>498.6884</v>
      </c>
      <c r="N591" s="154" t="s">
        <v>307</v>
      </c>
      <c r="O591" s="154" t="s">
        <v>1276</v>
      </c>
      <c r="T591" s="156"/>
      <c r="U591" s="154" t="s">
        <v>793</v>
      </c>
      <c r="V591" s="167">
        <f>J613</f>
        <v>6.7760000000000007</v>
      </c>
      <c r="W591" s="154">
        <f>P23*0.02</f>
        <v>20.14</v>
      </c>
      <c r="X591" s="166">
        <f>X590+V591</f>
        <v>534.79679999999996</v>
      </c>
      <c r="AE591" s="172" t="str">
        <f t="shared" si="48"/>
        <v>|</v>
      </c>
      <c r="AG591" s="154" t="s">
        <v>1158</v>
      </c>
    </row>
    <row r="592" spans="1:33" ht="24" customHeight="1">
      <c r="A592" s="175">
        <f t="shared" si="64"/>
        <v>401</v>
      </c>
      <c r="B592" s="176" t="s">
        <v>1277</v>
      </c>
      <c r="C592" s="177">
        <v>28.5</v>
      </c>
      <c r="D592" s="176" t="s">
        <v>576</v>
      </c>
      <c r="H592" s="154" t="s">
        <v>796</v>
      </c>
      <c r="I592" s="167">
        <f t="shared" si="65"/>
        <v>498.6884</v>
      </c>
      <c r="J592" s="154">
        <f>C23*0.02</f>
        <v>3.3880000000000003</v>
      </c>
      <c r="K592" s="166">
        <f>I592+J592</f>
        <v>502.07639999999998</v>
      </c>
      <c r="O592" s="154" t="s">
        <v>1278</v>
      </c>
      <c r="T592" s="156"/>
      <c r="U592" s="154" t="s">
        <v>796</v>
      </c>
      <c r="V592" s="167">
        <f>J614</f>
        <v>6.7760000000000007</v>
      </c>
      <c r="W592" s="154">
        <f>P23*0.02</f>
        <v>20.14</v>
      </c>
      <c r="X592" s="166">
        <f>X591+V592</f>
        <v>541.57279999999992</v>
      </c>
      <c r="AE592" s="172" t="str">
        <f t="shared" si="48"/>
        <v>|</v>
      </c>
      <c r="AG592" s="154" t="s">
        <v>1158</v>
      </c>
    </row>
    <row r="593" spans="1:33" ht="24" customHeight="1">
      <c r="A593" s="175">
        <f t="shared" si="64"/>
        <v>402</v>
      </c>
      <c r="B593" s="176" t="s">
        <v>1279</v>
      </c>
      <c r="C593" s="174">
        <v>847</v>
      </c>
      <c r="D593" s="176" t="s">
        <v>576</v>
      </c>
      <c r="H593" s="154" t="s">
        <v>798</v>
      </c>
      <c r="I593" s="167">
        <f t="shared" si="65"/>
        <v>502.07639999999998</v>
      </c>
      <c r="J593" s="154">
        <f>C23*0.02</f>
        <v>3.3880000000000003</v>
      </c>
      <c r="K593" s="166">
        <f>I593+J593</f>
        <v>505.46439999999996</v>
      </c>
      <c r="O593" s="162" t="s">
        <v>534</v>
      </c>
      <c r="T593" s="156"/>
      <c r="U593" s="154" t="s">
        <v>798</v>
      </c>
      <c r="V593" s="167">
        <f>J615</f>
        <v>6.7760000000000007</v>
      </c>
      <c r="W593" s="154">
        <f>P23*0.02</f>
        <v>20.14</v>
      </c>
      <c r="X593" s="166">
        <f>X592+V593</f>
        <v>548.34879999999987</v>
      </c>
      <c r="AE593" s="172" t="str">
        <f t="shared" si="48"/>
        <v>|</v>
      </c>
      <c r="AG593" s="154" t="s">
        <v>1158</v>
      </c>
    </row>
    <row r="594" spans="1:33" ht="24" customHeight="1">
      <c r="A594" s="175"/>
      <c r="B594" s="176"/>
      <c r="C594" s="177"/>
      <c r="D594" s="176"/>
      <c r="H594" s="154" t="s">
        <v>1180</v>
      </c>
      <c r="I594" s="167">
        <f t="shared" si="65"/>
        <v>505.46439999999996</v>
      </c>
      <c r="J594" s="154">
        <f>C23*0.02</f>
        <v>3.3880000000000003</v>
      </c>
      <c r="K594" s="166">
        <f t="shared" ref="K594:K599" si="66">I594+J594</f>
        <v>508.85239999999993</v>
      </c>
      <c r="O594" s="162"/>
      <c r="T594" s="156"/>
      <c r="U594" s="154" t="s">
        <v>1180</v>
      </c>
      <c r="V594" s="167">
        <f>J616</f>
        <v>6.7760000000000007</v>
      </c>
      <c r="W594" s="154">
        <f>P24*0.02</f>
        <v>1.6654000000000002</v>
      </c>
      <c r="X594" s="166">
        <f>X593+V594</f>
        <v>555.12479999999982</v>
      </c>
      <c r="AE594" s="172" t="str">
        <f t="shared" si="48"/>
        <v>|::</v>
      </c>
      <c r="AG594" s="154" t="s">
        <v>947</v>
      </c>
    </row>
    <row r="595" spans="1:33" ht="24" customHeight="1">
      <c r="A595" s="175">
        <f>(A593+1)</f>
        <v>403</v>
      </c>
      <c r="B595" s="176" t="s">
        <v>1280</v>
      </c>
      <c r="C595" s="177">
        <v>21</v>
      </c>
      <c r="D595" s="176" t="s">
        <v>576</v>
      </c>
      <c r="H595" s="154" t="s">
        <v>1106</v>
      </c>
      <c r="I595" s="167">
        <f t="shared" si="65"/>
        <v>508.85239999999993</v>
      </c>
      <c r="J595" s="154">
        <f>C23*0.02</f>
        <v>3.3880000000000003</v>
      </c>
      <c r="K595" s="166">
        <f t="shared" si="66"/>
        <v>512.24039999999991</v>
      </c>
      <c r="M595" s="167">
        <v>1.08</v>
      </c>
      <c r="N595" s="154" t="s">
        <v>577</v>
      </c>
      <c r="O595" s="154" t="s">
        <v>1281</v>
      </c>
      <c r="P595" s="167">
        <f>(K88)</f>
        <v>170.17</v>
      </c>
      <c r="Q595" s="154" t="s">
        <v>577</v>
      </c>
      <c r="R595" s="167">
        <f>(M595*P595)</f>
        <v>183.78360000000001</v>
      </c>
      <c r="S595" s="204">
        <v>15.2</v>
      </c>
      <c r="T595" s="165" t="s">
        <v>930</v>
      </c>
      <c r="U595" s="154" t="s">
        <v>1282</v>
      </c>
      <c r="W595" s="158"/>
      <c r="X595" s="166">
        <f>X594+V594</f>
        <v>561.90079999999978</v>
      </c>
      <c r="AE595" s="172">
        <f t="shared" si="48"/>
        <v>0</v>
      </c>
    </row>
    <row r="596" spans="1:33" ht="24" customHeight="1">
      <c r="A596" s="175">
        <f t="shared" si="64"/>
        <v>404</v>
      </c>
      <c r="B596" s="176" t="s">
        <v>1283</v>
      </c>
      <c r="C596" s="177">
        <v>150</v>
      </c>
      <c r="D596" s="176" t="s">
        <v>576</v>
      </c>
      <c r="H596" s="154" t="s">
        <v>1107</v>
      </c>
      <c r="I596" s="167">
        <f t="shared" si="65"/>
        <v>512.24039999999991</v>
      </c>
      <c r="J596" s="154">
        <f>C23*0.02</f>
        <v>3.3880000000000003</v>
      </c>
      <c r="K596" s="166">
        <f t="shared" si="66"/>
        <v>515.62839999999994</v>
      </c>
      <c r="M596" s="198">
        <v>0.216</v>
      </c>
      <c r="N596" s="154" t="s">
        <v>577</v>
      </c>
      <c r="O596" s="154" t="s">
        <v>1284</v>
      </c>
      <c r="P596" s="167">
        <f>(R60)</f>
        <v>3405.6734999999999</v>
      </c>
      <c r="Q596" s="154" t="s">
        <v>577</v>
      </c>
      <c r="R596" s="167">
        <f>(M596*P596)</f>
        <v>735.62547599999994</v>
      </c>
      <c r="AE596" s="172">
        <f t="shared" si="48"/>
        <v>0</v>
      </c>
    </row>
    <row r="597" spans="1:33" ht="24" customHeight="1">
      <c r="A597" s="175">
        <f t="shared" si="64"/>
        <v>405</v>
      </c>
      <c r="B597" s="176" t="s">
        <v>1285</v>
      </c>
      <c r="C597" s="174">
        <v>21</v>
      </c>
      <c r="D597" s="176" t="s">
        <v>576</v>
      </c>
      <c r="H597" s="154" t="s">
        <v>1108</v>
      </c>
      <c r="I597" s="167">
        <f t="shared" si="65"/>
        <v>515.62839999999994</v>
      </c>
      <c r="J597" s="154">
        <f>C23*0.02</f>
        <v>3.3880000000000003</v>
      </c>
      <c r="K597" s="166">
        <f t="shared" si="66"/>
        <v>519.01639999999998</v>
      </c>
      <c r="M597" s="198">
        <v>0.48699999999999999</v>
      </c>
      <c r="N597" s="154" t="s">
        <v>577</v>
      </c>
      <c r="O597" s="154" t="s">
        <v>1286</v>
      </c>
      <c r="P597" s="167">
        <f>(R89)</f>
        <v>5932.0409</v>
      </c>
      <c r="Q597" s="154" t="s">
        <v>577</v>
      </c>
      <c r="R597" s="167">
        <f>(M597*P597)</f>
        <v>2888.9039183</v>
      </c>
      <c r="AE597" s="172" t="str">
        <f t="shared" ref="AE597:AE637" si="67">AG597</f>
        <v>|</v>
      </c>
      <c r="AG597" s="154" t="s">
        <v>1158</v>
      </c>
    </row>
    <row r="598" spans="1:33" ht="24" customHeight="1">
      <c r="A598" s="175">
        <f t="shared" si="64"/>
        <v>406</v>
      </c>
      <c r="B598" s="176" t="s">
        <v>1287</v>
      </c>
      <c r="C598" s="174">
        <v>50.4</v>
      </c>
      <c r="D598" s="174">
        <v>43.8</v>
      </c>
      <c r="E598" s="76" t="s">
        <v>1288</v>
      </c>
      <c r="H598" s="154" t="s">
        <v>1289</v>
      </c>
      <c r="I598" s="167">
        <f t="shared" si="65"/>
        <v>519.01639999999998</v>
      </c>
      <c r="J598" s="154">
        <f>C23*0.02</f>
        <v>3.3880000000000003</v>
      </c>
      <c r="K598" s="166">
        <f t="shared" si="66"/>
        <v>522.40440000000001</v>
      </c>
      <c r="M598" s="198">
        <v>5.36</v>
      </c>
      <c r="N598" s="154" t="s">
        <v>916</v>
      </c>
      <c r="O598" s="154" t="s">
        <v>1290</v>
      </c>
      <c r="P598" s="167">
        <f>(R304)</f>
        <v>207.85738000000001</v>
      </c>
      <c r="Q598" s="154" t="s">
        <v>916</v>
      </c>
      <c r="R598" s="167">
        <f>(M598*P598)</f>
        <v>1114.1155568000001</v>
      </c>
      <c r="AE598" s="172" t="str">
        <f t="shared" si="67"/>
        <v>|</v>
      </c>
      <c r="AG598" s="154" t="s">
        <v>1158</v>
      </c>
    </row>
    <row r="599" spans="1:33" ht="24" customHeight="1">
      <c r="A599" s="175">
        <f t="shared" si="64"/>
        <v>407</v>
      </c>
      <c r="B599" s="176" t="s">
        <v>1291</v>
      </c>
      <c r="C599" s="177">
        <v>208.5</v>
      </c>
      <c r="D599" s="176" t="s">
        <v>576</v>
      </c>
      <c r="H599" s="154">
        <v>9</v>
      </c>
      <c r="I599" s="167">
        <f t="shared" si="65"/>
        <v>522.40440000000001</v>
      </c>
      <c r="J599" s="154">
        <f>C23*0.02</f>
        <v>3.3880000000000003</v>
      </c>
      <c r="K599" s="166">
        <f t="shared" si="66"/>
        <v>525.79240000000004</v>
      </c>
      <c r="M599" s="198">
        <v>3.2000000000000001E-2</v>
      </c>
      <c r="N599" s="154" t="s">
        <v>577</v>
      </c>
      <c r="O599" s="154" t="s">
        <v>1292</v>
      </c>
      <c r="P599" s="167">
        <f>(K643)</f>
        <v>6662</v>
      </c>
      <c r="Q599" s="154" t="s">
        <v>577</v>
      </c>
      <c r="R599" s="167">
        <f>(M599*P599)</f>
        <v>213.184</v>
      </c>
      <c r="AE599" s="172" t="str">
        <f t="shared" si="67"/>
        <v>|</v>
      </c>
      <c r="AG599" s="154" t="s">
        <v>1158</v>
      </c>
    </row>
    <row r="600" spans="1:33" ht="24" customHeight="1">
      <c r="A600" s="175">
        <f t="shared" si="64"/>
        <v>408</v>
      </c>
      <c r="B600" s="235" t="s">
        <v>1293</v>
      </c>
      <c r="C600" s="253">
        <v>172</v>
      </c>
      <c r="D600" s="176" t="s">
        <v>576</v>
      </c>
      <c r="H600" s="154"/>
      <c r="I600" s="167"/>
      <c r="J600" s="154"/>
      <c r="K600" s="166"/>
      <c r="O600" s="154" t="s">
        <v>1294</v>
      </c>
      <c r="R600" s="154" t="s">
        <v>22</v>
      </c>
      <c r="AE600" s="172" t="str">
        <f t="shared" si="67"/>
        <v>|</v>
      </c>
      <c r="AG600" s="154" t="s">
        <v>1158</v>
      </c>
    </row>
    <row r="601" spans="1:33" ht="47.25" customHeight="1">
      <c r="A601" s="175">
        <f t="shared" si="64"/>
        <v>409</v>
      </c>
      <c r="B601" s="254" t="s">
        <v>1295</v>
      </c>
      <c r="C601" s="255">
        <v>346.14</v>
      </c>
      <c r="D601" s="176" t="s">
        <v>916</v>
      </c>
      <c r="H601" s="154"/>
      <c r="I601" s="167"/>
      <c r="J601" s="154"/>
      <c r="K601" s="166"/>
      <c r="N601" s="154" t="s">
        <v>589</v>
      </c>
      <c r="O601" s="154" t="s">
        <v>1296</v>
      </c>
      <c r="Q601" s="154" t="s">
        <v>589</v>
      </c>
      <c r="R601" s="167">
        <v>2.92</v>
      </c>
      <c r="AE601" s="172" t="str">
        <f t="shared" si="67"/>
        <v>|</v>
      </c>
      <c r="AG601" s="154" t="s">
        <v>1158</v>
      </c>
    </row>
    <row r="602" spans="1:33" ht="31.5">
      <c r="A602" s="175">
        <f t="shared" si="64"/>
        <v>410</v>
      </c>
      <c r="B602" s="237" t="s">
        <v>1297</v>
      </c>
      <c r="C602" s="174">
        <v>385</v>
      </c>
      <c r="D602" s="176" t="s">
        <v>916</v>
      </c>
      <c r="E602" s="154"/>
      <c r="F602" s="200">
        <v>15.2</v>
      </c>
      <c r="G602" s="165" t="s">
        <v>930</v>
      </c>
      <c r="H602" s="154" t="s">
        <v>1282</v>
      </c>
      <c r="K602" s="256">
        <f>K594+J594</f>
        <v>512.24039999999991</v>
      </c>
      <c r="R602" s="162" t="s">
        <v>534</v>
      </c>
      <c r="AE602" s="172" t="str">
        <f t="shared" si="67"/>
        <v>|</v>
      </c>
      <c r="AG602" s="154" t="s">
        <v>1158</v>
      </c>
    </row>
    <row r="603" spans="1:33" ht="24" customHeight="1">
      <c r="A603" s="175">
        <f t="shared" si="64"/>
        <v>411</v>
      </c>
      <c r="B603" s="176" t="s">
        <v>1298</v>
      </c>
      <c r="C603" s="177">
        <v>75</v>
      </c>
      <c r="D603" s="176" t="s">
        <v>576</v>
      </c>
      <c r="H603" s="154" t="s">
        <v>1257</v>
      </c>
      <c r="O603" s="154" t="s">
        <v>1299</v>
      </c>
      <c r="R603" s="167">
        <f>SUM(R595:R601)</f>
        <v>5138.5325511000001</v>
      </c>
      <c r="AE603" s="172" t="str">
        <f t="shared" si="67"/>
        <v>|</v>
      </c>
      <c r="AG603" s="154" t="s">
        <v>1158</v>
      </c>
    </row>
    <row r="604" spans="1:33" ht="24" customHeight="1">
      <c r="A604" s="175">
        <f t="shared" si="64"/>
        <v>412</v>
      </c>
      <c r="B604" s="176" t="s">
        <v>1300</v>
      </c>
      <c r="C604" s="177">
        <v>125</v>
      </c>
      <c r="D604" s="176" t="s">
        <v>576</v>
      </c>
      <c r="F604" s="167">
        <v>1</v>
      </c>
      <c r="G604" s="165" t="s">
        <v>250</v>
      </c>
      <c r="H604" s="154" t="s">
        <v>1259</v>
      </c>
      <c r="I604" s="167">
        <f>D751</f>
        <v>394</v>
      </c>
      <c r="J604" s="154" t="s">
        <v>250</v>
      </c>
      <c r="K604" s="167">
        <f>(F604*I604)</f>
        <v>394</v>
      </c>
      <c r="R604" s="162" t="s">
        <v>534</v>
      </c>
      <c r="AE604" s="172" t="str">
        <f t="shared" si="67"/>
        <v>|</v>
      </c>
      <c r="AG604" s="154" t="s">
        <v>1158</v>
      </c>
    </row>
    <row r="605" spans="1:33" ht="24" customHeight="1">
      <c r="A605" s="175">
        <f t="shared" si="64"/>
        <v>413</v>
      </c>
      <c r="B605" s="176" t="s">
        <v>1301</v>
      </c>
      <c r="C605" s="177">
        <v>190</v>
      </c>
      <c r="D605" s="176" t="s">
        <v>576</v>
      </c>
      <c r="F605" s="167">
        <v>0.75</v>
      </c>
      <c r="G605" s="165" t="s">
        <v>1261</v>
      </c>
      <c r="H605" s="154" t="s">
        <v>1262</v>
      </c>
      <c r="I605" s="167">
        <f>C10</f>
        <v>717.2</v>
      </c>
      <c r="J605" s="154" t="s">
        <v>332</v>
      </c>
      <c r="K605" s="167">
        <f>(F605*I605)</f>
        <v>537.90000000000009</v>
      </c>
      <c r="N605" s="154" t="s">
        <v>307</v>
      </c>
      <c r="O605" s="154" t="s">
        <v>1276</v>
      </c>
      <c r="AE605" s="172" t="str">
        <f t="shared" si="67"/>
        <v>|</v>
      </c>
      <c r="AG605" s="154" t="s">
        <v>1158</v>
      </c>
    </row>
    <row r="606" spans="1:33" ht="24" customHeight="1">
      <c r="A606" s="175">
        <f t="shared" si="64"/>
        <v>414</v>
      </c>
      <c r="B606" s="176" t="s">
        <v>1302</v>
      </c>
      <c r="C606" s="177">
        <v>16</v>
      </c>
      <c r="D606" s="176" t="s">
        <v>576</v>
      </c>
      <c r="F606" s="167">
        <v>0.75</v>
      </c>
      <c r="G606" s="165" t="s">
        <v>1261</v>
      </c>
      <c r="H606" s="154" t="s">
        <v>1264</v>
      </c>
      <c r="I606" s="167">
        <f>C12</f>
        <v>468.6</v>
      </c>
      <c r="J606" s="154" t="s">
        <v>332</v>
      </c>
      <c r="K606" s="167">
        <f>(F606*I606)</f>
        <v>351.45000000000005</v>
      </c>
      <c r="O606" s="154" t="s">
        <v>1303</v>
      </c>
      <c r="AE606" s="172" t="str">
        <f t="shared" si="67"/>
        <v>|</v>
      </c>
      <c r="AG606" s="154" t="s">
        <v>1158</v>
      </c>
    </row>
    <row r="607" spans="1:33" ht="24" customHeight="1">
      <c r="A607" s="175">
        <f t="shared" si="64"/>
        <v>415</v>
      </c>
      <c r="B607" s="176" t="s">
        <v>1304</v>
      </c>
      <c r="C607" s="174">
        <v>11.5</v>
      </c>
      <c r="D607" s="176" t="s">
        <v>420</v>
      </c>
      <c r="F607" s="167">
        <v>0.5</v>
      </c>
      <c r="G607" s="165" t="s">
        <v>1261</v>
      </c>
      <c r="H607" s="154" t="s">
        <v>1305</v>
      </c>
      <c r="I607" s="167">
        <f>C41</f>
        <v>531.30000000000007</v>
      </c>
      <c r="J607" s="154" t="s">
        <v>332</v>
      </c>
      <c r="K607" s="167">
        <f>(F607*I607)</f>
        <v>265.65000000000003</v>
      </c>
      <c r="O607" s="162" t="s">
        <v>534</v>
      </c>
      <c r="AE607" s="172" t="str">
        <f t="shared" si="67"/>
        <v>|</v>
      </c>
      <c r="AG607" s="154" t="s">
        <v>1158</v>
      </c>
    </row>
    <row r="608" spans="1:33" ht="24" customHeight="1">
      <c r="A608" s="175">
        <f t="shared" si="64"/>
        <v>416</v>
      </c>
      <c r="B608" s="176" t="s">
        <v>1306</v>
      </c>
      <c r="C608" s="174">
        <v>24.3</v>
      </c>
      <c r="D608" s="176" t="s">
        <v>420</v>
      </c>
      <c r="E608" s="76">
        <f>25.8+29.8</f>
        <v>55.6</v>
      </c>
      <c r="G608" s="165" t="s">
        <v>589</v>
      </c>
      <c r="H608" s="154" t="s">
        <v>1266</v>
      </c>
      <c r="J608" s="154" t="s">
        <v>589</v>
      </c>
      <c r="K608" s="167">
        <v>53.5</v>
      </c>
      <c r="M608" s="167">
        <v>1.3</v>
      </c>
      <c r="N608" s="154" t="s">
        <v>577</v>
      </c>
      <c r="O608" s="154" t="s">
        <v>1281</v>
      </c>
      <c r="P608" s="167">
        <f>(K88)</f>
        <v>170.17</v>
      </c>
      <c r="Q608" s="154" t="s">
        <v>577</v>
      </c>
      <c r="R608" s="167">
        <f>(M608*P608)</f>
        <v>221.221</v>
      </c>
      <c r="AE608" s="172" t="str">
        <f t="shared" si="67"/>
        <v>|</v>
      </c>
      <c r="AG608" s="154" t="s">
        <v>1158</v>
      </c>
    </row>
    <row r="609" spans="1:33" ht="24" customHeight="1">
      <c r="A609" s="175"/>
      <c r="B609" s="176" t="s">
        <v>1307</v>
      </c>
      <c r="C609" s="174">
        <v>22</v>
      </c>
      <c r="D609" s="176" t="s">
        <v>420</v>
      </c>
      <c r="E609" s="76">
        <f>E608/2</f>
        <v>27.8</v>
      </c>
      <c r="H609" s="154" t="s">
        <v>1268</v>
      </c>
      <c r="K609" s="162" t="s">
        <v>534</v>
      </c>
      <c r="M609" s="167"/>
      <c r="N609" s="154"/>
      <c r="O609" s="154"/>
      <c r="P609" s="167"/>
      <c r="Q609" s="154"/>
      <c r="R609" s="167"/>
      <c r="AE609" s="172" t="str">
        <f t="shared" si="67"/>
        <v>|</v>
      </c>
      <c r="AG609" s="154" t="s">
        <v>1158</v>
      </c>
    </row>
    <row r="610" spans="1:33" ht="24" customHeight="1">
      <c r="A610" s="175">
        <f>(A608+1)</f>
        <v>417</v>
      </c>
      <c r="B610" s="176" t="s">
        <v>1308</v>
      </c>
      <c r="C610" s="174">
        <v>26.6</v>
      </c>
      <c r="D610" s="176" t="s">
        <v>420</v>
      </c>
      <c r="H610" s="155" t="s">
        <v>1309</v>
      </c>
      <c r="K610" s="167">
        <f>SUM(K604:K608)</f>
        <v>1602.5000000000002</v>
      </c>
      <c r="M610" s="198">
        <v>0.216</v>
      </c>
      <c r="N610" s="154" t="s">
        <v>577</v>
      </c>
      <c r="O610" s="154" t="s">
        <v>1284</v>
      </c>
      <c r="P610" s="167">
        <f>(R60)</f>
        <v>3405.6734999999999</v>
      </c>
      <c r="Q610" s="154" t="s">
        <v>577</v>
      </c>
      <c r="R610" s="167">
        <f>(M610*P610)</f>
        <v>735.62547599999994</v>
      </c>
      <c r="AE610" s="172">
        <f t="shared" si="67"/>
        <v>0</v>
      </c>
      <c r="AG610" s="154"/>
    </row>
    <row r="611" spans="1:33" ht="24" customHeight="1">
      <c r="A611" s="175">
        <f t="shared" si="64"/>
        <v>418</v>
      </c>
      <c r="B611" s="176" t="s">
        <v>1310</v>
      </c>
      <c r="C611" s="177">
        <v>7.5</v>
      </c>
      <c r="D611" s="176" t="s">
        <v>680</v>
      </c>
      <c r="K611" s="162" t="s">
        <v>534</v>
      </c>
      <c r="M611" s="198">
        <v>0.60099999999999998</v>
      </c>
      <c r="N611" s="154" t="s">
        <v>577</v>
      </c>
      <c r="O611" s="154" t="s">
        <v>1286</v>
      </c>
      <c r="P611" s="167">
        <f>(R89)</f>
        <v>5932.0409</v>
      </c>
      <c r="Q611" s="154" t="s">
        <v>577</v>
      </c>
      <c r="R611" s="167">
        <f>(M611*P611)</f>
        <v>3565.1565808999999</v>
      </c>
      <c r="AE611" s="172" t="str">
        <f t="shared" si="67"/>
        <v>|</v>
      </c>
      <c r="AG611" s="154" t="s">
        <v>1158</v>
      </c>
    </row>
    <row r="612" spans="1:33" ht="24" customHeight="1">
      <c r="A612" s="175">
        <f t="shared" si="64"/>
        <v>419</v>
      </c>
      <c r="B612" s="176" t="s">
        <v>1311</v>
      </c>
      <c r="C612" s="177">
        <v>16</v>
      </c>
      <c r="D612" s="176" t="s">
        <v>680</v>
      </c>
      <c r="E612" s="76" t="s">
        <v>1312</v>
      </c>
      <c r="H612" s="154" t="s">
        <v>789</v>
      </c>
      <c r="I612" s="167">
        <f>K610</f>
        <v>1602.5000000000002</v>
      </c>
      <c r="J612" s="154">
        <f>C22*0.04</f>
        <v>3.4408000000000003</v>
      </c>
      <c r="K612" s="166">
        <f>(K610+C22*0.04)</f>
        <v>1605.9408000000003</v>
      </c>
      <c r="M612" s="198">
        <v>6.35</v>
      </c>
      <c r="N612" s="154" t="s">
        <v>916</v>
      </c>
      <c r="O612" s="154" t="s">
        <v>1290</v>
      </c>
      <c r="P612" s="167">
        <f>(R304)</f>
        <v>207.85738000000001</v>
      </c>
      <c r="Q612" s="154" t="s">
        <v>916</v>
      </c>
      <c r="R612" s="167">
        <f>(M612*P612)</f>
        <v>1319.8943629999999</v>
      </c>
      <c r="AE612" s="172" t="str">
        <f t="shared" si="67"/>
        <v>|</v>
      </c>
      <c r="AG612" s="154" t="s">
        <v>1158</v>
      </c>
    </row>
    <row r="613" spans="1:33" ht="24" customHeight="1">
      <c r="A613" s="175">
        <f t="shared" si="64"/>
        <v>420</v>
      </c>
      <c r="B613" s="176" t="s">
        <v>1313</v>
      </c>
      <c r="C613" s="174">
        <v>3000</v>
      </c>
      <c r="D613" s="176" t="s">
        <v>1314</v>
      </c>
      <c r="E613" s="231">
        <v>3390</v>
      </c>
      <c r="H613" s="154" t="s">
        <v>793</v>
      </c>
      <c r="I613" s="167">
        <f>K612</f>
        <v>1605.9408000000003</v>
      </c>
      <c r="J613" s="154">
        <f>C23*0.04</f>
        <v>6.7760000000000007</v>
      </c>
      <c r="K613" s="166">
        <f>(K612+C23*0.04)</f>
        <v>1612.7168000000004</v>
      </c>
      <c r="M613" s="198">
        <v>3.2000000000000001E-2</v>
      </c>
      <c r="N613" s="154" t="s">
        <v>577</v>
      </c>
      <c r="O613" s="154" t="s">
        <v>1292</v>
      </c>
      <c r="P613" s="167">
        <f>(K643)</f>
        <v>6662</v>
      </c>
      <c r="Q613" s="154" t="s">
        <v>577</v>
      </c>
      <c r="R613" s="167">
        <f>(M613*P613)</f>
        <v>213.184</v>
      </c>
      <c r="AE613" s="172" t="str">
        <f t="shared" si="67"/>
        <v>|</v>
      </c>
      <c r="AG613" s="154" t="s">
        <v>1158</v>
      </c>
    </row>
    <row r="614" spans="1:33" ht="24" customHeight="1">
      <c r="A614" s="175">
        <f t="shared" si="64"/>
        <v>421</v>
      </c>
      <c r="B614" s="176" t="s">
        <v>1315</v>
      </c>
      <c r="C614" s="177">
        <v>805</v>
      </c>
      <c r="D614" s="176" t="s">
        <v>1314</v>
      </c>
      <c r="H614" s="154" t="s">
        <v>796</v>
      </c>
      <c r="I614" s="167">
        <f>K613</f>
        <v>1612.7168000000004</v>
      </c>
      <c r="J614" s="154">
        <f>C23*0.04</f>
        <v>6.7760000000000007</v>
      </c>
      <c r="K614" s="166">
        <f>(K613+C24*0.04)</f>
        <v>1619.4928000000004</v>
      </c>
      <c r="O614" s="154" t="s">
        <v>1294</v>
      </c>
      <c r="R614" s="154" t="s">
        <v>22</v>
      </c>
      <c r="AE614" s="172" t="str">
        <f t="shared" si="67"/>
        <v>|</v>
      </c>
      <c r="AG614" s="154" t="s">
        <v>1158</v>
      </c>
    </row>
    <row r="615" spans="1:33" ht="24" customHeight="1">
      <c r="A615" s="175">
        <f t="shared" si="64"/>
        <v>422</v>
      </c>
      <c r="B615" s="176" t="s">
        <v>1316</v>
      </c>
      <c r="C615" s="177">
        <f>204+53</f>
        <v>257</v>
      </c>
      <c r="D615" s="176" t="s">
        <v>1314</v>
      </c>
      <c r="H615" s="154" t="s">
        <v>798</v>
      </c>
      <c r="I615" s="167">
        <f>K614</f>
        <v>1619.4928000000004</v>
      </c>
      <c r="J615" s="154">
        <f>C23*0.04</f>
        <v>6.7760000000000007</v>
      </c>
      <c r="K615" s="166">
        <f>(K614+C24*0.04)</f>
        <v>1626.2688000000005</v>
      </c>
      <c r="N615" s="154" t="s">
        <v>589</v>
      </c>
      <c r="O615" s="154" t="s">
        <v>1296</v>
      </c>
      <c r="Q615" s="154" t="s">
        <v>589</v>
      </c>
      <c r="R615" s="167">
        <v>2.1</v>
      </c>
      <c r="AE615" s="172" t="str">
        <f t="shared" si="67"/>
        <v>|</v>
      </c>
      <c r="AG615" s="154" t="s">
        <v>1158</v>
      </c>
    </row>
    <row r="616" spans="1:33" ht="24" customHeight="1">
      <c r="A616" s="175">
        <f t="shared" si="64"/>
        <v>423</v>
      </c>
      <c r="B616" s="176" t="s">
        <v>1317</v>
      </c>
      <c r="C616" s="177">
        <v>53</v>
      </c>
      <c r="D616" s="176" t="s">
        <v>680</v>
      </c>
      <c r="H616" s="154" t="s">
        <v>1180</v>
      </c>
      <c r="I616" s="167">
        <f>K615</f>
        <v>1626.2688000000005</v>
      </c>
      <c r="J616" s="154">
        <f>C24*0.04</f>
        <v>6.7760000000000007</v>
      </c>
      <c r="K616" s="166">
        <f>(K615+C24*0.04)</f>
        <v>1633.0448000000006</v>
      </c>
      <c r="R616" s="162" t="s">
        <v>534</v>
      </c>
      <c r="AE616" s="172" t="str">
        <f t="shared" si="67"/>
        <v>|</v>
      </c>
      <c r="AG616" s="154" t="s">
        <v>1158</v>
      </c>
    </row>
    <row r="617" spans="1:33" ht="24" customHeight="1">
      <c r="A617" s="175">
        <f t="shared" si="64"/>
        <v>424</v>
      </c>
      <c r="B617" s="176" t="s">
        <v>1318</v>
      </c>
      <c r="C617" s="174">
        <v>1625</v>
      </c>
      <c r="D617" s="176" t="s">
        <v>680</v>
      </c>
      <c r="F617" s="257">
        <v>15.1</v>
      </c>
      <c r="G617" s="165" t="s">
        <v>1319</v>
      </c>
      <c r="H617" s="154" t="s">
        <v>1320</v>
      </c>
      <c r="O617" s="154" t="s">
        <v>1299</v>
      </c>
      <c r="R617" s="167">
        <f>SUM(R608:R615)</f>
        <v>6057.1814199000009</v>
      </c>
      <c r="AE617" s="172" t="str">
        <f t="shared" si="67"/>
        <v>|</v>
      </c>
      <c r="AG617" s="154" t="s">
        <v>1158</v>
      </c>
    </row>
    <row r="618" spans="1:33" ht="24" customHeight="1">
      <c r="A618" s="175">
        <f t="shared" si="64"/>
        <v>425</v>
      </c>
      <c r="B618" s="176" t="s">
        <v>1321</v>
      </c>
      <c r="C618" s="177">
        <v>196</v>
      </c>
      <c r="D618" s="176" t="s">
        <v>680</v>
      </c>
      <c r="H618" s="154" t="s">
        <v>1257</v>
      </c>
      <c r="R618" s="162" t="s">
        <v>534</v>
      </c>
      <c r="AE618" s="172" t="str">
        <f t="shared" si="67"/>
        <v>|</v>
      </c>
      <c r="AG618" s="154" t="s">
        <v>1158</v>
      </c>
    </row>
    <row r="619" spans="1:33" ht="24" customHeight="1">
      <c r="A619" s="175">
        <f t="shared" si="64"/>
        <v>426</v>
      </c>
      <c r="B619" s="176" t="s">
        <v>1322</v>
      </c>
      <c r="C619" s="174">
        <v>913</v>
      </c>
      <c r="D619" s="176" t="s">
        <v>680</v>
      </c>
      <c r="F619" s="167">
        <v>10</v>
      </c>
      <c r="G619" s="165" t="s">
        <v>250</v>
      </c>
      <c r="H619" s="154" t="s">
        <v>1323</v>
      </c>
      <c r="I619" s="173">
        <f>C751</f>
        <v>363</v>
      </c>
      <c r="J619" s="154" t="s">
        <v>250</v>
      </c>
      <c r="K619" s="167">
        <f>(F619*I619)</f>
        <v>3630</v>
      </c>
      <c r="N619" s="154" t="s">
        <v>307</v>
      </c>
      <c r="O619" s="154" t="s">
        <v>1324</v>
      </c>
      <c r="AE619" s="172" t="str">
        <f t="shared" si="67"/>
        <v>|</v>
      </c>
      <c r="AG619" s="154" t="s">
        <v>1158</v>
      </c>
    </row>
    <row r="620" spans="1:33" ht="24" customHeight="1">
      <c r="A620" s="175">
        <f t="shared" si="64"/>
        <v>427</v>
      </c>
      <c r="B620" s="176" t="s">
        <v>1325</v>
      </c>
      <c r="C620" s="195">
        <v>193.05</v>
      </c>
      <c r="D620" s="235">
        <v>120.54</v>
      </c>
      <c r="F620" s="167">
        <v>0.12</v>
      </c>
      <c r="G620" s="165" t="s">
        <v>577</v>
      </c>
      <c r="H620" s="154" t="s">
        <v>1326</v>
      </c>
      <c r="I620" s="167">
        <f>K32</f>
        <v>4357.67</v>
      </c>
      <c r="J620" s="154" t="s">
        <v>577</v>
      </c>
      <c r="K620" s="167">
        <f>(F620*I620)</f>
        <v>522.92039999999997</v>
      </c>
      <c r="O620" s="154" t="s">
        <v>1327</v>
      </c>
      <c r="AE620" s="172" t="str">
        <f t="shared" si="67"/>
        <v>|</v>
      </c>
      <c r="AG620" s="154" t="s">
        <v>1158</v>
      </c>
    </row>
    <row r="621" spans="1:33" ht="24" customHeight="1">
      <c r="A621" s="175">
        <f t="shared" si="64"/>
        <v>428</v>
      </c>
      <c r="B621" s="176" t="s">
        <v>1328</v>
      </c>
      <c r="C621" s="258">
        <v>115.85</v>
      </c>
      <c r="D621" s="259" t="s">
        <v>410</v>
      </c>
      <c r="E621" s="260"/>
      <c r="F621" s="167">
        <v>1</v>
      </c>
      <c r="G621" s="165" t="s">
        <v>1261</v>
      </c>
      <c r="H621" s="154" t="s">
        <v>1262</v>
      </c>
      <c r="I621" s="167">
        <f>C10</f>
        <v>717.2</v>
      </c>
      <c r="J621" s="154" t="s">
        <v>332</v>
      </c>
      <c r="K621" s="167">
        <f>(F621*I621)</f>
        <v>717.2</v>
      </c>
      <c r="O621" s="162" t="s">
        <v>534</v>
      </c>
      <c r="AE621" s="172" t="str">
        <f t="shared" si="67"/>
        <v>|</v>
      </c>
      <c r="AG621" s="154" t="s">
        <v>1158</v>
      </c>
    </row>
    <row r="622" spans="1:33" ht="24" customHeight="1">
      <c r="A622" s="175">
        <f t="shared" si="64"/>
        <v>429</v>
      </c>
      <c r="B622" s="176" t="s">
        <v>1329</v>
      </c>
      <c r="C622" s="261"/>
      <c r="D622" s="259" t="s">
        <v>410</v>
      </c>
      <c r="E622" s="260"/>
      <c r="F622" s="167">
        <v>1</v>
      </c>
      <c r="G622" s="165" t="s">
        <v>1261</v>
      </c>
      <c r="H622" s="154" t="s">
        <v>1264</v>
      </c>
      <c r="I622" s="167">
        <f>C12</f>
        <v>468.6</v>
      </c>
      <c r="J622" s="154" t="s">
        <v>332</v>
      </c>
      <c r="K622" s="167">
        <f>(F622*I622)</f>
        <v>468.6</v>
      </c>
      <c r="M622" s="167">
        <v>10.37</v>
      </c>
      <c r="N622" s="154" t="s">
        <v>577</v>
      </c>
      <c r="O622" s="154" t="s">
        <v>1330</v>
      </c>
      <c r="P622" s="167">
        <f>(C61*2)</f>
        <v>160.82</v>
      </c>
      <c r="Q622" s="154" t="s">
        <v>577</v>
      </c>
      <c r="R622" s="167">
        <f t="shared" ref="R622:R630" si="68">(M622*P622)</f>
        <v>1667.7033999999999</v>
      </c>
      <c r="AE622" s="172" t="str">
        <f t="shared" si="67"/>
        <v>|</v>
      </c>
      <c r="AG622" s="154" t="s">
        <v>1158</v>
      </c>
    </row>
    <row r="623" spans="1:33" ht="24" customHeight="1">
      <c r="A623" s="175">
        <f t="shared" si="64"/>
        <v>430</v>
      </c>
      <c r="B623" s="176" t="s">
        <v>1331</v>
      </c>
      <c r="C623" s="258">
        <v>76</v>
      </c>
      <c r="D623" s="259" t="s">
        <v>576</v>
      </c>
      <c r="E623" s="260"/>
      <c r="G623" s="165" t="s">
        <v>589</v>
      </c>
      <c r="H623" s="154" t="s">
        <v>1266</v>
      </c>
      <c r="J623" s="154" t="s">
        <v>589</v>
      </c>
      <c r="K623" s="167">
        <v>0.33</v>
      </c>
      <c r="M623" s="167">
        <v>0.65</v>
      </c>
      <c r="N623" s="154" t="s">
        <v>577</v>
      </c>
      <c r="O623" s="154" t="s">
        <v>1332</v>
      </c>
      <c r="P623" s="167">
        <f>R60</f>
        <v>3405.6734999999999</v>
      </c>
      <c r="Q623" s="154" t="s">
        <v>577</v>
      </c>
      <c r="R623" s="167">
        <f t="shared" si="68"/>
        <v>2213.6877749999999</v>
      </c>
      <c r="AE623" s="172" t="str">
        <f t="shared" si="67"/>
        <v>|</v>
      </c>
      <c r="AG623" s="154" t="s">
        <v>1158</v>
      </c>
    </row>
    <row r="624" spans="1:33" ht="24" customHeight="1">
      <c r="A624" s="175">
        <f t="shared" si="64"/>
        <v>431</v>
      </c>
      <c r="B624" s="176" t="s">
        <v>1333</v>
      </c>
      <c r="C624" s="258">
        <v>45</v>
      </c>
      <c r="D624" s="259" t="s">
        <v>576</v>
      </c>
      <c r="E624" s="260"/>
      <c r="H624" s="154" t="s">
        <v>1268</v>
      </c>
      <c r="K624" s="162" t="s">
        <v>534</v>
      </c>
      <c r="M624" s="167">
        <v>1.1399999999999999</v>
      </c>
      <c r="N624" s="154" t="s">
        <v>577</v>
      </c>
      <c r="O624" s="154" t="s">
        <v>1334</v>
      </c>
      <c r="P624" s="167">
        <f>K321</f>
        <v>5616.3046999999997</v>
      </c>
      <c r="Q624" s="154" t="s">
        <v>577</v>
      </c>
      <c r="R624" s="167">
        <f t="shared" si="68"/>
        <v>6402.5873579999989</v>
      </c>
      <c r="AE624" s="172" t="str">
        <f t="shared" si="67"/>
        <v>|</v>
      </c>
      <c r="AG624" s="154" t="s">
        <v>1158</v>
      </c>
    </row>
    <row r="625" spans="1:33" ht="24" customHeight="1">
      <c r="A625" s="175">
        <f t="shared" si="64"/>
        <v>432</v>
      </c>
      <c r="B625" s="176" t="s">
        <v>1335</v>
      </c>
      <c r="C625" s="262">
        <v>33</v>
      </c>
      <c r="D625" s="176" t="s">
        <v>576</v>
      </c>
      <c r="H625" s="155" t="s">
        <v>1336</v>
      </c>
      <c r="K625" s="167">
        <f>SUM(K619:K623)</f>
        <v>5339.0504000000001</v>
      </c>
      <c r="M625" s="167">
        <v>0.85</v>
      </c>
      <c r="N625" s="154" t="s">
        <v>577</v>
      </c>
      <c r="O625" s="154" t="s">
        <v>1337</v>
      </c>
      <c r="P625" s="167">
        <f>K321-K312/10</f>
        <v>4802.8872000000001</v>
      </c>
      <c r="Q625" s="154" t="s">
        <v>577</v>
      </c>
      <c r="R625" s="167">
        <f t="shared" si="68"/>
        <v>4082.4541199999999</v>
      </c>
      <c r="AE625" s="172">
        <f t="shared" si="67"/>
        <v>0</v>
      </c>
      <c r="AG625" s="154"/>
    </row>
    <row r="626" spans="1:33" ht="24" customHeight="1">
      <c r="A626" s="175">
        <f t="shared" si="64"/>
        <v>433</v>
      </c>
      <c r="B626" s="176" t="s">
        <v>1338</v>
      </c>
      <c r="C626" s="174">
        <v>71</v>
      </c>
      <c r="D626" s="176" t="s">
        <v>576</v>
      </c>
      <c r="K626" s="162" t="s">
        <v>534</v>
      </c>
      <c r="M626" s="167">
        <v>0.98</v>
      </c>
      <c r="N626" s="154" t="s">
        <v>577</v>
      </c>
      <c r="O626" s="154" t="s">
        <v>1339</v>
      </c>
      <c r="P626" s="167">
        <f>(C73)</f>
        <v>1500.88</v>
      </c>
      <c r="Q626" s="154" t="s">
        <v>577</v>
      </c>
      <c r="R626" s="167">
        <f t="shared" si="68"/>
        <v>1470.8624</v>
      </c>
      <c r="AE626" s="172" t="str">
        <f t="shared" si="67"/>
        <v>|</v>
      </c>
      <c r="AG626" s="154" t="s">
        <v>1158</v>
      </c>
    </row>
    <row r="627" spans="1:33" ht="24" customHeight="1">
      <c r="A627" s="175">
        <f t="shared" si="64"/>
        <v>434</v>
      </c>
      <c r="B627" s="176" t="s">
        <v>1340</v>
      </c>
      <c r="C627" s="177">
        <v>36.520000000000003</v>
      </c>
      <c r="D627" s="176" t="s">
        <v>576</v>
      </c>
      <c r="H627" s="155" t="s">
        <v>1341</v>
      </c>
      <c r="K627" s="167">
        <f>K625/10</f>
        <v>533.90503999999999</v>
      </c>
      <c r="M627" s="167">
        <v>2.68</v>
      </c>
      <c r="N627" s="154" t="s">
        <v>577</v>
      </c>
      <c r="O627" s="154" t="s">
        <v>799</v>
      </c>
      <c r="P627" s="167">
        <f>(C79)</f>
        <v>1514.4</v>
      </c>
      <c r="Q627" s="154" t="s">
        <v>577</v>
      </c>
      <c r="R627" s="167">
        <f t="shared" si="68"/>
        <v>4058.5920000000006</v>
      </c>
      <c r="AE627" s="172" t="str">
        <f t="shared" si="67"/>
        <v>|</v>
      </c>
      <c r="AG627" s="154" t="s">
        <v>1158</v>
      </c>
    </row>
    <row r="628" spans="1:33" ht="24" customHeight="1">
      <c r="A628" s="175">
        <f t="shared" si="64"/>
        <v>435</v>
      </c>
      <c r="B628" s="176" t="s">
        <v>1342</v>
      </c>
      <c r="C628" s="188"/>
      <c r="D628" s="176" t="s">
        <v>576</v>
      </c>
      <c r="H628" s="154" t="s">
        <v>789</v>
      </c>
      <c r="I628" s="76">
        <f>K627</f>
        <v>533.90503999999999</v>
      </c>
      <c r="J628" s="158">
        <f>C22*0.02</f>
        <v>1.7204000000000002</v>
      </c>
      <c r="K628" s="166">
        <f>I628+J628</f>
        <v>535.62544000000003</v>
      </c>
      <c r="M628" s="167">
        <v>7.24</v>
      </c>
      <c r="N628" s="154" t="s">
        <v>916</v>
      </c>
      <c r="O628" s="154" t="s">
        <v>1343</v>
      </c>
      <c r="P628" s="167">
        <f>(K1400)</f>
        <v>192.90137999999999</v>
      </c>
      <c r="Q628" s="154" t="s">
        <v>916</v>
      </c>
      <c r="R628" s="167">
        <f t="shared" si="68"/>
        <v>1396.6059912000001</v>
      </c>
      <c r="AE628" s="172" t="str">
        <f t="shared" si="67"/>
        <v>|</v>
      </c>
      <c r="AG628" s="154" t="s">
        <v>1158</v>
      </c>
    </row>
    <row r="629" spans="1:33" ht="24" customHeight="1">
      <c r="A629" s="175">
        <f t="shared" si="64"/>
        <v>436</v>
      </c>
      <c r="B629" s="176" t="s">
        <v>1344</v>
      </c>
      <c r="C629" s="174">
        <v>88.6</v>
      </c>
      <c r="D629" s="177">
        <v>93.72</v>
      </c>
      <c r="H629" s="154" t="s">
        <v>793</v>
      </c>
      <c r="I629" s="76">
        <f>K628</f>
        <v>535.62544000000003</v>
      </c>
      <c r="J629" s="158">
        <f>C23*0.02</f>
        <v>3.3880000000000003</v>
      </c>
      <c r="K629" s="166">
        <f>I629+J629</f>
        <v>539.01344000000006</v>
      </c>
      <c r="M629" s="167">
        <v>1</v>
      </c>
      <c r="N629" s="154" t="s">
        <v>576</v>
      </c>
      <c r="O629" s="154" t="s">
        <v>1345</v>
      </c>
      <c r="P629" s="167">
        <f>(C203)</f>
        <v>124.4</v>
      </c>
      <c r="Q629" s="154" t="s">
        <v>576</v>
      </c>
      <c r="R629" s="167">
        <f t="shared" si="68"/>
        <v>124.4</v>
      </c>
      <c r="AE629" s="172" t="str">
        <f t="shared" si="67"/>
        <v>|</v>
      </c>
      <c r="AG629" s="154" t="s">
        <v>1158</v>
      </c>
    </row>
    <row r="630" spans="1:33" ht="24" customHeight="1">
      <c r="A630" s="175">
        <f t="shared" si="64"/>
        <v>437</v>
      </c>
      <c r="B630" s="176" t="s">
        <v>1346</v>
      </c>
      <c r="C630" s="174">
        <v>59.2</v>
      </c>
      <c r="D630" s="176" t="s">
        <v>576</v>
      </c>
      <c r="H630" s="154" t="s">
        <v>796</v>
      </c>
      <c r="I630" s="76">
        <f>K629</f>
        <v>539.01344000000006</v>
      </c>
      <c r="J630" s="158">
        <f>J629</f>
        <v>3.3880000000000003</v>
      </c>
      <c r="K630" s="166">
        <f>I630+J630</f>
        <v>542.40144000000009</v>
      </c>
      <c r="M630" s="198">
        <v>0.13600000000000001</v>
      </c>
      <c r="N630" s="154" t="s">
        <v>577</v>
      </c>
      <c r="O630" s="154" t="s">
        <v>1347</v>
      </c>
      <c r="P630" s="167">
        <f>(K643)</f>
        <v>6662</v>
      </c>
      <c r="Q630" s="154" t="s">
        <v>577</v>
      </c>
      <c r="R630" s="167">
        <f t="shared" si="68"/>
        <v>906.03200000000004</v>
      </c>
      <c r="AE630" s="172" t="str">
        <f t="shared" si="67"/>
        <v>|</v>
      </c>
      <c r="AG630" s="154" t="s">
        <v>1158</v>
      </c>
    </row>
    <row r="631" spans="1:33" ht="24" customHeight="1">
      <c r="A631" s="175">
        <f t="shared" si="64"/>
        <v>438</v>
      </c>
      <c r="B631" s="176" t="s">
        <v>1348</v>
      </c>
      <c r="C631" s="262">
        <v>30.25</v>
      </c>
      <c r="D631" s="176" t="s">
        <v>576</v>
      </c>
      <c r="H631" s="154" t="s">
        <v>798</v>
      </c>
      <c r="I631" s="76">
        <f>K630</f>
        <v>542.40144000000009</v>
      </c>
      <c r="J631" s="158">
        <f>J630</f>
        <v>3.3880000000000003</v>
      </c>
      <c r="K631" s="166">
        <f>I631+J631</f>
        <v>545.78944000000013</v>
      </c>
      <c r="O631" s="154" t="s">
        <v>1349</v>
      </c>
      <c r="AE631" s="172" t="str">
        <f t="shared" si="67"/>
        <v>|</v>
      </c>
      <c r="AG631" s="154" t="s">
        <v>1158</v>
      </c>
    </row>
    <row r="632" spans="1:33" ht="24" customHeight="1">
      <c r="A632" s="175">
        <f t="shared" si="64"/>
        <v>439</v>
      </c>
      <c r="B632" s="176" t="s">
        <v>1350</v>
      </c>
      <c r="C632" s="174">
        <v>142.19999999999999</v>
      </c>
      <c r="D632" s="176" t="s">
        <v>576</v>
      </c>
      <c r="H632" s="154" t="s">
        <v>1180</v>
      </c>
      <c r="I632" s="76">
        <f>K631</f>
        <v>545.78944000000013</v>
      </c>
      <c r="J632" s="158">
        <f>J631</f>
        <v>3.3880000000000003</v>
      </c>
      <c r="K632" s="166">
        <f>I632+J632</f>
        <v>549.17744000000016</v>
      </c>
      <c r="N632" s="154" t="s">
        <v>589</v>
      </c>
      <c r="O632" s="154" t="s">
        <v>1296</v>
      </c>
      <c r="Q632" s="154" t="s">
        <v>589</v>
      </c>
      <c r="R632" s="167">
        <v>2.2400000000000002</v>
      </c>
      <c r="AE632" s="172" t="str">
        <f t="shared" si="67"/>
        <v>|</v>
      </c>
      <c r="AG632" s="154" t="s">
        <v>1158</v>
      </c>
    </row>
    <row r="633" spans="1:33" ht="24" customHeight="1">
      <c r="A633" s="175">
        <f t="shared" si="64"/>
        <v>440</v>
      </c>
      <c r="B633" s="176" t="s">
        <v>1351</v>
      </c>
      <c r="C633" s="174">
        <v>88.6</v>
      </c>
      <c r="D633" s="176" t="s">
        <v>576</v>
      </c>
      <c r="F633" s="155" t="s">
        <v>1148</v>
      </c>
      <c r="G633" s="165" t="s">
        <v>307</v>
      </c>
      <c r="H633" s="154" t="s">
        <v>1149</v>
      </c>
      <c r="R633" s="162" t="s">
        <v>534</v>
      </c>
      <c r="AE633" s="172" t="str">
        <f t="shared" si="67"/>
        <v>|</v>
      </c>
      <c r="AG633" s="154" t="s">
        <v>1158</v>
      </c>
    </row>
    <row r="634" spans="1:33" ht="24" customHeight="1">
      <c r="A634" s="175">
        <f t="shared" si="64"/>
        <v>441</v>
      </c>
      <c r="B634" s="176" t="s">
        <v>1352</v>
      </c>
      <c r="C634" s="188"/>
      <c r="D634" s="176" t="s">
        <v>576</v>
      </c>
      <c r="H634" s="154" t="s">
        <v>1151</v>
      </c>
      <c r="O634" s="154" t="s">
        <v>1299</v>
      </c>
      <c r="R634" s="167">
        <f>SUM(R622:R632)</f>
        <v>22325.165044199999</v>
      </c>
      <c r="AE634" s="172" t="str">
        <f t="shared" si="67"/>
        <v>|</v>
      </c>
      <c r="AG634" s="154" t="s">
        <v>1158</v>
      </c>
    </row>
    <row r="635" spans="1:33" ht="24" customHeight="1">
      <c r="A635" s="175">
        <f t="shared" si="64"/>
        <v>442</v>
      </c>
      <c r="B635" s="176" t="s">
        <v>1353</v>
      </c>
      <c r="C635" s="174">
        <v>166</v>
      </c>
      <c r="D635" s="176" t="s">
        <v>576</v>
      </c>
      <c r="H635" s="154" t="s">
        <v>1354</v>
      </c>
      <c r="R635" s="162" t="s">
        <v>534</v>
      </c>
      <c r="AE635" s="172" t="str">
        <f t="shared" si="67"/>
        <v>|</v>
      </c>
      <c r="AG635" s="154" t="s">
        <v>1158</v>
      </c>
    </row>
    <row r="636" spans="1:33" ht="24" customHeight="1">
      <c r="A636" s="175">
        <f t="shared" si="64"/>
        <v>443</v>
      </c>
      <c r="B636" s="176" t="s">
        <v>1355</v>
      </c>
      <c r="C636" s="174">
        <v>106.6</v>
      </c>
      <c r="D636" s="176" t="s">
        <v>576</v>
      </c>
      <c r="H636" s="162" t="s">
        <v>534</v>
      </c>
      <c r="N636" s="154" t="s">
        <v>307</v>
      </c>
      <c r="O636" s="154" t="s">
        <v>1356</v>
      </c>
      <c r="AE636" s="172" t="str">
        <f t="shared" si="67"/>
        <v>|</v>
      </c>
      <c r="AG636" s="154" t="s">
        <v>1158</v>
      </c>
    </row>
    <row r="637" spans="1:33" ht="24" customHeight="1">
      <c r="A637" s="188"/>
      <c r="B637" s="188"/>
      <c r="C637" s="188"/>
      <c r="D637" s="188"/>
      <c r="F637" s="167">
        <v>0.01</v>
      </c>
      <c r="G637" s="165" t="s">
        <v>577</v>
      </c>
      <c r="H637" s="154" t="s">
        <v>1357</v>
      </c>
      <c r="I637" s="167">
        <f>(K280)</f>
        <v>6546.9380000000001</v>
      </c>
      <c r="J637" s="154" t="s">
        <v>577</v>
      </c>
      <c r="K637" s="167">
        <f>(F637*I637)</f>
        <v>65.469380000000001</v>
      </c>
      <c r="AE637" s="172" t="str">
        <f t="shared" si="67"/>
        <v>|</v>
      </c>
      <c r="AG637" s="154" t="s">
        <v>1158</v>
      </c>
    </row>
    <row r="638" spans="1:33" ht="24" customHeight="1">
      <c r="A638" s="175">
        <f>(A636+1)</f>
        <v>444</v>
      </c>
      <c r="B638" s="176" t="s">
        <v>1358</v>
      </c>
      <c r="C638" s="188"/>
      <c r="D638" s="176" t="s">
        <v>576</v>
      </c>
      <c r="F638" s="167">
        <v>0.01</v>
      </c>
      <c r="G638" s="165" t="s">
        <v>577</v>
      </c>
      <c r="H638" s="154" t="s">
        <v>1160</v>
      </c>
      <c r="J638" s="154" t="s">
        <v>589</v>
      </c>
      <c r="K638" s="167">
        <v>1.1499999999999999</v>
      </c>
      <c r="O638" s="154" t="s">
        <v>1359</v>
      </c>
      <c r="S638" s="155" t="s">
        <v>1360</v>
      </c>
      <c r="T638" s="165" t="s">
        <v>307</v>
      </c>
      <c r="U638" s="157" t="s">
        <v>1220</v>
      </c>
      <c r="W638" s="158"/>
      <c r="AA638" s="155" t="s">
        <v>1360</v>
      </c>
      <c r="AB638" s="165" t="s">
        <v>307</v>
      </c>
      <c r="AC638" s="157" t="s">
        <v>1221</v>
      </c>
      <c r="AE638" s="158"/>
    </row>
    <row r="639" spans="1:33" ht="24" customHeight="1">
      <c r="A639" s="175">
        <f t="shared" ref="A639:A702" si="69">(A638+1)</f>
        <v>445</v>
      </c>
      <c r="B639" s="176" t="s">
        <v>1361</v>
      </c>
      <c r="C639" s="174">
        <v>254</v>
      </c>
      <c r="D639" s="176" t="s">
        <v>576</v>
      </c>
      <c r="H639" s="154" t="s">
        <v>1164</v>
      </c>
      <c r="O639" s="162" t="s">
        <v>534</v>
      </c>
      <c r="S639" s="76"/>
      <c r="T639" s="156"/>
      <c r="U639" s="154" t="s">
        <v>1362</v>
      </c>
      <c r="W639" s="158"/>
      <c r="AB639" s="156"/>
      <c r="AC639" s="154" t="s">
        <v>1362</v>
      </c>
      <c r="AE639" s="158"/>
    </row>
    <row r="640" spans="1:33" ht="24" customHeight="1">
      <c r="A640" s="175">
        <f t="shared" si="69"/>
        <v>446</v>
      </c>
      <c r="B640" s="176" t="s">
        <v>1363</v>
      </c>
      <c r="C640" s="174">
        <v>177</v>
      </c>
      <c r="D640" s="176" t="s">
        <v>576</v>
      </c>
      <c r="K640" s="162" t="s">
        <v>534</v>
      </c>
      <c r="M640" s="167">
        <v>3</v>
      </c>
      <c r="N640" s="154" t="s">
        <v>577</v>
      </c>
      <c r="O640" s="154" t="s">
        <v>1364</v>
      </c>
      <c r="P640" s="167">
        <f>(C61*2)</f>
        <v>160.82</v>
      </c>
      <c r="Q640" s="154" t="s">
        <v>577</v>
      </c>
      <c r="R640" s="167">
        <f>(M640*P640)</f>
        <v>482.46</v>
      </c>
      <c r="S640" s="76"/>
      <c r="T640" s="156"/>
      <c r="U640" s="154" t="s">
        <v>1365</v>
      </c>
      <c r="W640" s="158"/>
      <c r="AB640" s="156"/>
      <c r="AC640" s="154" t="s">
        <v>1365</v>
      </c>
      <c r="AE640" s="158"/>
    </row>
    <row r="641" spans="1:32" ht="24" customHeight="1">
      <c r="A641" s="175">
        <f t="shared" si="69"/>
        <v>447</v>
      </c>
      <c r="B641" s="176" t="s">
        <v>1366</v>
      </c>
      <c r="C641" s="188"/>
      <c r="D641" s="176" t="s">
        <v>576</v>
      </c>
      <c r="H641" s="154" t="s">
        <v>1165</v>
      </c>
      <c r="K641" s="167">
        <f>SUM(K637:K639)</f>
        <v>66.619380000000007</v>
      </c>
      <c r="M641" s="167">
        <v>2.4</v>
      </c>
      <c r="N641" s="154" t="s">
        <v>577</v>
      </c>
      <c r="O641" s="154" t="s">
        <v>1367</v>
      </c>
      <c r="P641" s="167">
        <f>(C81)</f>
        <v>778</v>
      </c>
      <c r="Q641" s="154" t="s">
        <v>577</v>
      </c>
      <c r="R641" s="167">
        <f>(M641*P641)</f>
        <v>1867.1999999999998</v>
      </c>
      <c r="S641" s="76"/>
      <c r="T641" s="156"/>
      <c r="U641" s="162" t="s">
        <v>534</v>
      </c>
      <c r="W641" s="158"/>
      <c r="AB641" s="156"/>
      <c r="AC641" s="162" t="s">
        <v>534</v>
      </c>
      <c r="AE641" s="158"/>
    </row>
    <row r="642" spans="1:32" ht="24" customHeight="1">
      <c r="A642" s="175">
        <f t="shared" si="69"/>
        <v>448</v>
      </c>
      <c r="B642" s="176" t="s">
        <v>1368</v>
      </c>
      <c r="C642" s="174">
        <v>136</v>
      </c>
      <c r="D642" s="176" t="s">
        <v>576</v>
      </c>
      <c r="K642" s="162" t="s">
        <v>534</v>
      </c>
      <c r="M642" s="167">
        <v>5</v>
      </c>
      <c r="N642" s="154" t="s">
        <v>576</v>
      </c>
      <c r="O642" s="154" t="s">
        <v>1369</v>
      </c>
      <c r="P642" s="167">
        <f>(C204)</f>
        <v>61.6</v>
      </c>
      <c r="Q642" s="154" t="s">
        <v>576</v>
      </c>
      <c r="R642" s="167">
        <f>(M642*P642)</f>
        <v>308</v>
      </c>
      <c r="S642" s="198">
        <v>8.3000000000000007</v>
      </c>
      <c r="T642" s="165" t="s">
        <v>577</v>
      </c>
      <c r="U642" s="154" t="s">
        <v>1370</v>
      </c>
      <c r="V642" s="167">
        <f>AC11</f>
        <v>846.21</v>
      </c>
      <c r="W642" s="154" t="s">
        <v>577</v>
      </c>
      <c r="X642" s="167">
        <f t="shared" ref="X642:X648" si="70">S642*V642</f>
        <v>7023.5430000000006</v>
      </c>
      <c r="AA642" s="198">
        <v>8.3000000000000007</v>
      </c>
      <c r="AB642" s="165" t="s">
        <v>577</v>
      </c>
      <c r="AC642" s="154" t="s">
        <v>1370</v>
      </c>
      <c r="AD642" s="167">
        <f>V642</f>
        <v>846.21</v>
      </c>
      <c r="AE642" s="154" t="s">
        <v>577</v>
      </c>
      <c r="AF642" s="167">
        <f t="shared" ref="AF642:AF648" si="71">AA642*AD642</f>
        <v>7023.5430000000006</v>
      </c>
    </row>
    <row r="643" spans="1:32" ht="24" customHeight="1">
      <c r="A643" s="175">
        <f t="shared" si="69"/>
        <v>449</v>
      </c>
      <c r="B643" s="176" t="s">
        <v>1371</v>
      </c>
      <c r="C643" s="174">
        <v>82.8</v>
      </c>
      <c r="D643" s="176" t="s">
        <v>576</v>
      </c>
      <c r="H643" s="154" t="s">
        <v>685</v>
      </c>
      <c r="K643" s="167">
        <f>ROUND(K641*100,0)</f>
        <v>6662</v>
      </c>
      <c r="O643" s="154" t="s">
        <v>590</v>
      </c>
      <c r="Q643" s="154" t="s">
        <v>589</v>
      </c>
      <c r="R643" s="167">
        <v>0.08</v>
      </c>
      <c r="S643" s="198">
        <v>3.25</v>
      </c>
      <c r="T643" s="165" t="s">
        <v>567</v>
      </c>
      <c r="U643" s="154" t="s">
        <v>568</v>
      </c>
      <c r="V643" s="167">
        <f>I808</f>
        <v>5750</v>
      </c>
      <c r="W643" s="154" t="s">
        <v>567</v>
      </c>
      <c r="X643" s="167">
        <f t="shared" si="70"/>
        <v>18687.5</v>
      </c>
      <c r="AA643" s="198">
        <v>4</v>
      </c>
      <c r="AB643" s="165" t="s">
        <v>567</v>
      </c>
      <c r="AC643" s="154" t="s">
        <v>568</v>
      </c>
      <c r="AD643" s="167">
        <f t="shared" ref="AD643:AD648" si="72">V643</f>
        <v>5750</v>
      </c>
      <c r="AE643" s="154" t="s">
        <v>567</v>
      </c>
      <c r="AF643" s="167">
        <f t="shared" si="71"/>
        <v>23000</v>
      </c>
    </row>
    <row r="644" spans="1:32" ht="24" customHeight="1">
      <c r="A644" s="175">
        <f t="shared" si="69"/>
        <v>450</v>
      </c>
      <c r="B644" s="176" t="s">
        <v>1372</v>
      </c>
      <c r="C644" s="188"/>
      <c r="D644" s="176" t="s">
        <v>576</v>
      </c>
      <c r="F644" s="154" t="s">
        <v>22</v>
      </c>
      <c r="R644" s="162" t="s">
        <v>534</v>
      </c>
      <c r="S644" s="198">
        <v>4.79</v>
      </c>
      <c r="T644" s="165" t="s">
        <v>577</v>
      </c>
      <c r="U644" s="154" t="s">
        <v>578</v>
      </c>
      <c r="V644" s="167">
        <f>I809</f>
        <v>1514.4</v>
      </c>
      <c r="W644" s="154" t="s">
        <v>577</v>
      </c>
      <c r="X644" s="167">
        <f t="shared" si="70"/>
        <v>7253.9760000000006</v>
      </c>
      <c r="AA644" s="198">
        <v>4.79</v>
      </c>
      <c r="AB644" s="165" t="s">
        <v>577</v>
      </c>
      <c r="AC644" s="154" t="s">
        <v>578</v>
      </c>
      <c r="AD644" s="167">
        <f t="shared" si="72"/>
        <v>1514.4</v>
      </c>
      <c r="AE644" s="154" t="s">
        <v>577</v>
      </c>
      <c r="AF644" s="167">
        <f t="shared" si="71"/>
        <v>7253.9760000000006</v>
      </c>
    </row>
    <row r="645" spans="1:32" ht="24" customHeight="1">
      <c r="A645" s="175">
        <f t="shared" si="69"/>
        <v>451</v>
      </c>
      <c r="B645" s="176" t="s">
        <v>1373</v>
      </c>
      <c r="C645" s="174">
        <v>159.80000000000001</v>
      </c>
      <c r="D645" s="176" t="s">
        <v>576</v>
      </c>
      <c r="K645" s="162" t="s">
        <v>528</v>
      </c>
      <c r="O645" s="154" t="s">
        <v>1299</v>
      </c>
      <c r="R645" s="167">
        <f>SUM(R640:R643)</f>
        <v>2657.74</v>
      </c>
      <c r="S645" s="198">
        <v>3.5</v>
      </c>
      <c r="T645" s="165" t="s">
        <v>576</v>
      </c>
      <c r="U645" s="154" t="s">
        <v>752</v>
      </c>
      <c r="V645" s="167">
        <f>C11</f>
        <v>669.90000000000009</v>
      </c>
      <c r="W645" s="154" t="s">
        <v>576</v>
      </c>
      <c r="X645" s="167">
        <f t="shared" si="70"/>
        <v>2344.6500000000005</v>
      </c>
      <c r="AA645" s="198">
        <v>3.5</v>
      </c>
      <c r="AB645" s="165" t="s">
        <v>576</v>
      </c>
      <c r="AC645" s="154" t="s">
        <v>752</v>
      </c>
      <c r="AD645" s="167">
        <f t="shared" si="72"/>
        <v>669.90000000000009</v>
      </c>
      <c r="AE645" s="154" t="s">
        <v>576</v>
      </c>
      <c r="AF645" s="167">
        <f t="shared" si="71"/>
        <v>2344.6500000000005</v>
      </c>
    </row>
    <row r="646" spans="1:32" ht="24" customHeight="1">
      <c r="A646" s="175">
        <f t="shared" si="69"/>
        <v>452</v>
      </c>
      <c r="B646" s="176" t="s">
        <v>1374</v>
      </c>
      <c r="C646" s="174">
        <v>106.6</v>
      </c>
      <c r="D646" s="176" t="s">
        <v>576</v>
      </c>
      <c r="G646" s="165" t="s">
        <v>865</v>
      </c>
      <c r="H646" s="154" t="s">
        <v>1166</v>
      </c>
      <c r="R646" s="162" t="s">
        <v>534</v>
      </c>
      <c r="S646" s="198">
        <v>21.2</v>
      </c>
      <c r="T646" s="165" t="s">
        <v>576</v>
      </c>
      <c r="U646" s="154" t="s">
        <v>754</v>
      </c>
      <c r="V646" s="167">
        <f>C12</f>
        <v>468.6</v>
      </c>
      <c r="W646" s="154" t="s">
        <v>576</v>
      </c>
      <c r="X646" s="167">
        <f t="shared" si="70"/>
        <v>9934.32</v>
      </c>
      <c r="AA646" s="198">
        <v>21.2</v>
      </c>
      <c r="AB646" s="165" t="s">
        <v>576</v>
      </c>
      <c r="AC646" s="154" t="s">
        <v>754</v>
      </c>
      <c r="AD646" s="167">
        <f t="shared" si="72"/>
        <v>468.6</v>
      </c>
      <c r="AE646" s="154" t="s">
        <v>576</v>
      </c>
      <c r="AF646" s="167">
        <f t="shared" si="71"/>
        <v>9934.32</v>
      </c>
    </row>
    <row r="647" spans="1:32" ht="24" customHeight="1">
      <c r="A647" s="175">
        <f t="shared" si="69"/>
        <v>453</v>
      </c>
      <c r="B647" s="176" t="s">
        <v>1375</v>
      </c>
      <c r="C647" s="188"/>
      <c r="D647" s="176" t="s">
        <v>576</v>
      </c>
      <c r="H647" s="154" t="s">
        <v>1167</v>
      </c>
      <c r="S647" s="198">
        <v>35.299999999999997</v>
      </c>
      <c r="T647" s="165" t="s">
        <v>576</v>
      </c>
      <c r="U647" s="154" t="s">
        <v>756</v>
      </c>
      <c r="V647" s="167">
        <f>C13</f>
        <v>404.8</v>
      </c>
      <c r="W647" s="154" t="s">
        <v>576</v>
      </c>
      <c r="X647" s="167">
        <f t="shared" si="70"/>
        <v>14289.439999999999</v>
      </c>
      <c r="AA647" s="198">
        <v>35.299999999999997</v>
      </c>
      <c r="AB647" s="165" t="s">
        <v>576</v>
      </c>
      <c r="AC647" s="154" t="s">
        <v>756</v>
      </c>
      <c r="AD647" s="167">
        <f t="shared" si="72"/>
        <v>404.8</v>
      </c>
      <c r="AE647" s="154" t="s">
        <v>576</v>
      </c>
      <c r="AF647" s="167">
        <f t="shared" si="71"/>
        <v>14289.439999999999</v>
      </c>
    </row>
    <row r="648" spans="1:32" ht="24" customHeight="1">
      <c r="A648" s="175">
        <f t="shared" si="69"/>
        <v>454</v>
      </c>
      <c r="B648" s="176" t="s">
        <v>1376</v>
      </c>
      <c r="C648" s="174">
        <v>70</v>
      </c>
      <c r="D648" s="176" t="s">
        <v>576</v>
      </c>
      <c r="H648" s="162" t="s">
        <v>534</v>
      </c>
      <c r="N648" s="154" t="s">
        <v>307</v>
      </c>
      <c r="O648" s="154" t="s">
        <v>1377</v>
      </c>
      <c r="S648" s="263">
        <v>19.5</v>
      </c>
      <c r="T648" s="156"/>
      <c r="U648" s="154" t="s">
        <v>1378</v>
      </c>
      <c r="V648" s="231">
        <v>42</v>
      </c>
      <c r="W648" s="154" t="s">
        <v>589</v>
      </c>
      <c r="X648" s="167">
        <f t="shared" si="70"/>
        <v>819</v>
      </c>
      <c r="AA648" s="263">
        <v>40</v>
      </c>
      <c r="AB648" s="156"/>
      <c r="AC648" s="154" t="s">
        <v>1378</v>
      </c>
      <c r="AD648" s="167">
        <f t="shared" si="72"/>
        <v>42</v>
      </c>
      <c r="AE648" s="154" t="s">
        <v>589</v>
      </c>
      <c r="AF648" s="167">
        <f t="shared" si="71"/>
        <v>1680</v>
      </c>
    </row>
    <row r="649" spans="1:32" ht="24" customHeight="1">
      <c r="A649" s="175">
        <f t="shared" si="69"/>
        <v>455</v>
      </c>
      <c r="B649" s="176" t="s">
        <v>1379</v>
      </c>
      <c r="C649" s="174">
        <v>47.3</v>
      </c>
      <c r="D649" s="176" t="s">
        <v>576</v>
      </c>
      <c r="F649" s="198">
        <v>1.4E-2</v>
      </c>
      <c r="G649" s="165" t="s">
        <v>577</v>
      </c>
      <c r="H649" s="154" t="s">
        <v>1168</v>
      </c>
      <c r="I649" s="167">
        <f>(K643)</f>
        <v>6662</v>
      </c>
      <c r="J649" s="154" t="s">
        <v>577</v>
      </c>
      <c r="K649" s="167">
        <f>(F649*I649)</f>
        <v>93.268000000000001</v>
      </c>
      <c r="O649" s="154" t="s">
        <v>1380</v>
      </c>
      <c r="S649" s="76"/>
      <c r="T649" s="156"/>
      <c r="W649" s="158"/>
      <c r="X649" s="162" t="s">
        <v>534</v>
      </c>
      <c r="AB649" s="156"/>
      <c r="AE649" s="158"/>
      <c r="AF649" s="162" t="s">
        <v>534</v>
      </c>
    </row>
    <row r="650" spans="1:32" ht="24" customHeight="1">
      <c r="A650" s="175">
        <f t="shared" si="69"/>
        <v>456</v>
      </c>
      <c r="B650" s="176" t="s">
        <v>1381</v>
      </c>
      <c r="C650" s="231">
        <v>29.3</v>
      </c>
      <c r="D650" s="176" t="s">
        <v>576</v>
      </c>
      <c r="F650" s="198"/>
      <c r="H650" s="154" t="s">
        <v>1169</v>
      </c>
      <c r="K650" s="154" t="s">
        <v>22</v>
      </c>
      <c r="O650" s="154" t="s">
        <v>1382</v>
      </c>
      <c r="S650" s="76"/>
      <c r="T650" s="156"/>
      <c r="U650" s="155" t="s">
        <v>760</v>
      </c>
      <c r="W650" s="158"/>
      <c r="X650" s="167">
        <f>SUM(X642:X648)</f>
        <v>60352.429000000004</v>
      </c>
      <c r="AB650" s="156"/>
      <c r="AC650" s="155" t="s">
        <v>760</v>
      </c>
      <c r="AE650" s="158"/>
      <c r="AF650" s="167">
        <f>SUM(AF642:AF648)</f>
        <v>65525.929000000004</v>
      </c>
    </row>
    <row r="651" spans="1:32" ht="24" customHeight="1">
      <c r="A651" s="175">
        <f t="shared" si="69"/>
        <v>457</v>
      </c>
      <c r="B651" s="176" t="s">
        <v>1383</v>
      </c>
      <c r="C651" s="177">
        <v>155.32</v>
      </c>
      <c r="D651" s="176" t="s">
        <v>576</v>
      </c>
      <c r="F651" s="167">
        <v>0.5</v>
      </c>
      <c r="G651" s="165" t="s">
        <v>680</v>
      </c>
      <c r="H651" s="154" t="s">
        <v>778</v>
      </c>
      <c r="I651" s="167">
        <f>(C10)</f>
        <v>717.2</v>
      </c>
      <c r="J651" s="154" t="s">
        <v>680</v>
      </c>
      <c r="K651" s="167">
        <f>(F651*I651)</f>
        <v>358.6</v>
      </c>
      <c r="O651" s="162" t="s">
        <v>534</v>
      </c>
      <c r="S651" s="76"/>
      <c r="T651" s="156"/>
      <c r="W651" s="158"/>
      <c r="X651" s="162" t="s">
        <v>528</v>
      </c>
      <c r="AB651" s="156"/>
      <c r="AE651" s="158"/>
      <c r="AF651" s="162" t="s">
        <v>528</v>
      </c>
    </row>
    <row r="652" spans="1:32" ht="24" customHeight="1">
      <c r="A652" s="175">
        <f t="shared" si="69"/>
        <v>458</v>
      </c>
      <c r="B652" s="176" t="s">
        <v>1384</v>
      </c>
      <c r="C652" s="177">
        <v>91.08</v>
      </c>
      <c r="D652" s="176" t="s">
        <v>576</v>
      </c>
      <c r="F652" s="167">
        <v>0.75</v>
      </c>
      <c r="G652" s="165" t="s">
        <v>680</v>
      </c>
      <c r="H652" s="154" t="s">
        <v>754</v>
      </c>
      <c r="I652" s="167">
        <f>(C12)</f>
        <v>468.6</v>
      </c>
      <c r="J652" s="154" t="s">
        <v>680</v>
      </c>
      <c r="K652" s="167">
        <f>(F652*I652)</f>
        <v>351.45000000000005</v>
      </c>
      <c r="M652" s="167">
        <v>9.5</v>
      </c>
      <c r="N652" s="154" t="s">
        <v>577</v>
      </c>
      <c r="O652" s="154" t="s">
        <v>1364</v>
      </c>
      <c r="P652" s="167">
        <f>(C61*2)</f>
        <v>160.82</v>
      </c>
      <c r="Q652" s="154" t="s">
        <v>577</v>
      </c>
      <c r="R652" s="167">
        <f t="shared" ref="R652:R660" si="73">(M652*P652)</f>
        <v>1527.79</v>
      </c>
      <c r="S652" s="76"/>
      <c r="T652" s="156"/>
      <c r="U652" s="154" t="s">
        <v>685</v>
      </c>
      <c r="W652" s="158"/>
      <c r="X652" s="167">
        <f>X650/10</f>
        <v>6035.2429000000002</v>
      </c>
      <c r="AB652" s="156"/>
      <c r="AC652" s="154" t="s">
        <v>685</v>
      </c>
      <c r="AE652" s="158"/>
      <c r="AF652" s="167">
        <f>AF650/10</f>
        <v>6552.5929000000006</v>
      </c>
    </row>
    <row r="653" spans="1:32" ht="24" customHeight="1">
      <c r="A653" s="175">
        <f t="shared" si="69"/>
        <v>459</v>
      </c>
      <c r="B653" s="176" t="s">
        <v>1385</v>
      </c>
      <c r="C653" s="174">
        <v>41.5</v>
      </c>
      <c r="D653" s="176" t="s">
        <v>420</v>
      </c>
      <c r="G653" s="165" t="s">
        <v>589</v>
      </c>
      <c r="H653" s="154" t="s">
        <v>590</v>
      </c>
      <c r="J653" s="154" t="s">
        <v>589</v>
      </c>
      <c r="K653" s="167">
        <v>0</v>
      </c>
      <c r="M653" s="167">
        <v>0.47</v>
      </c>
      <c r="N653" s="154" t="s">
        <v>577</v>
      </c>
      <c r="O653" s="154" t="s">
        <v>1386</v>
      </c>
      <c r="P653" s="167">
        <f>(R74)</f>
        <v>5453.5154999999995</v>
      </c>
      <c r="Q653" s="154" t="s">
        <v>577</v>
      </c>
      <c r="R653" s="167">
        <f t="shared" si="73"/>
        <v>2563.1522849999997</v>
      </c>
      <c r="S653" s="167">
        <v>1</v>
      </c>
      <c r="T653" s="165" t="s">
        <v>577</v>
      </c>
      <c r="U653" s="154" t="s">
        <v>997</v>
      </c>
      <c r="V653" s="167"/>
      <c r="W653" s="158"/>
      <c r="X653" s="167"/>
      <c r="AA653" s="167">
        <v>1</v>
      </c>
      <c r="AB653" s="165" t="s">
        <v>577</v>
      </c>
      <c r="AC653" s="154" t="s">
        <v>997</v>
      </c>
      <c r="AD653" s="167"/>
      <c r="AE653" s="158"/>
      <c r="AF653" s="167"/>
    </row>
    <row r="654" spans="1:32" ht="24" customHeight="1">
      <c r="A654" s="175">
        <f t="shared" si="69"/>
        <v>460</v>
      </c>
      <c r="B654" s="176" t="s">
        <v>1387</v>
      </c>
      <c r="C654" s="177">
        <v>0.3</v>
      </c>
      <c r="D654" s="176" t="s">
        <v>576</v>
      </c>
      <c r="K654" s="162" t="s">
        <v>534</v>
      </c>
      <c r="M654" s="167">
        <v>1.62</v>
      </c>
      <c r="N654" s="154" t="s">
        <v>577</v>
      </c>
      <c r="O654" s="154" t="s">
        <v>1286</v>
      </c>
      <c r="P654" s="167">
        <f>(R89)</f>
        <v>5932.0409</v>
      </c>
      <c r="Q654" s="154" t="s">
        <v>577</v>
      </c>
      <c r="R654" s="167">
        <f t="shared" si="73"/>
        <v>9609.9062580000009</v>
      </c>
      <c r="X654" s="264">
        <f>SUM(X652:X653)</f>
        <v>6035.2429000000002</v>
      </c>
      <c r="AA654" s="159"/>
      <c r="AF654" s="264">
        <f>SUM(AF652:AF653)</f>
        <v>6552.5929000000006</v>
      </c>
    </row>
    <row r="655" spans="1:32" ht="24" customHeight="1">
      <c r="A655" s="175">
        <f t="shared" si="69"/>
        <v>461</v>
      </c>
      <c r="B655" s="176" t="s">
        <v>1388</v>
      </c>
      <c r="C655" s="174">
        <v>184.2</v>
      </c>
      <c r="D655" s="176" t="s">
        <v>916</v>
      </c>
      <c r="H655" s="154" t="s">
        <v>1175</v>
      </c>
      <c r="K655" s="167">
        <f>SUM(K649:K653)</f>
        <v>803.3180000000001</v>
      </c>
      <c r="M655" s="167">
        <v>15.22</v>
      </c>
      <c r="N655" s="154" t="s">
        <v>916</v>
      </c>
      <c r="O655" s="154" t="s">
        <v>1389</v>
      </c>
      <c r="P655" s="167">
        <f>(R304)</f>
        <v>207.85738000000001</v>
      </c>
      <c r="Q655" s="154" t="s">
        <v>916</v>
      </c>
      <c r="R655" s="167">
        <f t="shared" si="73"/>
        <v>3163.5893236000002</v>
      </c>
      <c r="S655" s="76"/>
      <c r="T655" s="156"/>
      <c r="U655" s="76" t="s">
        <v>1390</v>
      </c>
      <c r="X655" s="76">
        <f>X654*0.5%</f>
        <v>30.1762145</v>
      </c>
      <c r="AB655" s="156"/>
      <c r="AC655" s="76" t="s">
        <v>1390</v>
      </c>
      <c r="AF655" s="76">
        <f>AF654*0.5%</f>
        <v>32.762964500000002</v>
      </c>
    </row>
    <row r="656" spans="1:32" ht="24" customHeight="1">
      <c r="A656" s="175">
        <f t="shared" si="69"/>
        <v>462</v>
      </c>
      <c r="B656" s="176" t="s">
        <v>1391</v>
      </c>
      <c r="C656" s="177">
        <v>97.31</v>
      </c>
      <c r="D656" s="176" t="s">
        <v>916</v>
      </c>
      <c r="K656" s="162" t="s">
        <v>534</v>
      </c>
      <c r="M656" s="167">
        <v>0.18</v>
      </c>
      <c r="N656" s="154" t="s">
        <v>577</v>
      </c>
      <c r="O656" s="154" t="s">
        <v>1392</v>
      </c>
      <c r="P656" s="167">
        <f>(K280)</f>
        <v>6546.9380000000001</v>
      </c>
      <c r="Q656" s="154" t="s">
        <v>577</v>
      </c>
      <c r="R656" s="167">
        <f t="shared" si="73"/>
        <v>1178.44884</v>
      </c>
      <c r="S656" s="76"/>
      <c r="T656" s="156"/>
      <c r="W656" s="158"/>
      <c r="X656" s="162"/>
      <c r="AB656" s="156"/>
      <c r="AE656" s="158"/>
      <c r="AF656" s="162"/>
    </row>
    <row r="657" spans="1:32" ht="24" customHeight="1">
      <c r="A657" s="175">
        <f t="shared" si="69"/>
        <v>463</v>
      </c>
      <c r="B657" s="176" t="s">
        <v>1393</v>
      </c>
      <c r="C657" s="177">
        <v>198.2</v>
      </c>
      <c r="D657" s="176" t="s">
        <v>1007</v>
      </c>
      <c r="H657" s="154" t="s">
        <v>881</v>
      </c>
      <c r="K657" s="167">
        <f>(K655/0.372)</f>
        <v>2159.4569892473123</v>
      </c>
      <c r="M657" s="167">
        <v>0.36</v>
      </c>
      <c r="N657" s="154" t="s">
        <v>916</v>
      </c>
      <c r="O657" s="154" t="s">
        <v>1394</v>
      </c>
      <c r="P657" s="167">
        <f>(K467)</f>
        <v>329.642515</v>
      </c>
      <c r="Q657" s="154" t="s">
        <v>916</v>
      </c>
      <c r="R657" s="167">
        <f t="shared" si="73"/>
        <v>118.67130539999999</v>
      </c>
      <c r="S657" s="76"/>
      <c r="T657" s="156"/>
      <c r="U657" s="76" t="s">
        <v>1395</v>
      </c>
      <c r="W657" s="158"/>
      <c r="X657" s="166">
        <f>SUM(X654:X656)</f>
        <v>6065.4191145000004</v>
      </c>
      <c r="AB657" s="156"/>
      <c r="AC657" s="76" t="s">
        <v>1395</v>
      </c>
      <c r="AE657" s="158"/>
      <c r="AF657" s="166">
        <f>SUM(AF654:AF656)</f>
        <v>6585.3558645000003</v>
      </c>
    </row>
    <row r="658" spans="1:32" ht="24" customHeight="1">
      <c r="A658" s="175">
        <f t="shared" si="69"/>
        <v>464</v>
      </c>
      <c r="B658" s="176" t="s">
        <v>1396</v>
      </c>
      <c r="C658" s="177">
        <v>198.2</v>
      </c>
      <c r="D658" s="176" t="s">
        <v>1007</v>
      </c>
      <c r="K658" s="162" t="s">
        <v>528</v>
      </c>
      <c r="M658" s="167">
        <v>1</v>
      </c>
      <c r="N658" s="154" t="s">
        <v>576</v>
      </c>
      <c r="O658" s="154" t="s">
        <v>1397</v>
      </c>
      <c r="P658" s="167">
        <f>(C203)</f>
        <v>124.4</v>
      </c>
      <c r="Q658" s="154" t="s">
        <v>576</v>
      </c>
      <c r="R658" s="167">
        <f t="shared" si="73"/>
        <v>124.4</v>
      </c>
      <c r="S658" s="76"/>
      <c r="T658" s="156"/>
      <c r="W658" s="158"/>
      <c r="X658" s="162" t="s">
        <v>534</v>
      </c>
      <c r="AB658" s="156"/>
      <c r="AE658" s="158"/>
      <c r="AF658" s="162" t="s">
        <v>534</v>
      </c>
    </row>
    <row r="659" spans="1:32" ht="24" customHeight="1">
      <c r="A659" s="175">
        <f t="shared" si="69"/>
        <v>465</v>
      </c>
      <c r="B659" s="176" t="s">
        <v>1398</v>
      </c>
      <c r="C659" s="177">
        <v>3.65</v>
      </c>
      <c r="D659" s="176" t="s">
        <v>576</v>
      </c>
      <c r="E659" s="76" t="s">
        <v>1399</v>
      </c>
      <c r="H659" s="154" t="s">
        <v>789</v>
      </c>
      <c r="I659" s="76">
        <f>K657</f>
        <v>2159.4569892473123</v>
      </c>
      <c r="J659" s="158">
        <f>C22*0.014/0.372</f>
        <v>3.2373118279569901</v>
      </c>
      <c r="K659" s="166">
        <f>I659+J659</f>
        <v>2162.6943010752693</v>
      </c>
      <c r="M659" s="167">
        <v>1.8</v>
      </c>
      <c r="N659" s="154" t="s">
        <v>1400</v>
      </c>
      <c r="O659" s="154" t="s">
        <v>1401</v>
      </c>
      <c r="P659" s="167">
        <f>(C325)</f>
        <v>14.91</v>
      </c>
      <c r="Q659" s="154" t="s">
        <v>1400</v>
      </c>
      <c r="R659" s="167">
        <f t="shared" si="73"/>
        <v>26.838000000000001</v>
      </c>
      <c r="S659" s="76"/>
      <c r="T659" s="156"/>
      <c r="U659" s="154" t="s">
        <v>789</v>
      </c>
      <c r="W659" s="158"/>
      <c r="X659" s="166">
        <f>(X657+C23)</f>
        <v>6234.8191145000001</v>
      </c>
      <c r="AB659" s="156"/>
      <c r="AC659" s="154" t="s">
        <v>789</v>
      </c>
      <c r="AE659" s="158"/>
      <c r="AF659" s="166">
        <f>AF657+C23</f>
        <v>6754.7558644999999</v>
      </c>
    </row>
    <row r="660" spans="1:32" ht="24" customHeight="1">
      <c r="A660" s="175">
        <f t="shared" si="69"/>
        <v>466</v>
      </c>
      <c r="B660" s="176" t="s">
        <v>1402</v>
      </c>
      <c r="C660" s="172">
        <v>54.5</v>
      </c>
      <c r="D660" s="265">
        <v>60.9</v>
      </c>
      <c r="E660" s="76" t="s">
        <v>1403</v>
      </c>
      <c r="H660" s="154" t="s">
        <v>793</v>
      </c>
      <c r="I660" s="76">
        <f>K659</f>
        <v>2162.6943010752693</v>
      </c>
      <c r="J660" s="158">
        <f>C23*0.014/0.372</f>
        <v>6.3752688172043008</v>
      </c>
      <c r="K660" s="166">
        <f>I660+J660</f>
        <v>2169.0695698924737</v>
      </c>
      <c r="M660" s="167">
        <v>1</v>
      </c>
      <c r="N660" s="154" t="s">
        <v>576</v>
      </c>
      <c r="O660" s="154" t="s">
        <v>1404</v>
      </c>
      <c r="P660" s="167">
        <f>(C371)</f>
        <v>13.29</v>
      </c>
      <c r="Q660" s="154" t="s">
        <v>576</v>
      </c>
      <c r="R660" s="167">
        <f t="shared" si="73"/>
        <v>13.29</v>
      </c>
      <c r="S660" s="76"/>
      <c r="T660" s="156"/>
      <c r="U660" s="154" t="s">
        <v>793</v>
      </c>
      <c r="W660" s="158"/>
      <c r="X660" s="166">
        <f>X659+C24</f>
        <v>6404.2191144999997</v>
      </c>
      <c r="AB660" s="156"/>
      <c r="AC660" s="154" t="s">
        <v>793</v>
      </c>
      <c r="AE660" s="158"/>
      <c r="AF660" s="166">
        <f>AF659+C24</f>
        <v>6924.1558644999996</v>
      </c>
    </row>
    <row r="661" spans="1:32" ht="32.25" customHeight="1">
      <c r="A661" s="175">
        <f t="shared" si="69"/>
        <v>467</v>
      </c>
      <c r="B661" s="266" t="s">
        <v>1405</v>
      </c>
      <c r="C661" s="246">
        <v>6.45</v>
      </c>
      <c r="D661" s="247" t="s">
        <v>410</v>
      </c>
      <c r="E661" s="267">
        <v>10.92</v>
      </c>
      <c r="H661" s="154" t="s">
        <v>796</v>
      </c>
      <c r="I661" s="76">
        <f>K660</f>
        <v>2169.0695698924737</v>
      </c>
      <c r="J661" s="158">
        <f>J660</f>
        <v>6.3752688172043008</v>
      </c>
      <c r="K661" s="166">
        <f>I661+J661</f>
        <v>2175.4448387096782</v>
      </c>
      <c r="N661" s="154" t="s">
        <v>589</v>
      </c>
      <c r="O661" s="154" t="s">
        <v>1296</v>
      </c>
      <c r="Q661" s="154" t="s">
        <v>589</v>
      </c>
      <c r="R661" s="167">
        <v>1.72</v>
      </c>
      <c r="S661" s="76"/>
      <c r="T661" s="156"/>
      <c r="U661" s="154" t="s">
        <v>796</v>
      </c>
      <c r="W661" s="158"/>
      <c r="X661" s="166">
        <f>X660+C25</f>
        <v>6471.8691144999993</v>
      </c>
      <c r="AB661" s="156"/>
      <c r="AC661" s="154" t="s">
        <v>796</v>
      </c>
      <c r="AE661" s="158"/>
      <c r="AF661" s="166">
        <f>AF660+C25</f>
        <v>6991.8058644999992</v>
      </c>
    </row>
    <row r="662" spans="1:32" ht="24" customHeight="1">
      <c r="A662" s="175">
        <f t="shared" si="69"/>
        <v>468</v>
      </c>
      <c r="B662" s="268" t="s">
        <v>1406</v>
      </c>
      <c r="C662" s="246">
        <v>10.92</v>
      </c>
      <c r="D662" s="247" t="s">
        <v>410</v>
      </c>
      <c r="E662" s="267"/>
      <c r="H662" s="154" t="s">
        <v>798</v>
      </c>
      <c r="I662" s="76">
        <f>K661</f>
        <v>2175.4448387096782</v>
      </c>
      <c r="J662" s="158">
        <f>J661</f>
        <v>6.3752688172043008</v>
      </c>
      <c r="K662" s="166">
        <f>I662+J662</f>
        <v>2181.8201075268826</v>
      </c>
      <c r="R662" s="154" t="s">
        <v>22</v>
      </c>
      <c r="S662" s="76"/>
      <c r="T662" s="156"/>
      <c r="U662" s="154" t="s">
        <v>798</v>
      </c>
      <c r="W662" s="158"/>
      <c r="X662" s="166">
        <f>X661+C25</f>
        <v>6539.519114499999</v>
      </c>
      <c r="AB662" s="156"/>
      <c r="AC662" s="154" t="s">
        <v>798</v>
      </c>
      <c r="AE662" s="158"/>
      <c r="AF662" s="166">
        <f>AF661+C25</f>
        <v>7059.4558644999988</v>
      </c>
    </row>
    <row r="663" spans="1:32" ht="24" customHeight="1">
      <c r="A663" s="175">
        <f t="shared" si="69"/>
        <v>469</v>
      </c>
      <c r="B663" s="176" t="s">
        <v>1407</v>
      </c>
      <c r="C663" s="172">
        <v>6.2</v>
      </c>
      <c r="D663" s="197">
        <v>7.4</v>
      </c>
      <c r="E663" s="76">
        <v>2</v>
      </c>
      <c r="H663" s="154" t="s">
        <v>1180</v>
      </c>
      <c r="I663" s="76">
        <f>K662</f>
        <v>2181.8201075268826</v>
      </c>
      <c r="J663" s="158">
        <f>J662</f>
        <v>6.3752688172043008</v>
      </c>
      <c r="K663" s="166">
        <f>I663+J663</f>
        <v>2188.195376344087</v>
      </c>
      <c r="R663" s="162" t="s">
        <v>534</v>
      </c>
      <c r="S663" s="76"/>
      <c r="T663" s="156"/>
      <c r="U663" s="154" t="s">
        <v>885</v>
      </c>
      <c r="W663" s="158"/>
      <c r="X663" s="166">
        <f>X662+C25</f>
        <v>6607.1691144999986</v>
      </c>
      <c r="AB663" s="156"/>
      <c r="AC663" s="154" t="s">
        <v>885</v>
      </c>
      <c r="AE663" s="158"/>
      <c r="AF663" s="166">
        <f>AF662+K25</f>
        <v>7059.4558644999988</v>
      </c>
    </row>
    <row r="664" spans="1:32" ht="24" customHeight="1">
      <c r="A664" s="175"/>
      <c r="B664" s="176"/>
      <c r="C664" s="172"/>
      <c r="D664" s="197"/>
      <c r="H664" s="154">
        <v>5</v>
      </c>
      <c r="I664" s="76">
        <f t="shared" ref="I664:I670" si="74">K663</f>
        <v>2188.195376344087</v>
      </c>
      <c r="J664" s="158">
        <f t="shared" ref="J664:J670" si="75">J663</f>
        <v>6.3752688172043008</v>
      </c>
      <c r="K664" s="166">
        <f t="shared" ref="K664:K670" si="76">I664+J664</f>
        <v>2194.5706451612914</v>
      </c>
      <c r="R664" s="162"/>
      <c r="S664" s="76"/>
      <c r="T664" s="156"/>
      <c r="U664" s="154">
        <v>5</v>
      </c>
      <c r="W664" s="158"/>
      <c r="X664" s="166">
        <f>X663+C25</f>
        <v>6674.8191144999982</v>
      </c>
      <c r="AB664" s="156"/>
      <c r="AC664" s="154">
        <v>5</v>
      </c>
      <c r="AE664" s="158"/>
      <c r="AF664" s="166">
        <f>AF663+K25</f>
        <v>7059.4558644999988</v>
      </c>
    </row>
    <row r="665" spans="1:32" ht="24" hidden="1" customHeight="1">
      <c r="A665" s="175"/>
      <c r="B665" s="176"/>
      <c r="C665" s="172"/>
      <c r="D665" s="197"/>
      <c r="H665" s="154">
        <v>6</v>
      </c>
      <c r="I665" s="76">
        <f t="shared" si="74"/>
        <v>2194.5706451612914</v>
      </c>
      <c r="J665" s="158">
        <f t="shared" si="75"/>
        <v>6.3752688172043008</v>
      </c>
      <c r="K665" s="166">
        <f t="shared" si="76"/>
        <v>2200.9459139784958</v>
      </c>
      <c r="R665" s="162"/>
      <c r="AA665" s="159"/>
    </row>
    <row r="666" spans="1:32" ht="24" hidden="1" customHeight="1">
      <c r="A666" s="175"/>
      <c r="B666" s="176"/>
      <c r="C666" s="172"/>
      <c r="D666" s="197"/>
      <c r="H666" s="154">
        <v>7</v>
      </c>
      <c r="I666" s="76">
        <f t="shared" si="74"/>
        <v>2200.9459139784958</v>
      </c>
      <c r="J666" s="158">
        <f t="shared" si="75"/>
        <v>6.3752688172043008</v>
      </c>
      <c r="K666" s="166">
        <f t="shared" si="76"/>
        <v>2207.3211827957002</v>
      </c>
      <c r="R666" s="162"/>
      <c r="AA666" s="159"/>
    </row>
    <row r="667" spans="1:32" ht="24" hidden="1" customHeight="1">
      <c r="A667" s="175"/>
      <c r="B667" s="176"/>
      <c r="C667" s="172"/>
      <c r="D667" s="197"/>
      <c r="H667" s="154">
        <v>8</v>
      </c>
      <c r="I667" s="76">
        <f t="shared" si="74"/>
        <v>2207.3211827957002</v>
      </c>
      <c r="J667" s="158">
        <f t="shared" si="75"/>
        <v>6.3752688172043008</v>
      </c>
      <c r="K667" s="166">
        <f t="shared" si="76"/>
        <v>2213.6964516129046</v>
      </c>
      <c r="R667" s="162"/>
      <c r="AA667" s="159"/>
    </row>
    <row r="668" spans="1:32" ht="24" hidden="1" customHeight="1">
      <c r="A668" s="175"/>
      <c r="B668" s="176"/>
      <c r="C668" s="172"/>
      <c r="D668" s="197"/>
      <c r="H668" s="154">
        <v>9</v>
      </c>
      <c r="I668" s="76">
        <f t="shared" si="74"/>
        <v>2213.6964516129046</v>
      </c>
      <c r="J668" s="158">
        <f t="shared" si="75"/>
        <v>6.3752688172043008</v>
      </c>
      <c r="K668" s="166">
        <f t="shared" si="76"/>
        <v>2220.0717204301091</v>
      </c>
      <c r="R668" s="162"/>
      <c r="AA668" s="159"/>
    </row>
    <row r="669" spans="1:32" ht="24" hidden="1" customHeight="1">
      <c r="A669" s="175"/>
      <c r="B669" s="176"/>
      <c r="C669" s="172"/>
      <c r="D669" s="197"/>
      <c r="H669" s="154">
        <v>10</v>
      </c>
      <c r="I669" s="76">
        <f t="shared" si="74"/>
        <v>2220.0717204301091</v>
      </c>
      <c r="J669" s="158">
        <f t="shared" si="75"/>
        <v>6.3752688172043008</v>
      </c>
      <c r="K669" s="166">
        <f t="shared" si="76"/>
        <v>2226.4469892473135</v>
      </c>
      <c r="R669" s="162"/>
      <c r="AA669" s="159"/>
    </row>
    <row r="670" spans="1:32" ht="24" hidden="1" customHeight="1">
      <c r="A670" s="175"/>
      <c r="B670" s="176"/>
      <c r="C670" s="172"/>
      <c r="D670" s="197"/>
      <c r="H670" s="154">
        <v>11</v>
      </c>
      <c r="I670" s="76">
        <f t="shared" si="74"/>
        <v>2226.4469892473135</v>
      </c>
      <c r="J670" s="158">
        <f t="shared" si="75"/>
        <v>6.3752688172043008</v>
      </c>
      <c r="K670" s="166">
        <f t="shared" si="76"/>
        <v>2232.8222580645179</v>
      </c>
      <c r="R670" s="162"/>
      <c r="AA670" s="159"/>
    </row>
    <row r="671" spans="1:32" ht="24" hidden="1" customHeight="1">
      <c r="A671" s="175"/>
      <c r="B671" s="176"/>
      <c r="C671" s="172"/>
      <c r="D671" s="197"/>
      <c r="H671" s="154"/>
      <c r="K671" s="166"/>
      <c r="R671" s="162"/>
      <c r="AA671" s="159"/>
    </row>
    <row r="672" spans="1:32" ht="28.5" customHeight="1">
      <c r="A672" s="175">
        <f>(A663+1)</f>
        <v>470</v>
      </c>
      <c r="B672" s="176" t="s">
        <v>1408</v>
      </c>
      <c r="C672" s="172">
        <v>8.6999999999999993</v>
      </c>
      <c r="D672" s="197">
        <v>8.9</v>
      </c>
      <c r="E672" s="76">
        <v>3.7</v>
      </c>
      <c r="F672" s="155" t="s">
        <v>1409</v>
      </c>
      <c r="H672" s="154" t="s">
        <v>1410</v>
      </c>
      <c r="O672" s="154" t="s">
        <v>1299</v>
      </c>
      <c r="R672" s="167">
        <f>SUM(R652:R662)</f>
        <v>18327.806012000005</v>
      </c>
      <c r="AA672" s="159"/>
    </row>
    <row r="673" spans="1:33" ht="24" customHeight="1">
      <c r="A673" s="175">
        <f t="shared" si="69"/>
        <v>471</v>
      </c>
      <c r="B673" s="176" t="s">
        <v>1411</v>
      </c>
      <c r="C673" s="173">
        <v>4</v>
      </c>
      <c r="D673" s="176" t="s">
        <v>589</v>
      </c>
      <c r="H673" s="154" t="s">
        <v>1412</v>
      </c>
      <c r="R673" s="162" t="s">
        <v>534</v>
      </c>
      <c r="AE673" s="172" t="str">
        <f t="shared" ref="AE673:AE680" si="77">AG673</f>
        <v>|</v>
      </c>
      <c r="AG673" s="154" t="s">
        <v>1158</v>
      </c>
    </row>
    <row r="674" spans="1:33" ht="24" customHeight="1">
      <c r="A674" s="175">
        <f t="shared" si="69"/>
        <v>472</v>
      </c>
      <c r="B674" s="176" t="s">
        <v>1413</v>
      </c>
      <c r="C674" s="173">
        <v>5</v>
      </c>
      <c r="D674" s="176" t="s">
        <v>589</v>
      </c>
      <c r="H674" s="154" t="s">
        <v>1414</v>
      </c>
      <c r="O674" s="154" t="s">
        <v>1415</v>
      </c>
      <c r="T674" s="199">
        <v>4.2</v>
      </c>
      <c r="U674" s="199" t="s">
        <v>392</v>
      </c>
      <c r="AE674" s="172" t="str">
        <f t="shared" si="77"/>
        <v>|</v>
      </c>
      <c r="AG674" s="154" t="s">
        <v>1158</v>
      </c>
    </row>
    <row r="675" spans="1:33" ht="24" customHeight="1">
      <c r="A675" s="175">
        <f t="shared" si="69"/>
        <v>473</v>
      </c>
      <c r="B675" s="176" t="s">
        <v>1416</v>
      </c>
      <c r="C675" s="177">
        <v>96</v>
      </c>
      <c r="D675" s="176" t="s">
        <v>576</v>
      </c>
      <c r="H675" s="154" t="s">
        <v>1417</v>
      </c>
      <c r="N675" s="154" t="s">
        <v>307</v>
      </c>
      <c r="O675" s="154" t="s">
        <v>1418</v>
      </c>
      <c r="S675" s="159">
        <v>5</v>
      </c>
      <c r="T675" s="76" t="s">
        <v>421</v>
      </c>
      <c r="U675" s="76" t="s">
        <v>1419</v>
      </c>
      <c r="V675" s="76">
        <f>V705</f>
        <v>1500.88</v>
      </c>
      <c r="X675" s="76">
        <f>V675*S675</f>
        <v>7504.4000000000005</v>
      </c>
      <c r="AE675" s="172" t="str">
        <f t="shared" si="77"/>
        <v>|</v>
      </c>
      <c r="AG675" s="154" t="s">
        <v>1158</v>
      </c>
    </row>
    <row r="676" spans="1:33" ht="24" customHeight="1">
      <c r="A676" s="175">
        <f t="shared" si="69"/>
        <v>474</v>
      </c>
      <c r="B676" s="176" t="s">
        <v>1420</v>
      </c>
      <c r="C676" s="177">
        <v>75</v>
      </c>
      <c r="D676" s="176" t="s">
        <v>576</v>
      </c>
      <c r="H676" s="154" t="s">
        <v>1421</v>
      </c>
      <c r="O676" s="154" t="s">
        <v>1422</v>
      </c>
      <c r="S676" s="159">
        <v>3.3</v>
      </c>
      <c r="T676" s="76" t="s">
        <v>421</v>
      </c>
      <c r="U676" s="76" t="s">
        <v>1423</v>
      </c>
      <c r="V676" s="76">
        <f t="shared" ref="V676:V685" si="78">V706</f>
        <v>1235.3800000000001</v>
      </c>
      <c r="X676" s="76">
        <f t="shared" ref="X676:X682" si="79">V676*S676</f>
        <v>4076.7540000000004</v>
      </c>
      <c r="AE676" s="172" t="str">
        <f t="shared" si="77"/>
        <v>|</v>
      </c>
      <c r="AG676" s="154" t="s">
        <v>1158</v>
      </c>
    </row>
    <row r="677" spans="1:33" ht="24" customHeight="1">
      <c r="A677" s="175">
        <f t="shared" si="69"/>
        <v>475</v>
      </c>
      <c r="B677" s="176" t="s">
        <v>1424</v>
      </c>
      <c r="C677" s="172">
        <v>18.399999999999999</v>
      </c>
      <c r="D677" s="172">
        <v>31</v>
      </c>
      <c r="E677" s="76">
        <v>3</v>
      </c>
      <c r="H677" s="154" t="s">
        <v>1425</v>
      </c>
      <c r="O677" s="162" t="s">
        <v>534</v>
      </c>
      <c r="S677" s="159">
        <v>4.79</v>
      </c>
      <c r="T677" s="76" t="s">
        <v>421</v>
      </c>
      <c r="U677" s="76" t="s">
        <v>1426</v>
      </c>
      <c r="V677" s="76">
        <f t="shared" si="78"/>
        <v>1514.4</v>
      </c>
      <c r="X677" s="76">
        <f t="shared" si="79"/>
        <v>7253.9760000000006</v>
      </c>
      <c r="AE677" s="172" t="str">
        <f t="shared" si="77"/>
        <v>|</v>
      </c>
      <c r="AG677" s="154" t="s">
        <v>1158</v>
      </c>
    </row>
    <row r="678" spans="1:33" ht="24" customHeight="1">
      <c r="A678" s="175">
        <f t="shared" si="69"/>
        <v>476</v>
      </c>
      <c r="B678" s="176" t="s">
        <v>1427</v>
      </c>
      <c r="C678" s="177">
        <v>80</v>
      </c>
      <c r="D678" s="176" t="s">
        <v>576</v>
      </c>
      <c r="H678" s="154" t="s">
        <v>1428</v>
      </c>
      <c r="M678" s="167">
        <v>1</v>
      </c>
      <c r="N678" s="154" t="s">
        <v>576</v>
      </c>
      <c r="O678" s="154" t="s">
        <v>1429</v>
      </c>
      <c r="P678" s="167">
        <f>(C383)</f>
        <v>14.91</v>
      </c>
      <c r="Q678" s="154" t="s">
        <v>576</v>
      </c>
      <c r="R678" s="167">
        <f>(M678*P678)</f>
        <v>14.91</v>
      </c>
      <c r="S678" s="159">
        <v>4</v>
      </c>
      <c r="T678" s="76" t="s">
        <v>47</v>
      </c>
      <c r="U678" s="76" t="s">
        <v>1430</v>
      </c>
      <c r="V678" s="76">
        <f t="shared" si="78"/>
        <v>5750</v>
      </c>
      <c r="X678" s="76">
        <f t="shared" si="79"/>
        <v>23000</v>
      </c>
      <c r="AE678" s="172" t="str">
        <f t="shared" si="77"/>
        <v>|</v>
      </c>
      <c r="AG678" s="154" t="s">
        <v>1158</v>
      </c>
    </row>
    <row r="679" spans="1:33" ht="24" customHeight="1">
      <c r="A679" s="175">
        <f t="shared" si="69"/>
        <v>477</v>
      </c>
      <c r="B679" s="176" t="s">
        <v>1431</v>
      </c>
      <c r="C679" s="177">
        <v>64</v>
      </c>
      <c r="D679" s="176" t="s">
        <v>576</v>
      </c>
      <c r="H679" s="162" t="s">
        <v>534</v>
      </c>
      <c r="I679" s="162" t="s">
        <v>534</v>
      </c>
      <c r="N679" s="154" t="s">
        <v>589</v>
      </c>
      <c r="O679" s="154" t="s">
        <v>1432</v>
      </c>
      <c r="Q679" s="154" t="s">
        <v>589</v>
      </c>
      <c r="R679" s="167">
        <v>2.09</v>
      </c>
      <c r="S679" s="159">
        <v>40</v>
      </c>
      <c r="T679" s="76" t="s">
        <v>420</v>
      </c>
      <c r="U679" s="76" t="s">
        <v>1433</v>
      </c>
      <c r="V679" s="76">
        <f>V648</f>
        <v>42</v>
      </c>
      <c r="X679" s="76">
        <f t="shared" si="79"/>
        <v>1680</v>
      </c>
      <c r="AE679" s="172" t="str">
        <f t="shared" si="77"/>
        <v>|</v>
      </c>
      <c r="AG679" s="154" t="s">
        <v>1158</v>
      </c>
    </row>
    <row r="680" spans="1:33" ht="24" customHeight="1">
      <c r="A680" s="175">
        <f t="shared" si="69"/>
        <v>478</v>
      </c>
      <c r="B680" s="176" t="s">
        <v>1434</v>
      </c>
      <c r="C680" s="177">
        <v>40.5</v>
      </c>
      <c r="D680" s="176" t="s">
        <v>576</v>
      </c>
      <c r="F680" s="167">
        <v>1</v>
      </c>
      <c r="G680" s="165" t="s">
        <v>916</v>
      </c>
      <c r="H680" s="154" t="s">
        <v>1435</v>
      </c>
      <c r="I680" s="167">
        <f>D76</f>
        <v>290</v>
      </c>
      <c r="J680" s="154" t="s">
        <v>916</v>
      </c>
      <c r="K680" s="167">
        <f>(F680*I680)</f>
        <v>290</v>
      </c>
      <c r="O680" s="154" t="s">
        <v>1436</v>
      </c>
      <c r="R680" s="154" t="s">
        <v>22</v>
      </c>
      <c r="S680" s="159">
        <v>3.5</v>
      </c>
      <c r="T680" s="76" t="s">
        <v>3</v>
      </c>
      <c r="U680" s="76" t="s">
        <v>1437</v>
      </c>
      <c r="V680" s="76">
        <f t="shared" si="78"/>
        <v>669.90000000000009</v>
      </c>
      <c r="X680" s="76">
        <f>V680*S680</f>
        <v>2344.6500000000005</v>
      </c>
      <c r="AE680" s="172" t="str">
        <f t="shared" si="77"/>
        <v>|</v>
      </c>
      <c r="AG680" s="154" t="s">
        <v>1158</v>
      </c>
    </row>
    <row r="681" spans="1:33" ht="24" customHeight="1">
      <c r="A681" s="175">
        <f t="shared" si="69"/>
        <v>479</v>
      </c>
      <c r="B681" s="176" t="s">
        <v>1438</v>
      </c>
      <c r="C681" s="177">
        <v>92</v>
      </c>
      <c r="D681" s="176" t="s">
        <v>576</v>
      </c>
      <c r="F681" s="167">
        <v>1</v>
      </c>
      <c r="G681" s="165" t="s">
        <v>916</v>
      </c>
      <c r="H681" s="154" t="s">
        <v>1439</v>
      </c>
      <c r="I681" s="167">
        <f>C75</f>
        <v>175</v>
      </c>
      <c r="J681" s="154" t="s">
        <v>916</v>
      </c>
      <c r="K681" s="167">
        <f>(F681*I681)</f>
        <v>175</v>
      </c>
      <c r="R681" s="162" t="s">
        <v>534</v>
      </c>
      <c r="S681" s="159">
        <v>21.2</v>
      </c>
      <c r="T681" s="76" t="s">
        <v>3</v>
      </c>
      <c r="U681" s="76" t="s">
        <v>1440</v>
      </c>
      <c r="V681" s="76">
        <f t="shared" si="78"/>
        <v>468.6</v>
      </c>
      <c r="X681" s="76">
        <f t="shared" si="79"/>
        <v>9934.32</v>
      </c>
      <c r="AE681" s="172">
        <f>32.32*100</f>
        <v>3232</v>
      </c>
      <c r="AG681" s="154" t="s">
        <v>1158</v>
      </c>
    </row>
    <row r="682" spans="1:33" ht="24" customHeight="1">
      <c r="A682" s="175">
        <f t="shared" si="69"/>
        <v>480</v>
      </c>
      <c r="B682" s="176" t="s">
        <v>1441</v>
      </c>
      <c r="C682" s="177">
        <v>60</v>
      </c>
      <c r="D682" s="176" t="s">
        <v>576</v>
      </c>
      <c r="F682" s="167">
        <v>1</v>
      </c>
      <c r="G682" s="165" t="s">
        <v>589</v>
      </c>
      <c r="H682" s="154" t="s">
        <v>1442</v>
      </c>
      <c r="I682" s="230">
        <v>15</v>
      </c>
      <c r="J682" s="154" t="s">
        <v>589</v>
      </c>
      <c r="K682" s="167">
        <f>(F682*I682)</f>
        <v>15</v>
      </c>
      <c r="O682" s="154" t="s">
        <v>1443</v>
      </c>
      <c r="R682" s="167">
        <f>SUM(R678:R680)</f>
        <v>17</v>
      </c>
      <c r="S682" s="159">
        <v>35.299999999999997</v>
      </c>
      <c r="T682" s="76" t="s">
        <v>3</v>
      </c>
      <c r="U682" s="76" t="s">
        <v>1444</v>
      </c>
      <c r="V682" s="76">
        <f>V712</f>
        <v>404.8</v>
      </c>
      <c r="X682" s="76">
        <f t="shared" si="79"/>
        <v>14289.439999999999</v>
      </c>
      <c r="AE682" s="172">
        <f>48.824*100</f>
        <v>4882.3999999999996</v>
      </c>
      <c r="AG682" s="154" t="s">
        <v>1158</v>
      </c>
    </row>
    <row r="683" spans="1:33" ht="24" customHeight="1">
      <c r="A683" s="175">
        <f t="shared" si="69"/>
        <v>481</v>
      </c>
      <c r="B683" s="176" t="s">
        <v>1445</v>
      </c>
      <c r="C683" s="177">
        <v>49.87</v>
      </c>
      <c r="D683" s="176" t="s">
        <v>576</v>
      </c>
      <c r="K683" s="162" t="s">
        <v>534</v>
      </c>
      <c r="R683" s="162" t="s">
        <v>534</v>
      </c>
      <c r="U683" s="199" t="s">
        <v>1446</v>
      </c>
      <c r="X683" s="199">
        <f>SUM(X675:X682)</f>
        <v>70083.540000000008</v>
      </c>
      <c r="AA683" s="159">
        <f>22.77+26.054</f>
        <v>48.823999999999998</v>
      </c>
      <c r="AE683" s="172">
        <f>0.52*100</f>
        <v>52</v>
      </c>
      <c r="AG683" s="154" t="s">
        <v>1158</v>
      </c>
    </row>
    <row r="684" spans="1:33" ht="24" customHeight="1">
      <c r="A684" s="175">
        <f t="shared" si="69"/>
        <v>482</v>
      </c>
      <c r="B684" s="176" t="s">
        <v>1447</v>
      </c>
      <c r="C684" s="177">
        <v>80</v>
      </c>
      <c r="D684" s="176" t="s">
        <v>576</v>
      </c>
      <c r="H684" s="154" t="s">
        <v>881</v>
      </c>
      <c r="K684" s="167">
        <f>SUM(K678:K682)</f>
        <v>480</v>
      </c>
      <c r="U684" s="199" t="s">
        <v>1448</v>
      </c>
      <c r="X684" s="199">
        <f>X683/10</f>
        <v>7008.3540000000012</v>
      </c>
      <c r="Y684" s="76">
        <f>X684</f>
        <v>7008.3540000000012</v>
      </c>
      <c r="AC684" s="76">
        <f>26.19*0.02</f>
        <v>0.52380000000000004</v>
      </c>
      <c r="AE684" s="172">
        <f>0.397*100</f>
        <v>39.700000000000003</v>
      </c>
      <c r="AF684" s="76">
        <f>AE681+AE682+AE683+AE684</f>
        <v>8206.1</v>
      </c>
      <c r="AG684" s="154" t="s">
        <v>1158</v>
      </c>
    </row>
    <row r="685" spans="1:33" ht="24" customHeight="1">
      <c r="A685" s="175">
        <f t="shared" si="69"/>
        <v>483</v>
      </c>
      <c r="B685" s="176" t="s">
        <v>1449</v>
      </c>
      <c r="C685" s="177">
        <v>52</v>
      </c>
      <c r="D685" s="176" t="s">
        <v>576</v>
      </c>
      <c r="H685" s="154" t="s">
        <v>1450</v>
      </c>
      <c r="K685" s="162" t="s">
        <v>528</v>
      </c>
      <c r="N685" s="154" t="s">
        <v>307</v>
      </c>
      <c r="O685" s="154" t="s">
        <v>1451</v>
      </c>
      <c r="S685" s="159">
        <v>1</v>
      </c>
      <c r="T685" s="76" t="s">
        <v>421</v>
      </c>
      <c r="U685" s="76" t="s">
        <v>1452</v>
      </c>
      <c r="V685" s="76">
        <f t="shared" si="78"/>
        <v>67.650000000000006</v>
      </c>
      <c r="X685" s="76">
        <f>V685</f>
        <v>67.650000000000006</v>
      </c>
      <c r="AC685" s="159">
        <f>9.92*0.04</f>
        <v>0.39679999999999999</v>
      </c>
      <c r="AE685" s="172" t="str">
        <f t="shared" ref="AE685:AE748" si="80">AG685</f>
        <v>|</v>
      </c>
      <c r="AG685" s="154" t="s">
        <v>1158</v>
      </c>
    </row>
    <row r="686" spans="1:33" ht="24" customHeight="1">
      <c r="A686" s="175">
        <f t="shared" si="69"/>
        <v>484</v>
      </c>
      <c r="B686" s="176" t="s">
        <v>1453</v>
      </c>
      <c r="C686" s="177">
        <v>39</v>
      </c>
      <c r="D686" s="176" t="s">
        <v>576</v>
      </c>
      <c r="H686" s="154" t="s">
        <v>789</v>
      </c>
      <c r="I686" s="76">
        <f>K684</f>
        <v>480</v>
      </c>
      <c r="J686" s="158">
        <f>C19*0.05</f>
        <v>2.8325</v>
      </c>
      <c r="K686" s="166">
        <f>I686+J686</f>
        <v>482.83249999999998</v>
      </c>
      <c r="O686" s="154" t="s">
        <v>1422</v>
      </c>
      <c r="U686" s="76" t="s">
        <v>1454</v>
      </c>
      <c r="X686" s="199">
        <f>SUM(X684:X685)</f>
        <v>7076.0040000000008</v>
      </c>
      <c r="Y686" s="76">
        <f>SUM(Y684:Y685)</f>
        <v>7008.3540000000012</v>
      </c>
      <c r="AE686" s="172" t="str">
        <f t="shared" si="80"/>
        <v>|</v>
      </c>
      <c r="AF686" s="76">
        <f>SUM(AF684:AF685)</f>
        <v>8206.1</v>
      </c>
      <c r="AG686" s="154" t="s">
        <v>1158</v>
      </c>
    </row>
    <row r="687" spans="1:33" ht="24" customHeight="1">
      <c r="A687" s="175">
        <f t="shared" si="69"/>
        <v>485</v>
      </c>
      <c r="B687" s="176" t="s">
        <v>1455</v>
      </c>
      <c r="C687" s="177">
        <v>90</v>
      </c>
      <c r="D687" s="176" t="s">
        <v>576</v>
      </c>
      <c r="H687" s="154" t="s">
        <v>793</v>
      </c>
      <c r="I687" s="76">
        <f>K686</f>
        <v>482.83249999999998</v>
      </c>
      <c r="J687" s="158">
        <f>C20*0.05</f>
        <v>5.7089999999999996</v>
      </c>
      <c r="K687" s="166">
        <f>I687+J687</f>
        <v>488.54149999999998</v>
      </c>
      <c r="O687" s="162" t="s">
        <v>534</v>
      </c>
      <c r="S687" s="269" t="s">
        <v>519</v>
      </c>
      <c r="U687" s="76" t="s">
        <v>1456</v>
      </c>
      <c r="V687" s="269" t="s">
        <v>519</v>
      </c>
      <c r="X687" s="76">
        <f>X686*0.5%</f>
        <v>35.380020000000002</v>
      </c>
      <c r="Y687" s="76">
        <f>Y686*0.5/100</f>
        <v>35.041770000000007</v>
      </c>
      <c r="AE687" s="172" t="str">
        <f t="shared" si="80"/>
        <v>|</v>
      </c>
      <c r="AF687" s="76">
        <f>AF686/185.82</f>
        <v>44.16155419222904</v>
      </c>
      <c r="AG687" s="154" t="s">
        <v>1158</v>
      </c>
    </row>
    <row r="688" spans="1:33" ht="30.75" customHeight="1">
      <c r="A688" s="175">
        <f t="shared" si="69"/>
        <v>486</v>
      </c>
      <c r="B688" s="176" t="s">
        <v>1457</v>
      </c>
      <c r="C688" s="177">
        <v>60</v>
      </c>
      <c r="D688" s="176" t="s">
        <v>576</v>
      </c>
      <c r="H688" s="154" t="s">
        <v>796</v>
      </c>
      <c r="I688" s="76">
        <f>K687</f>
        <v>488.54149999999998</v>
      </c>
      <c r="J688" s="158">
        <f>J687</f>
        <v>5.7089999999999996</v>
      </c>
      <c r="K688" s="166">
        <f>I688+J688</f>
        <v>494.25049999999999</v>
      </c>
      <c r="M688" s="167">
        <v>1</v>
      </c>
      <c r="N688" s="154" t="s">
        <v>576</v>
      </c>
      <c r="O688" s="154" t="s">
        <v>1458</v>
      </c>
      <c r="P688" s="167">
        <f>(C384)</f>
        <v>17.579999999999998</v>
      </c>
      <c r="Q688" s="154" t="s">
        <v>576</v>
      </c>
      <c r="R688" s="167">
        <f>(M688*P688)</f>
        <v>17.579999999999998</v>
      </c>
      <c r="T688" s="156"/>
      <c r="U688" s="199" t="s">
        <v>1395</v>
      </c>
      <c r="W688" s="158"/>
      <c r="X688" s="166">
        <f>SUM(X686:X687)</f>
        <v>7111.3840200000004</v>
      </c>
      <c r="Y688" s="199">
        <f>SUM(Y686:Y687)</f>
        <v>7043.395770000001</v>
      </c>
      <c r="Z688" s="270" t="s">
        <v>1459</v>
      </c>
      <c r="AE688" s="172" t="str">
        <f t="shared" si="80"/>
        <v>|</v>
      </c>
      <c r="AF688" s="76">
        <f>AF686/1000</f>
        <v>8.2061000000000011</v>
      </c>
      <c r="AG688" s="154" t="s">
        <v>1158</v>
      </c>
    </row>
    <row r="689" spans="1:33" ht="17.25" customHeight="1">
      <c r="A689" s="175">
        <f t="shared" si="69"/>
        <v>487</v>
      </c>
      <c r="B689" s="176" t="s">
        <v>1460</v>
      </c>
      <c r="C689" s="177">
        <v>43.5</v>
      </c>
      <c r="D689" s="176" t="s">
        <v>576</v>
      </c>
      <c r="H689" s="154" t="s">
        <v>798</v>
      </c>
      <c r="I689" s="76">
        <f>K688</f>
        <v>494.25049999999999</v>
      </c>
      <c r="J689" s="158">
        <f>J688</f>
        <v>5.7089999999999996</v>
      </c>
      <c r="K689" s="166">
        <f>I689+J689</f>
        <v>499.95949999999999</v>
      </c>
      <c r="N689" s="154" t="s">
        <v>589</v>
      </c>
      <c r="O689" s="154" t="s">
        <v>1432</v>
      </c>
      <c r="Q689" s="154" t="s">
        <v>589</v>
      </c>
      <c r="R689" s="167">
        <v>2.09</v>
      </c>
      <c r="T689" s="156"/>
      <c r="W689" s="158"/>
      <c r="X689" s="162" t="s">
        <v>534</v>
      </c>
      <c r="AE689" s="172" t="str">
        <f t="shared" si="80"/>
        <v>|</v>
      </c>
      <c r="AF689" s="76">
        <f>185.82*10.764</f>
        <v>2000.1664799999999</v>
      </c>
      <c r="AG689" s="154" t="s">
        <v>1158</v>
      </c>
    </row>
    <row r="690" spans="1:33" ht="24" customHeight="1">
      <c r="A690" s="175">
        <f t="shared" si="69"/>
        <v>488</v>
      </c>
      <c r="B690" s="176" t="s">
        <v>1461</v>
      </c>
      <c r="C690" s="177">
        <v>75</v>
      </c>
      <c r="D690" s="176" t="s">
        <v>576</v>
      </c>
      <c r="H690" s="154" t="s">
        <v>1180</v>
      </c>
      <c r="I690" s="76">
        <f>K689</f>
        <v>499.95949999999999</v>
      </c>
      <c r="J690" s="158">
        <f>J689</f>
        <v>5.7089999999999996</v>
      </c>
      <c r="K690" s="166">
        <f>I690+J690</f>
        <v>505.66849999999999</v>
      </c>
      <c r="O690" s="154" t="s">
        <v>1436</v>
      </c>
      <c r="R690" s="154" t="s">
        <v>22</v>
      </c>
      <c r="T690" s="156"/>
      <c r="U690" s="154" t="s">
        <v>789</v>
      </c>
      <c r="W690" s="158"/>
      <c r="X690" s="166">
        <f>(X688+C22)</f>
        <v>7197.4040200000009</v>
      </c>
      <c r="AE690" s="172" t="str">
        <f t="shared" si="80"/>
        <v>|</v>
      </c>
      <c r="AF690" s="76">
        <f>AF686/AF689</f>
        <v>4.1027084905452478</v>
      </c>
      <c r="AG690" s="154" t="s">
        <v>1158</v>
      </c>
    </row>
    <row r="691" spans="1:33" ht="24" customHeight="1">
      <c r="A691" s="175">
        <f t="shared" si="69"/>
        <v>489</v>
      </c>
      <c r="B691" s="176" t="s">
        <v>1462</v>
      </c>
      <c r="C691" s="177">
        <v>52</v>
      </c>
      <c r="D691" s="176" t="s">
        <v>576</v>
      </c>
      <c r="F691" s="155" t="s">
        <v>1463</v>
      </c>
      <c r="H691" s="154" t="s">
        <v>1410</v>
      </c>
      <c r="R691" s="162" t="s">
        <v>534</v>
      </c>
      <c r="T691" s="156"/>
      <c r="U691" s="154" t="s">
        <v>793</v>
      </c>
      <c r="W691" s="158"/>
      <c r="X691" s="166">
        <f>(X690+C24)</f>
        <v>7366.8040200000005</v>
      </c>
      <c r="AE691" s="172" t="str">
        <f t="shared" si="80"/>
        <v>|</v>
      </c>
      <c r="AF691" s="76">
        <f>924.2/8.21</f>
        <v>112.5700365408039</v>
      </c>
      <c r="AG691" s="154" t="s">
        <v>1158</v>
      </c>
    </row>
    <row r="692" spans="1:33" ht="24" customHeight="1">
      <c r="A692" s="175">
        <f t="shared" si="69"/>
        <v>490</v>
      </c>
      <c r="B692" s="176" t="s">
        <v>1453</v>
      </c>
      <c r="C692" s="177">
        <v>35.25</v>
      </c>
      <c r="D692" s="176" t="s">
        <v>576</v>
      </c>
      <c r="H692" s="154" t="s">
        <v>1464</v>
      </c>
      <c r="O692" s="154" t="s">
        <v>1443</v>
      </c>
      <c r="R692" s="167">
        <f>SUM(R688:R690)</f>
        <v>19.669999999999998</v>
      </c>
      <c r="T692" s="156"/>
      <c r="U692" s="154" t="s">
        <v>796</v>
      </c>
      <c r="W692" s="158"/>
      <c r="X692" s="166">
        <f>(X691+C24)</f>
        <v>7536.2040200000001</v>
      </c>
      <c r="AE692" s="172" t="str">
        <f t="shared" si="80"/>
        <v>|</v>
      </c>
      <c r="AG692" s="154" t="s">
        <v>1158</v>
      </c>
    </row>
    <row r="693" spans="1:33" ht="24" customHeight="1">
      <c r="A693" s="175">
        <f t="shared" si="69"/>
        <v>491</v>
      </c>
      <c r="B693" s="176" t="s">
        <v>1465</v>
      </c>
      <c r="C693" s="177">
        <v>37.5</v>
      </c>
      <c r="D693" s="176" t="s">
        <v>576</v>
      </c>
      <c r="H693" s="154" t="s">
        <v>1414</v>
      </c>
      <c r="R693" s="162" t="s">
        <v>534</v>
      </c>
      <c r="T693" s="156"/>
      <c r="U693" s="154" t="s">
        <v>798</v>
      </c>
      <c r="W693" s="158"/>
      <c r="X693" s="166">
        <f>(X692+C24)</f>
        <v>7705.6040199999998</v>
      </c>
      <c r="AE693" s="172" t="str">
        <f t="shared" si="80"/>
        <v>|</v>
      </c>
      <c r="AG693" s="154" t="s">
        <v>1158</v>
      </c>
    </row>
    <row r="694" spans="1:33" ht="24" customHeight="1">
      <c r="A694" s="175">
        <f t="shared" si="69"/>
        <v>492</v>
      </c>
      <c r="B694" s="176" t="s">
        <v>1466</v>
      </c>
      <c r="C694" s="177">
        <v>24</v>
      </c>
      <c r="D694" s="176" t="s">
        <v>576</v>
      </c>
      <c r="H694" s="154" t="s">
        <v>1417</v>
      </c>
      <c r="O694" s="76" t="s">
        <v>535</v>
      </c>
      <c r="T694" s="156"/>
      <c r="U694" s="154" t="s">
        <v>885</v>
      </c>
      <c r="W694" s="158"/>
      <c r="X694" s="166">
        <f>(X693+C24)</f>
        <v>7875.0040199999994</v>
      </c>
      <c r="AE694" s="172" t="str">
        <f t="shared" si="80"/>
        <v>|</v>
      </c>
      <c r="AG694" s="154" t="s">
        <v>1158</v>
      </c>
    </row>
    <row r="695" spans="1:33" ht="24" customHeight="1">
      <c r="A695" s="175">
        <f t="shared" si="69"/>
        <v>493</v>
      </c>
      <c r="B695" s="176" t="s">
        <v>1467</v>
      </c>
      <c r="C695" s="177">
        <v>16</v>
      </c>
      <c r="D695" s="176" t="s">
        <v>576</v>
      </c>
      <c r="H695" s="154" t="s">
        <v>1421</v>
      </c>
      <c r="N695" s="154" t="s">
        <v>307</v>
      </c>
      <c r="O695" s="154" t="s">
        <v>1468</v>
      </c>
      <c r="AE695" s="172" t="str">
        <f t="shared" si="80"/>
        <v>|</v>
      </c>
      <c r="AG695" s="154" t="s">
        <v>1158</v>
      </c>
    </row>
    <row r="696" spans="1:33" ht="24" customHeight="1">
      <c r="A696" s="175">
        <f t="shared" si="69"/>
        <v>494</v>
      </c>
      <c r="B696" s="154" t="s">
        <v>1469</v>
      </c>
      <c r="C696" s="172">
        <v>31.2</v>
      </c>
      <c r="D696" s="176" t="s">
        <v>576</v>
      </c>
      <c r="H696" s="154" t="s">
        <v>1425</v>
      </c>
      <c r="O696" s="154" t="s">
        <v>1422</v>
      </c>
      <c r="AE696" s="172" t="str">
        <f t="shared" si="80"/>
        <v>|</v>
      </c>
      <c r="AG696" s="154" t="s">
        <v>1158</v>
      </c>
    </row>
    <row r="697" spans="1:33" ht="24" customHeight="1">
      <c r="A697" s="175">
        <f t="shared" si="69"/>
        <v>495</v>
      </c>
      <c r="B697" s="176" t="s">
        <v>1470</v>
      </c>
      <c r="C697" s="177">
        <v>6</v>
      </c>
      <c r="D697" s="176" t="s">
        <v>576</v>
      </c>
      <c r="H697" s="154" t="s">
        <v>1471</v>
      </c>
      <c r="O697" s="162" t="s">
        <v>534</v>
      </c>
      <c r="AE697" s="172" t="str">
        <f t="shared" si="80"/>
        <v>|</v>
      </c>
      <c r="AG697" s="154" t="s">
        <v>1158</v>
      </c>
    </row>
    <row r="698" spans="1:33" ht="24" customHeight="1">
      <c r="A698" s="175">
        <f t="shared" si="69"/>
        <v>496</v>
      </c>
      <c r="B698" s="176" t="s">
        <v>1472</v>
      </c>
      <c r="C698" s="177">
        <v>152.5</v>
      </c>
      <c r="D698" s="176" t="s">
        <v>410</v>
      </c>
      <c r="E698" s="231">
        <v>97.7</v>
      </c>
      <c r="F698" s="76" t="s">
        <v>1473</v>
      </c>
      <c r="H698" s="162" t="s">
        <v>534</v>
      </c>
      <c r="I698" s="162" t="s">
        <v>534</v>
      </c>
      <c r="M698" s="167">
        <v>1</v>
      </c>
      <c r="N698" s="154" t="s">
        <v>576</v>
      </c>
      <c r="O698" s="154" t="s">
        <v>1474</v>
      </c>
      <c r="P698" s="167">
        <f>(C385)</f>
        <v>19.3</v>
      </c>
      <c r="Q698" s="154" t="s">
        <v>576</v>
      </c>
      <c r="R698" s="167">
        <f>(M698*P698)</f>
        <v>19.3</v>
      </c>
      <c r="AE698" s="172" t="str">
        <f t="shared" si="80"/>
        <v>|</v>
      </c>
      <c r="AG698" s="154" t="s">
        <v>1158</v>
      </c>
    </row>
    <row r="699" spans="1:33" ht="24" customHeight="1">
      <c r="A699" s="175">
        <f t="shared" si="69"/>
        <v>497</v>
      </c>
      <c r="B699" s="176" t="s">
        <v>1475</v>
      </c>
      <c r="C699" s="177">
        <v>108.68</v>
      </c>
      <c r="D699" s="176" t="s">
        <v>576</v>
      </c>
      <c r="F699" s="167">
        <v>1</v>
      </c>
      <c r="G699" s="165" t="s">
        <v>916</v>
      </c>
      <c r="H699" s="154" t="s">
        <v>1476</v>
      </c>
      <c r="I699" s="167">
        <f>C76</f>
        <v>460</v>
      </c>
      <c r="J699" s="154" t="s">
        <v>916</v>
      </c>
      <c r="K699" s="167">
        <f>(F699*I699)</f>
        <v>460</v>
      </c>
      <c r="N699" s="154" t="s">
        <v>589</v>
      </c>
      <c r="O699" s="154" t="s">
        <v>1432</v>
      </c>
      <c r="Q699" s="154" t="s">
        <v>589</v>
      </c>
      <c r="R699" s="167">
        <v>2.09</v>
      </c>
      <c r="AE699" s="172" t="str">
        <f t="shared" si="80"/>
        <v>|</v>
      </c>
      <c r="AG699" s="154" t="s">
        <v>1158</v>
      </c>
    </row>
    <row r="700" spans="1:33" ht="24" customHeight="1">
      <c r="A700" s="175">
        <f t="shared" si="69"/>
        <v>498</v>
      </c>
      <c r="B700" s="176" t="s">
        <v>1477</v>
      </c>
      <c r="C700" s="177">
        <v>119.89</v>
      </c>
      <c r="D700" s="176" t="s">
        <v>576</v>
      </c>
      <c r="F700" s="167">
        <v>1</v>
      </c>
      <c r="G700" s="165" t="s">
        <v>916</v>
      </c>
      <c r="H700" s="154" t="s">
        <v>1439</v>
      </c>
      <c r="I700" s="167">
        <f>C75</f>
        <v>175</v>
      </c>
      <c r="J700" s="154" t="s">
        <v>916</v>
      </c>
      <c r="K700" s="167">
        <f>(F700*I700)</f>
        <v>175</v>
      </c>
      <c r="O700" s="154" t="s">
        <v>1436</v>
      </c>
      <c r="R700" s="154" t="s">
        <v>22</v>
      </c>
      <c r="AE700" s="172" t="str">
        <f t="shared" si="80"/>
        <v>|</v>
      </c>
      <c r="AG700" s="154" t="s">
        <v>1158</v>
      </c>
    </row>
    <row r="701" spans="1:33" ht="24" customHeight="1">
      <c r="A701" s="175">
        <f t="shared" si="69"/>
        <v>499</v>
      </c>
      <c r="B701" s="176" t="s">
        <v>1478</v>
      </c>
      <c r="C701" s="177">
        <v>297.44</v>
      </c>
      <c r="D701" s="176" t="s">
        <v>576</v>
      </c>
      <c r="F701" s="167">
        <v>1</v>
      </c>
      <c r="G701" s="165" t="s">
        <v>589</v>
      </c>
      <c r="H701" s="154" t="s">
        <v>1442</v>
      </c>
      <c r="I701" s="230">
        <v>15</v>
      </c>
      <c r="J701" s="154" t="s">
        <v>589</v>
      </c>
      <c r="K701" s="167">
        <f>(F701*I701)</f>
        <v>15</v>
      </c>
      <c r="R701" s="162" t="s">
        <v>534</v>
      </c>
      <c r="AE701" s="172" t="str">
        <f t="shared" si="80"/>
        <v>|</v>
      </c>
      <c r="AG701" s="154" t="s">
        <v>1158</v>
      </c>
    </row>
    <row r="702" spans="1:33" ht="24" customHeight="1">
      <c r="A702" s="175">
        <f t="shared" si="69"/>
        <v>500</v>
      </c>
      <c r="B702" s="176" t="s">
        <v>1479</v>
      </c>
      <c r="C702" s="177">
        <v>28.6</v>
      </c>
      <c r="D702" s="176" t="s">
        <v>576</v>
      </c>
      <c r="H702" s="154" t="s">
        <v>590</v>
      </c>
      <c r="J702" s="154" t="s">
        <v>589</v>
      </c>
      <c r="K702" s="167">
        <v>0</v>
      </c>
      <c r="O702" s="154" t="s">
        <v>1443</v>
      </c>
      <c r="R702" s="167">
        <f>SUM(R698:R700)</f>
        <v>21.39</v>
      </c>
      <c r="AE702" s="172" t="str">
        <f t="shared" si="80"/>
        <v>|</v>
      </c>
      <c r="AG702" s="154" t="s">
        <v>1158</v>
      </c>
    </row>
    <row r="703" spans="1:33" ht="24" customHeight="1">
      <c r="A703" s="175">
        <f t="shared" ref="A703" si="81">(A702+1)</f>
        <v>501</v>
      </c>
      <c r="B703" s="176" t="s">
        <v>1480</v>
      </c>
      <c r="C703" s="177">
        <v>228.86</v>
      </c>
      <c r="D703" s="176" t="s">
        <v>576</v>
      </c>
      <c r="K703" s="162" t="s">
        <v>534</v>
      </c>
      <c r="R703" s="162" t="s">
        <v>534</v>
      </c>
      <c r="AE703" s="172" t="str">
        <f t="shared" si="80"/>
        <v>|</v>
      </c>
      <c r="AG703" s="154" t="s">
        <v>1158</v>
      </c>
    </row>
    <row r="704" spans="1:33" ht="24" customHeight="1">
      <c r="A704" s="188"/>
      <c r="B704" s="188" t="s">
        <v>1481</v>
      </c>
      <c r="C704" s="231">
        <v>2800</v>
      </c>
      <c r="D704" s="188" t="s">
        <v>916</v>
      </c>
      <c r="H704" s="154" t="s">
        <v>881</v>
      </c>
      <c r="K704" s="167">
        <f>SUM(K699:K702)</f>
        <v>650</v>
      </c>
      <c r="U704" s="199" t="s">
        <v>390</v>
      </c>
      <c r="AE704" s="172" t="str">
        <f t="shared" si="80"/>
        <v>|</v>
      </c>
      <c r="AG704" s="154" t="s">
        <v>1158</v>
      </c>
    </row>
    <row r="705" spans="1:33" ht="24" customHeight="1">
      <c r="A705" s="175">
        <f>(A703+1)</f>
        <v>502</v>
      </c>
      <c r="B705" s="176" t="s">
        <v>1482</v>
      </c>
      <c r="C705" s="177">
        <v>70.47</v>
      </c>
      <c r="D705" s="176" t="s">
        <v>576</v>
      </c>
      <c r="H705" s="154" t="s">
        <v>1450</v>
      </c>
      <c r="K705" s="162" t="s">
        <v>528</v>
      </c>
      <c r="S705" s="159">
        <v>5</v>
      </c>
      <c r="T705" s="76" t="s">
        <v>421</v>
      </c>
      <c r="U705" s="76" t="s">
        <v>1419</v>
      </c>
      <c r="V705" s="76">
        <f>AC14</f>
        <v>1500.88</v>
      </c>
      <c r="X705" s="76">
        <f>V705*S705</f>
        <v>7504.4000000000005</v>
      </c>
      <c r="Z705" s="76">
        <f>X705</f>
        <v>7504.4000000000005</v>
      </c>
      <c r="AE705" s="172" t="str">
        <f t="shared" si="80"/>
        <v>|</v>
      </c>
      <c r="AG705" s="154" t="s">
        <v>1158</v>
      </c>
    </row>
    <row r="706" spans="1:33" ht="24" customHeight="1">
      <c r="A706" s="175">
        <f t="shared" ref="A706:A763" si="82">(A705+1)</f>
        <v>503</v>
      </c>
      <c r="B706" s="176" t="s">
        <v>1483</v>
      </c>
      <c r="C706" s="177">
        <v>133.62</v>
      </c>
      <c r="D706" s="176" t="s">
        <v>576</v>
      </c>
      <c r="H706" s="154" t="s">
        <v>789</v>
      </c>
      <c r="I706" s="76">
        <f>K704</f>
        <v>650</v>
      </c>
      <c r="J706" s="154">
        <f>C19*0.11</f>
        <v>6.2314999999999996</v>
      </c>
      <c r="K706" s="166">
        <f>I706+J706</f>
        <v>656.23149999999998</v>
      </c>
      <c r="N706" s="154" t="s">
        <v>307</v>
      </c>
      <c r="O706" s="154" t="s">
        <v>1484</v>
      </c>
      <c r="S706" s="159">
        <v>3.3</v>
      </c>
      <c r="T706" s="76" t="s">
        <v>421</v>
      </c>
      <c r="U706" s="76" t="s">
        <v>1423</v>
      </c>
      <c r="V706" s="76">
        <f>(AC12+AC13)/2</f>
        <v>1235.3800000000001</v>
      </c>
      <c r="X706" s="76">
        <f t="shared" ref="X706:X712" si="83">V706*S706</f>
        <v>4076.7540000000004</v>
      </c>
      <c r="Z706" s="76">
        <f t="shared" ref="Z706:Z714" si="84">X706</f>
        <v>4076.7540000000004</v>
      </c>
      <c r="AE706" s="172" t="str">
        <f t="shared" si="80"/>
        <v>|</v>
      </c>
      <c r="AG706" s="154" t="s">
        <v>1158</v>
      </c>
    </row>
    <row r="707" spans="1:33" ht="24" customHeight="1">
      <c r="A707" s="175">
        <f t="shared" si="82"/>
        <v>504</v>
      </c>
      <c r="B707" s="176" t="s">
        <v>1485</v>
      </c>
      <c r="C707" s="177">
        <v>133.62</v>
      </c>
      <c r="D707" s="176" t="s">
        <v>576</v>
      </c>
      <c r="H707" s="154" t="s">
        <v>793</v>
      </c>
      <c r="I707" s="76">
        <f>K706</f>
        <v>656.23149999999998</v>
      </c>
      <c r="J707" s="158">
        <f>C20*0.11</f>
        <v>12.559799999999999</v>
      </c>
      <c r="K707" s="166">
        <f>I707+J707</f>
        <v>668.79129999999998</v>
      </c>
      <c r="O707" s="154" t="s">
        <v>1486</v>
      </c>
      <c r="S707" s="159">
        <v>4.79</v>
      </c>
      <c r="T707" s="76" t="s">
        <v>421</v>
      </c>
      <c r="U707" s="76" t="s">
        <v>1426</v>
      </c>
      <c r="V707" s="76">
        <f>V644</f>
        <v>1514.4</v>
      </c>
      <c r="X707" s="76">
        <f t="shared" si="83"/>
        <v>7253.9760000000006</v>
      </c>
      <c r="Z707" s="76">
        <f t="shared" si="84"/>
        <v>7253.9760000000006</v>
      </c>
      <c r="AE707" s="172" t="str">
        <f t="shared" si="80"/>
        <v>|</v>
      </c>
      <c r="AG707" s="154" t="s">
        <v>1158</v>
      </c>
    </row>
    <row r="708" spans="1:33" ht="24" customHeight="1">
      <c r="A708" s="175">
        <f t="shared" si="82"/>
        <v>505</v>
      </c>
      <c r="B708" s="176" t="s">
        <v>1487</v>
      </c>
      <c r="C708" s="177">
        <v>215</v>
      </c>
      <c r="D708" s="176" t="s">
        <v>576</v>
      </c>
      <c r="H708" s="154" t="s">
        <v>796</v>
      </c>
      <c r="I708" s="76">
        <f>K707</f>
        <v>668.79129999999998</v>
      </c>
      <c r="J708" s="158">
        <f>J707</f>
        <v>12.559799999999999</v>
      </c>
      <c r="K708" s="166">
        <f>I708+J708</f>
        <v>681.35109999999997</v>
      </c>
      <c r="O708" s="162" t="s">
        <v>534</v>
      </c>
      <c r="S708" s="159">
        <v>3.25</v>
      </c>
      <c r="T708" s="76" t="s">
        <v>47</v>
      </c>
      <c r="U708" s="76" t="s">
        <v>1430</v>
      </c>
      <c r="V708" s="76">
        <f>V643</f>
        <v>5750</v>
      </c>
      <c r="X708" s="76">
        <f t="shared" si="83"/>
        <v>18687.5</v>
      </c>
      <c r="Z708" s="76">
        <f t="shared" si="84"/>
        <v>18687.5</v>
      </c>
      <c r="AE708" s="172" t="str">
        <f t="shared" si="80"/>
        <v>|</v>
      </c>
      <c r="AG708" s="154" t="s">
        <v>1158</v>
      </c>
    </row>
    <row r="709" spans="1:33" ht="30.75" customHeight="1">
      <c r="A709" s="175">
        <f t="shared" si="82"/>
        <v>506</v>
      </c>
      <c r="B709" s="176" t="s">
        <v>1488</v>
      </c>
      <c r="C709" s="177">
        <v>215</v>
      </c>
      <c r="D709" s="176" t="s">
        <v>576</v>
      </c>
      <c r="H709" s="154" t="s">
        <v>798</v>
      </c>
      <c r="I709" s="76">
        <f>K708</f>
        <v>681.35109999999997</v>
      </c>
      <c r="J709" s="158">
        <f>J708</f>
        <v>12.559799999999999</v>
      </c>
      <c r="K709" s="166">
        <f>I709+J709</f>
        <v>693.91089999999997</v>
      </c>
      <c r="M709" s="167">
        <v>1</v>
      </c>
      <c r="N709" s="154" t="s">
        <v>576</v>
      </c>
      <c r="O709" s="154" t="s">
        <v>1489</v>
      </c>
      <c r="P709" s="167">
        <f>(C393/1*0.3)</f>
        <v>38.04</v>
      </c>
      <c r="Q709" s="154" t="s">
        <v>576</v>
      </c>
      <c r="R709" s="167">
        <f>(M709*P709)</f>
        <v>38.04</v>
      </c>
      <c r="S709" s="159">
        <f>3250*0.6%</f>
        <v>19.5</v>
      </c>
      <c r="T709" s="76" t="s">
        <v>420</v>
      </c>
      <c r="U709" s="271" t="s">
        <v>1490</v>
      </c>
      <c r="V709" s="76">
        <f>V648</f>
        <v>42</v>
      </c>
      <c r="X709" s="76">
        <f t="shared" si="83"/>
        <v>819</v>
      </c>
      <c r="Z709" s="76">
        <f t="shared" si="84"/>
        <v>819</v>
      </c>
      <c r="AE709" s="172" t="str">
        <f t="shared" si="80"/>
        <v>|</v>
      </c>
      <c r="AG709" s="154" t="s">
        <v>1158</v>
      </c>
    </row>
    <row r="710" spans="1:33" ht="24" customHeight="1">
      <c r="A710" s="175">
        <f t="shared" si="82"/>
        <v>507</v>
      </c>
      <c r="B710" s="176" t="s">
        <v>1491</v>
      </c>
      <c r="C710" s="177">
        <v>107.64</v>
      </c>
      <c r="D710" s="176" t="s">
        <v>916</v>
      </c>
      <c r="H710" s="154" t="s">
        <v>1180</v>
      </c>
      <c r="I710" s="76">
        <f>K709</f>
        <v>693.91089999999997</v>
      </c>
      <c r="J710" s="158">
        <f>J709</f>
        <v>12.559799999999999</v>
      </c>
      <c r="K710" s="166">
        <f>I710+J710</f>
        <v>706.47069999999997</v>
      </c>
      <c r="N710" s="154" t="s">
        <v>589</v>
      </c>
      <c r="O710" s="154" t="s">
        <v>1432</v>
      </c>
      <c r="Q710" s="154" t="s">
        <v>589</v>
      </c>
      <c r="R710" s="167">
        <v>1.65</v>
      </c>
      <c r="S710" s="159">
        <v>3.5</v>
      </c>
      <c r="T710" s="76" t="s">
        <v>3</v>
      </c>
      <c r="U710" s="76" t="s">
        <v>1437</v>
      </c>
      <c r="V710" s="76">
        <f>C11</f>
        <v>669.90000000000009</v>
      </c>
      <c r="W710" s="76">
        <f>J719</f>
        <v>0</v>
      </c>
      <c r="X710" s="76">
        <f t="shared" si="83"/>
        <v>2344.6500000000005</v>
      </c>
      <c r="Z710" s="76">
        <f t="shared" si="84"/>
        <v>2344.6500000000005</v>
      </c>
      <c r="AE710" s="172" t="str">
        <f t="shared" si="80"/>
        <v>|</v>
      </c>
      <c r="AG710" s="154" t="s">
        <v>1158</v>
      </c>
    </row>
    <row r="711" spans="1:33" ht="24" customHeight="1">
      <c r="A711" s="175">
        <f t="shared" si="82"/>
        <v>508</v>
      </c>
      <c r="B711" s="176" t="s">
        <v>1492</v>
      </c>
      <c r="C711" s="188"/>
      <c r="D711" s="188"/>
      <c r="F711" s="154" t="s">
        <v>22</v>
      </c>
      <c r="O711" s="154" t="s">
        <v>1436</v>
      </c>
      <c r="R711" s="154" t="s">
        <v>22</v>
      </c>
      <c r="S711" s="159">
        <v>21.2</v>
      </c>
      <c r="T711" s="76" t="s">
        <v>3</v>
      </c>
      <c r="U711" s="76" t="s">
        <v>1440</v>
      </c>
      <c r="V711" s="76">
        <f>C12</f>
        <v>468.6</v>
      </c>
      <c r="X711" s="76">
        <f t="shared" si="83"/>
        <v>9934.32</v>
      </c>
      <c r="Z711" s="76">
        <f t="shared" si="84"/>
        <v>9934.32</v>
      </c>
      <c r="AE711" s="172" t="str">
        <f t="shared" si="80"/>
        <v>|</v>
      </c>
      <c r="AG711" s="154" t="s">
        <v>1158</v>
      </c>
    </row>
    <row r="712" spans="1:33" ht="24" customHeight="1">
      <c r="A712" s="175">
        <f t="shared" si="82"/>
        <v>509</v>
      </c>
      <c r="B712" s="176" t="s">
        <v>1493</v>
      </c>
      <c r="C712" s="177">
        <v>11.55</v>
      </c>
      <c r="D712" s="176" t="s">
        <v>576</v>
      </c>
      <c r="R712" s="162" t="s">
        <v>534</v>
      </c>
      <c r="S712" s="159">
        <v>35.299999999999997</v>
      </c>
      <c r="T712" s="76" t="s">
        <v>3</v>
      </c>
      <c r="U712" s="76" t="s">
        <v>1444</v>
      </c>
      <c r="V712" s="76">
        <f>C13</f>
        <v>404.8</v>
      </c>
      <c r="X712" s="76">
        <f t="shared" si="83"/>
        <v>14289.439999999999</v>
      </c>
      <c r="Z712" s="76">
        <f t="shared" si="84"/>
        <v>14289.439999999999</v>
      </c>
      <c r="AE712" s="172" t="str">
        <f t="shared" si="80"/>
        <v>|</v>
      </c>
      <c r="AG712" s="154" t="s">
        <v>1158</v>
      </c>
    </row>
    <row r="713" spans="1:33" ht="24" customHeight="1">
      <c r="A713" s="175">
        <f t="shared" si="82"/>
        <v>510</v>
      </c>
      <c r="B713" s="176" t="s">
        <v>1087</v>
      </c>
      <c r="C713" s="177">
        <v>16.399999999999999</v>
      </c>
      <c r="D713" s="176" t="s">
        <v>576</v>
      </c>
      <c r="F713" s="155" t="s">
        <v>662</v>
      </c>
      <c r="H713" s="154" t="s">
        <v>1494</v>
      </c>
      <c r="O713" s="154" t="s">
        <v>1443</v>
      </c>
      <c r="R713" s="167">
        <f>SUM(R709:R711)</f>
        <v>39.69</v>
      </c>
      <c r="U713" s="76" t="s">
        <v>1446</v>
      </c>
      <c r="V713" s="76">
        <f>V683</f>
        <v>0</v>
      </c>
      <c r="X713" s="199">
        <f>SUM(X705:X712)</f>
        <v>64910.040000000008</v>
      </c>
      <c r="Z713" s="76">
        <f t="shared" si="84"/>
        <v>64910.040000000008</v>
      </c>
      <c r="AE713" s="172" t="str">
        <f t="shared" si="80"/>
        <v>|</v>
      </c>
      <c r="AG713" s="154" t="s">
        <v>1158</v>
      </c>
    </row>
    <row r="714" spans="1:33" ht="27" customHeight="1">
      <c r="A714" s="175">
        <f t="shared" si="82"/>
        <v>511</v>
      </c>
      <c r="B714" s="176" t="s">
        <v>1089</v>
      </c>
      <c r="C714" s="177">
        <v>27.85</v>
      </c>
      <c r="D714" s="176" t="s">
        <v>576</v>
      </c>
      <c r="H714" s="154" t="s">
        <v>1495</v>
      </c>
      <c r="R714" s="162" t="s">
        <v>534</v>
      </c>
      <c r="U714" s="76" t="s">
        <v>1448</v>
      </c>
      <c r="V714" s="76">
        <f>V684</f>
        <v>0</v>
      </c>
      <c r="X714" s="199">
        <f>X713/10</f>
        <v>6491.0040000000008</v>
      </c>
      <c r="Z714" s="76">
        <f t="shared" si="84"/>
        <v>6491.0040000000008</v>
      </c>
      <c r="AE714" s="172" t="str">
        <f t="shared" si="80"/>
        <v>|</v>
      </c>
      <c r="AG714" s="154" t="s">
        <v>1158</v>
      </c>
    </row>
    <row r="715" spans="1:33" ht="24" customHeight="1">
      <c r="A715" s="175">
        <f t="shared" si="82"/>
        <v>512</v>
      </c>
      <c r="B715" s="176" t="s">
        <v>1090</v>
      </c>
      <c r="C715" s="177">
        <v>49.9</v>
      </c>
      <c r="D715" s="176" t="s">
        <v>576</v>
      </c>
      <c r="H715" s="154" t="s">
        <v>1496</v>
      </c>
      <c r="O715" s="155" t="s">
        <v>1497</v>
      </c>
      <c r="R715" s="154" t="s">
        <v>22</v>
      </c>
      <c r="S715" s="159">
        <v>1</v>
      </c>
      <c r="T715" s="76" t="s">
        <v>421</v>
      </c>
      <c r="U715" s="76" t="s">
        <v>1452</v>
      </c>
      <c r="V715" s="76">
        <f>C25</f>
        <v>67.650000000000006</v>
      </c>
      <c r="X715" s="76">
        <f>V715*S715</f>
        <v>67.650000000000006</v>
      </c>
      <c r="AE715" s="172" t="str">
        <f t="shared" si="80"/>
        <v>|</v>
      </c>
      <c r="AG715" s="154" t="s">
        <v>1158</v>
      </c>
    </row>
    <row r="716" spans="1:33" ht="24" customHeight="1">
      <c r="A716" s="175">
        <f t="shared" si="82"/>
        <v>513</v>
      </c>
      <c r="B716" s="176" t="s">
        <v>1091</v>
      </c>
      <c r="C716" s="177">
        <v>69.25</v>
      </c>
      <c r="D716" s="176" t="s">
        <v>576</v>
      </c>
      <c r="H716" s="162" t="s">
        <v>534</v>
      </c>
      <c r="M716" s="233"/>
      <c r="O716" s="155" t="s">
        <v>1498</v>
      </c>
      <c r="U716" s="76" t="s">
        <v>1454</v>
      </c>
      <c r="V716" s="76">
        <f>V686</f>
        <v>0</v>
      </c>
      <c r="X716" s="199">
        <f>SUM(X714:X715)</f>
        <v>6558.6540000000005</v>
      </c>
      <c r="Z716" s="76">
        <f>Z714</f>
        <v>6491.0040000000008</v>
      </c>
      <c r="AE716" s="172" t="str">
        <f t="shared" si="80"/>
        <v>|</v>
      </c>
      <c r="AG716" s="154" t="s">
        <v>1158</v>
      </c>
    </row>
    <row r="717" spans="1:33" ht="24" customHeight="1">
      <c r="A717" s="175">
        <f t="shared" si="82"/>
        <v>514</v>
      </c>
      <c r="B717" s="176" t="s">
        <v>1499</v>
      </c>
      <c r="C717" s="188"/>
      <c r="D717" s="176" t="s">
        <v>22</v>
      </c>
      <c r="F717" s="167">
        <v>0.4</v>
      </c>
      <c r="G717" s="165" t="s">
        <v>577</v>
      </c>
      <c r="H717" s="154" t="s">
        <v>1500</v>
      </c>
      <c r="I717" s="167">
        <f>(C268)</f>
        <v>17600</v>
      </c>
      <c r="J717" s="154" t="s">
        <v>577</v>
      </c>
      <c r="K717" s="167">
        <f>(F717*I717)</f>
        <v>7040</v>
      </c>
      <c r="M717" s="155" t="s">
        <v>898</v>
      </c>
      <c r="N717" s="154" t="s">
        <v>1501</v>
      </c>
      <c r="O717" s="154" t="s">
        <v>1502</v>
      </c>
      <c r="S717" s="269" t="s">
        <v>519</v>
      </c>
      <c r="U717" s="76" t="s">
        <v>1456</v>
      </c>
      <c r="V717" s="76" t="str">
        <f>V687</f>
        <v>LS</v>
      </c>
      <c r="X717" s="76">
        <f>X716*0.5%</f>
        <v>32.79327</v>
      </c>
      <c r="Z717" s="76">
        <f>Z716*0.5/100</f>
        <v>32.455020000000005</v>
      </c>
      <c r="AE717" s="172" t="str">
        <f t="shared" si="80"/>
        <v>|::</v>
      </c>
      <c r="AG717" s="154" t="s">
        <v>947</v>
      </c>
    </row>
    <row r="718" spans="1:33" ht="24" customHeight="1">
      <c r="A718" s="175">
        <f t="shared" si="82"/>
        <v>515</v>
      </c>
      <c r="B718" s="176" t="s">
        <v>1036</v>
      </c>
      <c r="C718" s="177">
        <v>20</v>
      </c>
      <c r="D718" s="176" t="s">
        <v>576</v>
      </c>
      <c r="F718" s="167">
        <v>0.12</v>
      </c>
      <c r="G718" s="165" t="s">
        <v>577</v>
      </c>
      <c r="H718" s="154" t="s">
        <v>1503</v>
      </c>
      <c r="I718" s="167">
        <f>(C269)</f>
        <v>15500</v>
      </c>
      <c r="J718" s="154" t="s">
        <v>577</v>
      </c>
      <c r="K718" s="167">
        <f>(F718*I718)</f>
        <v>1860</v>
      </c>
      <c r="O718" s="162" t="s">
        <v>534</v>
      </c>
      <c r="T718" s="156"/>
      <c r="U718" s="199" t="s">
        <v>1395</v>
      </c>
      <c r="W718" s="158"/>
      <c r="X718" s="166">
        <f>SUM(X716:X717)</f>
        <v>6591.4472700000006</v>
      </c>
      <c r="Z718" s="199">
        <f>SUM(Z716:Z717)</f>
        <v>6523.4590200000011</v>
      </c>
      <c r="AE718" s="172">
        <f t="shared" si="80"/>
        <v>0</v>
      </c>
    </row>
    <row r="719" spans="1:33" ht="24" customHeight="1">
      <c r="A719" s="175">
        <f t="shared" si="82"/>
        <v>516</v>
      </c>
      <c r="B719" s="176" t="s">
        <v>1504</v>
      </c>
      <c r="C719" s="177">
        <v>45</v>
      </c>
      <c r="D719" s="176" t="s">
        <v>576</v>
      </c>
      <c r="H719" s="154" t="s">
        <v>1505</v>
      </c>
      <c r="I719" s="154" t="s">
        <v>22</v>
      </c>
      <c r="K719" s="154" t="s">
        <v>22</v>
      </c>
      <c r="M719" s="233">
        <v>2.69E-2</v>
      </c>
      <c r="N719" s="154" t="s">
        <v>577</v>
      </c>
      <c r="O719" s="223" t="s">
        <v>1506</v>
      </c>
      <c r="P719" s="167">
        <f>C86</f>
        <v>34300</v>
      </c>
      <c r="Q719" s="154" t="s">
        <v>577</v>
      </c>
      <c r="R719" s="167">
        <f t="shared" ref="R719:R725" si="85">M719*P719</f>
        <v>922.67</v>
      </c>
      <c r="T719" s="156"/>
      <c r="W719" s="158"/>
      <c r="X719" s="162" t="s">
        <v>534</v>
      </c>
      <c r="AE719" s="172">
        <f t="shared" si="80"/>
        <v>0</v>
      </c>
    </row>
    <row r="720" spans="1:33" ht="24" customHeight="1">
      <c r="A720" s="175">
        <f t="shared" si="82"/>
        <v>517</v>
      </c>
      <c r="B720" s="176" t="s">
        <v>1507</v>
      </c>
      <c r="C720" s="188"/>
      <c r="D720" s="176" t="s">
        <v>535</v>
      </c>
      <c r="F720" s="167">
        <v>98.5</v>
      </c>
      <c r="G720" s="165" t="s">
        <v>410</v>
      </c>
      <c r="H720" s="154" t="s">
        <v>1508</v>
      </c>
      <c r="I720" s="167">
        <f>(C270)</f>
        <v>25.2</v>
      </c>
      <c r="J720" s="154" t="s">
        <v>410</v>
      </c>
      <c r="K720" s="167">
        <f>(F720*I720)</f>
        <v>2482.1999999999998</v>
      </c>
      <c r="M720" s="233">
        <v>1.2949999999999999</v>
      </c>
      <c r="N720" s="154" t="s">
        <v>916</v>
      </c>
      <c r="O720" s="154" t="s">
        <v>1509</v>
      </c>
      <c r="P720" s="167">
        <f>C783</f>
        <v>387.4</v>
      </c>
      <c r="Q720" s="154" t="s">
        <v>916</v>
      </c>
      <c r="R720" s="167">
        <f t="shared" si="85"/>
        <v>501.68299999999994</v>
      </c>
      <c r="T720" s="156"/>
      <c r="U720" s="154" t="s">
        <v>789</v>
      </c>
      <c r="W720" s="158"/>
      <c r="X720" s="166">
        <f>(X718+C22)</f>
        <v>6677.467270000001</v>
      </c>
      <c r="AE720" s="172">
        <f t="shared" si="80"/>
        <v>0</v>
      </c>
    </row>
    <row r="721" spans="1:33" ht="24" customHeight="1">
      <c r="A721" s="175">
        <f t="shared" si="82"/>
        <v>518</v>
      </c>
      <c r="B721" s="176" t="s">
        <v>1036</v>
      </c>
      <c r="C721" s="177">
        <v>19.09</v>
      </c>
      <c r="D721" s="176" t="s">
        <v>576</v>
      </c>
      <c r="H721" s="154" t="s">
        <v>1510</v>
      </c>
      <c r="I721" s="154" t="s">
        <v>22</v>
      </c>
      <c r="K721" s="154" t="s">
        <v>535</v>
      </c>
      <c r="M721" s="233">
        <v>1.8149999999999999</v>
      </c>
      <c r="N721" s="154" t="s">
        <v>916</v>
      </c>
      <c r="O721" s="154" t="s">
        <v>935</v>
      </c>
      <c r="P721" s="167">
        <f>C31</f>
        <v>1105.5</v>
      </c>
      <c r="Q721" s="154" t="s">
        <v>916</v>
      </c>
      <c r="R721" s="167">
        <f t="shared" si="85"/>
        <v>2006.4824999999998</v>
      </c>
      <c r="T721" s="156"/>
      <c r="U721" s="154" t="s">
        <v>793</v>
      </c>
      <c r="W721" s="158"/>
      <c r="X721" s="166">
        <f>(X720+C24)</f>
        <v>6846.8672700000006</v>
      </c>
      <c r="AE721" s="172" t="str">
        <f t="shared" si="80"/>
        <v>|</v>
      </c>
      <c r="AG721" s="154" t="s">
        <v>1158</v>
      </c>
    </row>
    <row r="722" spans="1:33" ht="24" customHeight="1">
      <c r="A722" s="175">
        <f t="shared" si="82"/>
        <v>519</v>
      </c>
      <c r="B722" s="176" t="s">
        <v>1504</v>
      </c>
      <c r="C722" s="177">
        <v>50.66</v>
      </c>
      <c r="D722" s="176" t="s">
        <v>576</v>
      </c>
      <c r="K722" s="162" t="s">
        <v>534</v>
      </c>
      <c r="M722" s="167">
        <v>2</v>
      </c>
      <c r="N722" s="154" t="s">
        <v>576</v>
      </c>
      <c r="O722" s="154" t="s">
        <v>1511</v>
      </c>
      <c r="P722" s="167">
        <f>C299</f>
        <v>10.5</v>
      </c>
      <c r="Q722" s="154" t="s">
        <v>576</v>
      </c>
      <c r="R722" s="167">
        <f t="shared" si="85"/>
        <v>21</v>
      </c>
      <c r="T722" s="156"/>
      <c r="U722" s="154" t="s">
        <v>796</v>
      </c>
      <c r="W722" s="158"/>
      <c r="X722" s="166">
        <f>(X721+C24)</f>
        <v>7016.2672700000003</v>
      </c>
      <c r="AE722" s="172" t="str">
        <f t="shared" si="80"/>
        <v>|</v>
      </c>
      <c r="AG722" s="154" t="s">
        <v>1158</v>
      </c>
    </row>
    <row r="723" spans="1:33" ht="24" customHeight="1">
      <c r="A723" s="175">
        <f t="shared" si="82"/>
        <v>520</v>
      </c>
      <c r="B723" s="176" t="s">
        <v>1512</v>
      </c>
      <c r="C723" s="177">
        <v>1183.82</v>
      </c>
      <c r="D723" s="176" t="s">
        <v>916</v>
      </c>
      <c r="H723" s="154" t="s">
        <v>1513</v>
      </c>
      <c r="K723" s="167">
        <f>SUM(K717:K721)</f>
        <v>11382.2</v>
      </c>
      <c r="M723" s="167">
        <v>3</v>
      </c>
      <c r="N723" s="154" t="s">
        <v>576</v>
      </c>
      <c r="O723" s="154" t="s">
        <v>1514</v>
      </c>
      <c r="P723" s="167">
        <f>C295</f>
        <v>8.5</v>
      </c>
      <c r="Q723" s="154" t="s">
        <v>576</v>
      </c>
      <c r="R723" s="167">
        <f t="shared" si="85"/>
        <v>25.5</v>
      </c>
      <c r="T723" s="156"/>
      <c r="U723" s="154" t="s">
        <v>798</v>
      </c>
      <c r="W723" s="158"/>
      <c r="X723" s="166">
        <f>(X722+C24)</f>
        <v>7185.6672699999999</v>
      </c>
      <c r="AE723" s="172" t="str">
        <f t="shared" si="80"/>
        <v>|</v>
      </c>
      <c r="AG723" s="154" t="s">
        <v>1158</v>
      </c>
    </row>
    <row r="724" spans="1:33" ht="24" customHeight="1">
      <c r="A724" s="175">
        <f t="shared" si="82"/>
        <v>521</v>
      </c>
      <c r="B724" s="176" t="s">
        <v>1515</v>
      </c>
      <c r="C724" s="177">
        <v>1605</v>
      </c>
      <c r="D724" s="176" t="s">
        <v>916</v>
      </c>
      <c r="H724" s="154" t="s">
        <v>22</v>
      </c>
      <c r="K724" s="162" t="s">
        <v>534</v>
      </c>
      <c r="M724" s="167">
        <v>1</v>
      </c>
      <c r="N724" s="154" t="s">
        <v>576</v>
      </c>
      <c r="O724" s="154" t="s">
        <v>1516</v>
      </c>
      <c r="P724" s="167">
        <f>C301</f>
        <v>21</v>
      </c>
      <c r="Q724" s="154" t="s">
        <v>576</v>
      </c>
      <c r="R724" s="167">
        <f t="shared" si="85"/>
        <v>21</v>
      </c>
      <c r="T724" s="156"/>
      <c r="U724" s="154" t="s">
        <v>885</v>
      </c>
      <c r="W724" s="158"/>
      <c r="X724" s="166">
        <f>(X723+C24)</f>
        <v>7355.0672699999996</v>
      </c>
      <c r="AE724" s="172" t="str">
        <f t="shared" si="80"/>
        <v>|</v>
      </c>
      <c r="AG724" s="154" t="s">
        <v>1158</v>
      </c>
    </row>
    <row r="725" spans="1:33" ht="24" customHeight="1">
      <c r="A725" s="175">
        <f t="shared" si="82"/>
        <v>522</v>
      </c>
      <c r="B725" s="176" t="s">
        <v>1517</v>
      </c>
      <c r="C725" s="255">
        <v>8.6</v>
      </c>
      <c r="D725" s="265" t="s">
        <v>1518</v>
      </c>
      <c r="F725" s="167">
        <v>10</v>
      </c>
      <c r="G725" s="165" t="s">
        <v>916</v>
      </c>
      <c r="H725" s="154" t="s">
        <v>1519</v>
      </c>
      <c r="I725" s="167">
        <f>(K723/50)</f>
        <v>227.64400000000001</v>
      </c>
      <c r="J725" s="154" t="s">
        <v>916</v>
      </c>
      <c r="K725" s="167">
        <f>(F725*I725)</f>
        <v>2276.44</v>
      </c>
      <c r="M725" s="167">
        <v>1</v>
      </c>
      <c r="N725" s="154" t="s">
        <v>576</v>
      </c>
      <c r="O725" s="154" t="s">
        <v>939</v>
      </c>
      <c r="P725" s="167">
        <f>C303</f>
        <v>4</v>
      </c>
      <c r="Q725" s="154" t="s">
        <v>576</v>
      </c>
      <c r="R725" s="167">
        <f t="shared" si="85"/>
        <v>4</v>
      </c>
      <c r="AE725" s="172" t="str">
        <f t="shared" si="80"/>
        <v>|</v>
      </c>
      <c r="AG725" s="154" t="s">
        <v>1158</v>
      </c>
    </row>
    <row r="726" spans="1:33" ht="24" customHeight="1">
      <c r="A726" s="175">
        <f t="shared" si="82"/>
        <v>523</v>
      </c>
      <c r="B726" s="176" t="s">
        <v>1520</v>
      </c>
      <c r="C726" s="177">
        <v>147.6</v>
      </c>
      <c r="D726" s="176" t="s">
        <v>410</v>
      </c>
      <c r="F726" s="167">
        <v>3.8</v>
      </c>
      <c r="G726" s="165" t="s">
        <v>680</v>
      </c>
      <c r="H726" s="154" t="s">
        <v>1521</v>
      </c>
      <c r="I726" s="167">
        <f>(C16)</f>
        <v>701.80000000000007</v>
      </c>
      <c r="J726" s="154" t="s">
        <v>680</v>
      </c>
      <c r="K726" s="167">
        <f>(F726*I726)</f>
        <v>2666.84</v>
      </c>
      <c r="N726" s="154" t="s">
        <v>589</v>
      </c>
      <c r="O726" s="154" t="s">
        <v>590</v>
      </c>
      <c r="Q726" s="154" t="s">
        <v>589</v>
      </c>
      <c r="R726" s="167">
        <v>0</v>
      </c>
      <c r="AE726" s="172" t="str">
        <f t="shared" si="80"/>
        <v>|</v>
      </c>
      <c r="AG726" s="154" t="s">
        <v>1158</v>
      </c>
    </row>
    <row r="727" spans="1:33" ht="24" customHeight="1">
      <c r="A727" s="175">
        <f t="shared" si="82"/>
        <v>524</v>
      </c>
      <c r="B727" s="176" t="s">
        <v>1522</v>
      </c>
      <c r="C727" s="177">
        <v>147.6</v>
      </c>
      <c r="D727" s="176" t="s">
        <v>410</v>
      </c>
      <c r="F727" s="167">
        <v>5.4</v>
      </c>
      <c r="G727" s="165" t="s">
        <v>680</v>
      </c>
      <c r="H727" s="154" t="s">
        <v>754</v>
      </c>
      <c r="I727" s="167">
        <f>(C12)</f>
        <v>468.6</v>
      </c>
      <c r="J727" s="154" t="s">
        <v>680</v>
      </c>
      <c r="K727" s="167">
        <f>(F727*I727)</f>
        <v>2530.4400000000005</v>
      </c>
      <c r="R727" s="162" t="s">
        <v>534</v>
      </c>
      <c r="AE727" s="172" t="str">
        <f t="shared" si="80"/>
        <v>|</v>
      </c>
      <c r="AG727" s="154" t="s">
        <v>1158</v>
      </c>
    </row>
    <row r="728" spans="1:33" ht="24" customHeight="1">
      <c r="A728" s="175">
        <f t="shared" si="82"/>
        <v>525</v>
      </c>
      <c r="B728" s="176" t="s">
        <v>1523</v>
      </c>
      <c r="C728" s="177">
        <v>147.6</v>
      </c>
      <c r="D728" s="176" t="s">
        <v>410</v>
      </c>
      <c r="G728" s="165" t="s">
        <v>589</v>
      </c>
      <c r="H728" s="154" t="s">
        <v>1524</v>
      </c>
      <c r="J728" s="154" t="s">
        <v>589</v>
      </c>
      <c r="K728" s="167">
        <v>5</v>
      </c>
      <c r="O728" s="155" t="s">
        <v>1525</v>
      </c>
      <c r="R728" s="167">
        <f>SUM(R719:R726)</f>
        <v>3502.3354999999997</v>
      </c>
      <c r="AE728" s="172" t="str">
        <f t="shared" si="80"/>
        <v>|</v>
      </c>
      <c r="AG728" s="154" t="s">
        <v>1158</v>
      </c>
    </row>
    <row r="729" spans="1:33" ht="24" customHeight="1">
      <c r="A729" s="175">
        <f t="shared" si="82"/>
        <v>526</v>
      </c>
      <c r="B729" s="176" t="s">
        <v>1526</v>
      </c>
      <c r="C729" s="177">
        <v>1250</v>
      </c>
      <c r="D729" s="176" t="s">
        <v>916</v>
      </c>
      <c r="K729" s="162" t="s">
        <v>534</v>
      </c>
      <c r="R729" s="162" t="s">
        <v>534</v>
      </c>
      <c r="AE729" s="172" t="str">
        <f t="shared" si="80"/>
        <v>|</v>
      </c>
      <c r="AG729" s="154" t="s">
        <v>1158</v>
      </c>
    </row>
    <row r="730" spans="1:33" ht="24" customHeight="1">
      <c r="A730" s="175">
        <f t="shared" si="82"/>
        <v>527</v>
      </c>
      <c r="B730" s="176" t="s">
        <v>1527</v>
      </c>
      <c r="C730" s="177">
        <v>1250</v>
      </c>
      <c r="D730" s="176" t="s">
        <v>916</v>
      </c>
      <c r="H730" s="154" t="s">
        <v>879</v>
      </c>
      <c r="K730" s="167">
        <f>SUM(K725:K728)</f>
        <v>7478.7200000000012</v>
      </c>
      <c r="N730" s="154" t="s">
        <v>22</v>
      </c>
      <c r="O730" s="155" t="s">
        <v>881</v>
      </c>
      <c r="R730" s="167">
        <f>R728/M720</f>
        <v>2704.5061776061775</v>
      </c>
      <c r="AE730" s="172" t="str">
        <f t="shared" si="80"/>
        <v>|</v>
      </c>
      <c r="AG730" s="154" t="s">
        <v>1158</v>
      </c>
    </row>
    <row r="731" spans="1:33" ht="24" customHeight="1">
      <c r="A731" s="175">
        <f t="shared" si="82"/>
        <v>528</v>
      </c>
      <c r="B731" s="176" t="s">
        <v>1528</v>
      </c>
      <c r="C731" s="177">
        <v>1250</v>
      </c>
      <c r="D731" s="176" t="s">
        <v>916</v>
      </c>
      <c r="K731" s="162" t="s">
        <v>534</v>
      </c>
      <c r="R731" s="162" t="s">
        <v>528</v>
      </c>
      <c r="AE731" s="172" t="str">
        <f t="shared" si="80"/>
        <v>|</v>
      </c>
      <c r="AG731" s="154" t="s">
        <v>1158</v>
      </c>
    </row>
    <row r="732" spans="1:33" ht="24" customHeight="1">
      <c r="A732" s="175">
        <f t="shared" si="82"/>
        <v>529</v>
      </c>
      <c r="B732" s="176" t="s">
        <v>1529</v>
      </c>
      <c r="C732" s="177">
        <v>1250</v>
      </c>
      <c r="D732" s="176" t="s">
        <v>916</v>
      </c>
      <c r="H732" s="154" t="s">
        <v>881</v>
      </c>
      <c r="K732" s="167">
        <f>(K730/10)</f>
        <v>747.87200000000007</v>
      </c>
      <c r="M732" s="155" t="s">
        <v>898</v>
      </c>
      <c r="N732" s="154" t="s">
        <v>1530</v>
      </c>
      <c r="O732" s="154" t="s">
        <v>1531</v>
      </c>
      <c r="AE732" s="172" t="str">
        <f t="shared" si="80"/>
        <v>|</v>
      </c>
      <c r="AG732" s="154" t="s">
        <v>1158</v>
      </c>
    </row>
    <row r="733" spans="1:33" ht="24" customHeight="1">
      <c r="A733" s="175">
        <f t="shared" si="82"/>
        <v>530</v>
      </c>
      <c r="B733" s="176" t="s">
        <v>1532</v>
      </c>
      <c r="C733" s="177">
        <v>1250</v>
      </c>
      <c r="D733" s="176" t="s">
        <v>916</v>
      </c>
      <c r="K733" s="162" t="s">
        <v>528</v>
      </c>
      <c r="O733" s="162" t="s">
        <v>534</v>
      </c>
      <c r="AE733" s="172" t="str">
        <f t="shared" si="80"/>
        <v>|</v>
      </c>
      <c r="AG733" s="154" t="s">
        <v>1158</v>
      </c>
    </row>
    <row r="734" spans="1:33" ht="24" customHeight="1">
      <c r="A734" s="175">
        <f t="shared" si="82"/>
        <v>531</v>
      </c>
      <c r="B734" s="176" t="s">
        <v>1533</v>
      </c>
      <c r="C734" s="177">
        <v>1250</v>
      </c>
      <c r="D734" s="176" t="s">
        <v>916</v>
      </c>
      <c r="M734" s="233">
        <v>2.5499999999999998E-2</v>
      </c>
      <c r="N734" s="154" t="s">
        <v>577</v>
      </c>
      <c r="O734" s="154" t="s">
        <v>1534</v>
      </c>
      <c r="P734" s="167">
        <f>C86</f>
        <v>34300</v>
      </c>
      <c r="Q734" s="154" t="s">
        <v>577</v>
      </c>
      <c r="R734" s="167">
        <f t="shared" ref="R734:R740" si="86">M734*P734</f>
        <v>874.65</v>
      </c>
      <c r="AE734" s="172" t="str">
        <f t="shared" si="80"/>
        <v>|</v>
      </c>
      <c r="AG734" s="154" t="s">
        <v>1158</v>
      </c>
    </row>
    <row r="735" spans="1:33" ht="24" customHeight="1">
      <c r="A735" s="175">
        <f t="shared" si="82"/>
        <v>532</v>
      </c>
      <c r="B735" s="176" t="s">
        <v>1535</v>
      </c>
      <c r="C735" s="177">
        <v>1250</v>
      </c>
      <c r="D735" s="176" t="s">
        <v>916</v>
      </c>
      <c r="F735" s="155" t="s">
        <v>667</v>
      </c>
      <c r="G735" s="165" t="s">
        <v>307</v>
      </c>
      <c r="H735" s="154" t="s">
        <v>1536</v>
      </c>
      <c r="M735" s="233">
        <v>1.1299999999999999</v>
      </c>
      <c r="N735" s="154" t="s">
        <v>916</v>
      </c>
      <c r="O735" s="154" t="s">
        <v>1509</v>
      </c>
      <c r="P735" s="167">
        <f>C783</f>
        <v>387.4</v>
      </c>
      <c r="Q735" s="154" t="s">
        <v>916</v>
      </c>
      <c r="R735" s="167">
        <f t="shared" si="86"/>
        <v>437.76199999999994</v>
      </c>
      <c r="AE735" s="172" t="str">
        <f t="shared" si="80"/>
        <v>|</v>
      </c>
      <c r="AG735" s="154" t="s">
        <v>1158</v>
      </c>
    </row>
    <row r="736" spans="1:33" ht="24" customHeight="1">
      <c r="A736" s="175">
        <f t="shared" si="82"/>
        <v>533</v>
      </c>
      <c r="B736" s="176" t="s">
        <v>1537</v>
      </c>
      <c r="C736" s="177">
        <v>1250</v>
      </c>
      <c r="D736" s="176" t="s">
        <v>916</v>
      </c>
      <c r="H736" s="154" t="s">
        <v>1538</v>
      </c>
      <c r="M736" s="233">
        <v>1.6191</v>
      </c>
      <c r="N736" s="154" t="s">
        <v>916</v>
      </c>
      <c r="O736" s="154" t="s">
        <v>935</v>
      </c>
      <c r="P736" s="167">
        <f>C31</f>
        <v>1105.5</v>
      </c>
      <c r="Q736" s="154" t="s">
        <v>916</v>
      </c>
      <c r="R736" s="167">
        <f t="shared" si="86"/>
        <v>1789.9150500000001</v>
      </c>
      <c r="AE736" s="172" t="str">
        <f t="shared" si="80"/>
        <v>|</v>
      </c>
      <c r="AG736" s="154" t="s">
        <v>1158</v>
      </c>
    </row>
    <row r="737" spans="1:33" ht="24" customHeight="1">
      <c r="A737" s="175">
        <f t="shared" si="82"/>
        <v>534</v>
      </c>
      <c r="B737" s="176" t="s">
        <v>1539</v>
      </c>
      <c r="C737" s="177">
        <v>1250</v>
      </c>
      <c r="D737" s="176" t="s">
        <v>916</v>
      </c>
      <c r="H737" s="154" t="s">
        <v>1540</v>
      </c>
      <c r="M737" s="167">
        <v>2</v>
      </c>
      <c r="N737" s="154" t="s">
        <v>576</v>
      </c>
      <c r="O737" s="154" t="s">
        <v>1511</v>
      </c>
      <c r="P737" s="167">
        <f>C299</f>
        <v>10.5</v>
      </c>
      <c r="Q737" s="154" t="s">
        <v>576</v>
      </c>
      <c r="R737" s="167">
        <f t="shared" si="86"/>
        <v>21</v>
      </c>
      <c r="AE737" s="172" t="str">
        <f t="shared" si="80"/>
        <v>|</v>
      </c>
      <c r="AG737" s="154" t="s">
        <v>1158</v>
      </c>
    </row>
    <row r="738" spans="1:33" ht="24" customHeight="1">
      <c r="A738" s="175">
        <f t="shared" si="82"/>
        <v>535</v>
      </c>
      <c r="B738" s="176" t="s">
        <v>1541</v>
      </c>
      <c r="C738" s="177">
        <v>1250</v>
      </c>
      <c r="D738" s="176" t="s">
        <v>916</v>
      </c>
      <c r="H738" s="154" t="s">
        <v>1542</v>
      </c>
      <c r="M738" s="167">
        <v>3</v>
      </c>
      <c r="N738" s="154" t="s">
        <v>576</v>
      </c>
      <c r="O738" s="154" t="s">
        <v>1514</v>
      </c>
      <c r="P738" s="167">
        <f>C295</f>
        <v>8.5</v>
      </c>
      <c r="Q738" s="154" t="s">
        <v>576</v>
      </c>
      <c r="R738" s="167">
        <f t="shared" si="86"/>
        <v>25.5</v>
      </c>
      <c r="AE738" s="172" t="str">
        <f t="shared" si="80"/>
        <v>|</v>
      </c>
      <c r="AG738" s="154" t="s">
        <v>1158</v>
      </c>
    </row>
    <row r="739" spans="1:33" ht="24" customHeight="1">
      <c r="A739" s="175">
        <f t="shared" si="82"/>
        <v>536</v>
      </c>
      <c r="B739" s="176" t="s">
        <v>1543</v>
      </c>
      <c r="C739" s="177">
        <v>1250</v>
      </c>
      <c r="D739" s="176" t="s">
        <v>916</v>
      </c>
      <c r="H739" s="154" t="s">
        <v>1544</v>
      </c>
      <c r="M739" s="167">
        <v>1</v>
      </c>
      <c r="N739" s="154" t="s">
        <v>576</v>
      </c>
      <c r="O739" s="154" t="s">
        <v>1516</v>
      </c>
      <c r="P739" s="167">
        <f>C301</f>
        <v>21</v>
      </c>
      <c r="Q739" s="154" t="s">
        <v>576</v>
      </c>
      <c r="R739" s="167">
        <f t="shared" si="86"/>
        <v>21</v>
      </c>
      <c r="AE739" s="172" t="str">
        <f t="shared" si="80"/>
        <v>|</v>
      </c>
      <c r="AG739" s="154" t="s">
        <v>1158</v>
      </c>
    </row>
    <row r="740" spans="1:33" ht="24" customHeight="1">
      <c r="A740" s="175">
        <f t="shared" si="82"/>
        <v>537</v>
      </c>
      <c r="B740" s="176" t="s">
        <v>1535</v>
      </c>
      <c r="C740" s="177">
        <v>1250</v>
      </c>
      <c r="D740" s="176" t="s">
        <v>916</v>
      </c>
      <c r="H740" s="154" t="s">
        <v>1545</v>
      </c>
      <c r="M740" s="167">
        <v>1</v>
      </c>
      <c r="N740" s="154" t="s">
        <v>576</v>
      </c>
      <c r="O740" s="154" t="s">
        <v>939</v>
      </c>
      <c r="P740" s="167">
        <f>C303</f>
        <v>4</v>
      </c>
      <c r="Q740" s="154" t="s">
        <v>576</v>
      </c>
      <c r="R740" s="167">
        <f t="shared" si="86"/>
        <v>4</v>
      </c>
      <c r="AE740" s="172" t="str">
        <f t="shared" si="80"/>
        <v>|</v>
      </c>
      <c r="AG740" s="154" t="s">
        <v>1158</v>
      </c>
    </row>
    <row r="741" spans="1:33" ht="24" customHeight="1">
      <c r="A741" s="175">
        <f t="shared" si="82"/>
        <v>538</v>
      </c>
      <c r="B741" s="176" t="s">
        <v>1546</v>
      </c>
      <c r="C741" s="188"/>
      <c r="D741" s="176" t="s">
        <v>22</v>
      </c>
      <c r="H741" s="154" t="s">
        <v>1547</v>
      </c>
      <c r="N741" s="154" t="s">
        <v>589</v>
      </c>
      <c r="O741" s="154" t="s">
        <v>590</v>
      </c>
      <c r="Q741" s="154" t="s">
        <v>589</v>
      </c>
      <c r="R741" s="167">
        <v>0</v>
      </c>
      <c r="AE741" s="172" t="str">
        <f t="shared" si="80"/>
        <v>|</v>
      </c>
      <c r="AG741" s="154" t="s">
        <v>1158</v>
      </c>
    </row>
    <row r="742" spans="1:33" ht="24" customHeight="1">
      <c r="A742" s="175">
        <f t="shared" si="82"/>
        <v>539</v>
      </c>
      <c r="B742" s="176" t="s">
        <v>1548</v>
      </c>
      <c r="C742" s="177">
        <v>65</v>
      </c>
      <c r="D742" s="176" t="s">
        <v>1549</v>
      </c>
      <c r="H742" s="162" t="s">
        <v>534</v>
      </c>
      <c r="I742" s="162" t="s">
        <v>534</v>
      </c>
      <c r="J742" s="154" t="s">
        <v>534</v>
      </c>
      <c r="R742" s="162" t="s">
        <v>534</v>
      </c>
      <c r="AE742" s="172" t="str">
        <f t="shared" si="80"/>
        <v>|</v>
      </c>
      <c r="AG742" s="154" t="s">
        <v>1158</v>
      </c>
    </row>
    <row r="743" spans="1:33" ht="24" customHeight="1">
      <c r="A743" s="175">
        <f t="shared" si="82"/>
        <v>540</v>
      </c>
      <c r="B743" s="176" t="s">
        <v>1550</v>
      </c>
      <c r="C743" s="177">
        <v>64.55</v>
      </c>
      <c r="D743" s="176" t="s">
        <v>1549</v>
      </c>
      <c r="F743" s="167">
        <v>13.46</v>
      </c>
      <c r="G743" s="165" t="s">
        <v>338</v>
      </c>
      <c r="H743" s="154" t="s">
        <v>1551</v>
      </c>
      <c r="I743" s="167">
        <f>C34/1000</f>
        <v>41.2</v>
      </c>
      <c r="J743" s="154" t="s">
        <v>338</v>
      </c>
      <c r="K743" s="167">
        <f>(F743*I743)</f>
        <v>554.55200000000002</v>
      </c>
      <c r="O743" s="155" t="s">
        <v>1552</v>
      </c>
      <c r="R743" s="167">
        <f>SUM(R734:R741)</f>
        <v>3173.8270499999999</v>
      </c>
      <c r="AE743" s="172" t="str">
        <f t="shared" si="80"/>
        <v>|</v>
      </c>
      <c r="AG743" s="154" t="s">
        <v>1158</v>
      </c>
    </row>
    <row r="744" spans="1:33" ht="24" customHeight="1">
      <c r="A744" s="175">
        <f t="shared" si="82"/>
        <v>541</v>
      </c>
      <c r="B744" s="176" t="s">
        <v>1553</v>
      </c>
      <c r="C744" s="177">
        <v>110.95</v>
      </c>
      <c r="D744" s="176" t="s">
        <v>1549</v>
      </c>
      <c r="H744" s="154" t="s">
        <v>1554</v>
      </c>
      <c r="R744" s="162" t="s">
        <v>534</v>
      </c>
      <c r="AE744" s="172" t="str">
        <f t="shared" si="80"/>
        <v>|</v>
      </c>
      <c r="AG744" s="154" t="s">
        <v>1158</v>
      </c>
    </row>
    <row r="745" spans="1:33" ht="24" customHeight="1">
      <c r="A745" s="175">
        <f t="shared" si="82"/>
        <v>542</v>
      </c>
      <c r="B745" s="176" t="s">
        <v>1555</v>
      </c>
      <c r="C745" s="177">
        <v>399</v>
      </c>
      <c r="D745" s="176" t="s">
        <v>1549</v>
      </c>
      <c r="F745" s="167">
        <v>4</v>
      </c>
      <c r="G745" s="165" t="s">
        <v>338</v>
      </c>
      <c r="H745" s="154" t="s">
        <v>1556</v>
      </c>
      <c r="I745" s="167">
        <f>C34/1000</f>
        <v>41.2</v>
      </c>
      <c r="J745" s="154" t="s">
        <v>338</v>
      </c>
      <c r="K745" s="167">
        <f>(F745*I745)</f>
        <v>164.8</v>
      </c>
      <c r="O745" s="155" t="s">
        <v>881</v>
      </c>
      <c r="R745" s="167">
        <f>R743/M736</f>
        <v>1960.2415230683712</v>
      </c>
      <c r="AE745" s="172" t="str">
        <f t="shared" si="80"/>
        <v>|</v>
      </c>
      <c r="AG745" s="154" t="s">
        <v>1158</v>
      </c>
    </row>
    <row r="746" spans="1:33" ht="24" customHeight="1">
      <c r="A746" s="175">
        <f t="shared" si="82"/>
        <v>543</v>
      </c>
      <c r="B746" s="176" t="s">
        <v>1557</v>
      </c>
      <c r="C746" s="177">
        <v>92</v>
      </c>
      <c r="D746" s="176" t="s">
        <v>1549</v>
      </c>
      <c r="H746" s="154" t="s">
        <v>1558</v>
      </c>
      <c r="R746" s="162" t="s">
        <v>528</v>
      </c>
      <c r="AE746" s="172" t="str">
        <f t="shared" si="80"/>
        <v>|</v>
      </c>
      <c r="AG746" s="154" t="s">
        <v>1158</v>
      </c>
    </row>
    <row r="747" spans="1:33" ht="24" customHeight="1">
      <c r="A747" s="175">
        <f t="shared" si="82"/>
        <v>544</v>
      </c>
      <c r="B747" s="176" t="s">
        <v>1559</v>
      </c>
      <c r="C747" s="177">
        <v>174.24</v>
      </c>
      <c r="D747" s="176" t="s">
        <v>1549</v>
      </c>
      <c r="F747" s="167"/>
      <c r="G747" s="165" t="s">
        <v>589</v>
      </c>
      <c r="H747" s="154" t="s">
        <v>1560</v>
      </c>
      <c r="J747" s="154" t="s">
        <v>589</v>
      </c>
      <c r="K747" s="167">
        <v>40</v>
      </c>
      <c r="AE747" s="172" t="str">
        <f t="shared" si="80"/>
        <v>|</v>
      </c>
      <c r="AG747" s="154" t="s">
        <v>1158</v>
      </c>
    </row>
    <row r="748" spans="1:33" ht="24" customHeight="1">
      <c r="A748" s="175">
        <f t="shared" si="82"/>
        <v>545</v>
      </c>
      <c r="B748" s="176" t="s">
        <v>1561</v>
      </c>
      <c r="C748" s="177">
        <v>215.06</v>
      </c>
      <c r="D748" s="176" t="s">
        <v>1549</v>
      </c>
      <c r="H748" s="154" t="s">
        <v>1562</v>
      </c>
      <c r="K748" s="162" t="s">
        <v>534</v>
      </c>
      <c r="M748" s="155" t="s">
        <v>898</v>
      </c>
      <c r="N748" s="154" t="s">
        <v>1563</v>
      </c>
      <c r="O748" s="154" t="s">
        <v>1564</v>
      </c>
      <c r="AE748" s="172" t="str">
        <f t="shared" si="80"/>
        <v>|</v>
      </c>
      <c r="AG748" s="154" t="s">
        <v>1158</v>
      </c>
    </row>
    <row r="749" spans="1:33" ht="24" customHeight="1">
      <c r="A749" s="175">
        <f t="shared" si="82"/>
        <v>546</v>
      </c>
      <c r="B749" s="176" t="s">
        <v>1565</v>
      </c>
      <c r="C749" s="177">
        <v>97.24</v>
      </c>
      <c r="D749" s="176" t="s">
        <v>1549</v>
      </c>
      <c r="H749" s="155" t="s">
        <v>1566</v>
      </c>
      <c r="K749" s="167">
        <f>SUM(K743:K747)</f>
        <v>759.35200000000009</v>
      </c>
      <c r="O749" s="162" t="s">
        <v>534</v>
      </c>
      <c r="AE749" s="172" t="str">
        <f t="shared" ref="AE749:AE812" si="87">AG749</f>
        <v>|</v>
      </c>
      <c r="AG749" s="154" t="s">
        <v>1158</v>
      </c>
    </row>
    <row r="750" spans="1:33" ht="24" customHeight="1">
      <c r="A750" s="175">
        <f t="shared" si="82"/>
        <v>547</v>
      </c>
      <c r="B750" s="176" t="s">
        <v>1567</v>
      </c>
      <c r="C750" s="177">
        <v>168.96</v>
      </c>
      <c r="D750" s="176" t="s">
        <v>1549</v>
      </c>
      <c r="K750" s="162" t="s">
        <v>534</v>
      </c>
      <c r="M750" s="233">
        <v>2.35E-2</v>
      </c>
      <c r="N750" s="154" t="s">
        <v>577</v>
      </c>
      <c r="O750" s="154" t="s">
        <v>1534</v>
      </c>
      <c r="P750" s="167">
        <f>C86</f>
        <v>34300</v>
      </c>
      <c r="Q750" s="154" t="s">
        <v>577</v>
      </c>
      <c r="R750" s="167">
        <f t="shared" ref="R750:R756" si="88">M750*P750</f>
        <v>806.05</v>
      </c>
      <c r="AE750" s="172" t="str">
        <f t="shared" si="87"/>
        <v>|</v>
      </c>
      <c r="AG750" s="154" t="s">
        <v>1158</v>
      </c>
    </row>
    <row r="751" spans="1:33" ht="24" customHeight="1">
      <c r="A751" s="175">
        <f t="shared" si="82"/>
        <v>548</v>
      </c>
      <c r="B751" s="265" t="s">
        <v>1568</v>
      </c>
      <c r="C751" s="174">
        <v>363</v>
      </c>
      <c r="D751" s="174">
        <v>394</v>
      </c>
      <c r="H751" s="155" t="s">
        <v>1569</v>
      </c>
      <c r="K751" s="167">
        <f>K749/40</f>
        <v>18.983800000000002</v>
      </c>
      <c r="M751" s="233">
        <v>0.872</v>
      </c>
      <c r="N751" s="154" t="s">
        <v>916</v>
      </c>
      <c r="O751" s="154" t="s">
        <v>1509</v>
      </c>
      <c r="P751" s="167">
        <f>C783</f>
        <v>387.4</v>
      </c>
      <c r="Q751" s="154" t="s">
        <v>916</v>
      </c>
      <c r="R751" s="167">
        <f t="shared" si="88"/>
        <v>337.81279999999998</v>
      </c>
      <c r="AE751" s="172" t="str">
        <f t="shared" si="87"/>
        <v>|</v>
      </c>
      <c r="AG751" s="154" t="s">
        <v>1158</v>
      </c>
    </row>
    <row r="752" spans="1:33" ht="24" customHeight="1">
      <c r="A752" s="175">
        <f t="shared" si="82"/>
        <v>549</v>
      </c>
      <c r="B752" s="176" t="s">
        <v>1570</v>
      </c>
      <c r="C752" s="174">
        <v>748</v>
      </c>
      <c r="D752" s="176" t="s">
        <v>1549</v>
      </c>
      <c r="K752" s="162" t="s">
        <v>534</v>
      </c>
      <c r="M752" s="233">
        <v>1.3247</v>
      </c>
      <c r="N752" s="154" t="s">
        <v>916</v>
      </c>
      <c r="O752" s="154" t="s">
        <v>935</v>
      </c>
      <c r="P752" s="167">
        <f>C31</f>
        <v>1105.5</v>
      </c>
      <c r="Q752" s="154" t="s">
        <v>916</v>
      </c>
      <c r="R752" s="167">
        <f t="shared" si="88"/>
        <v>1464.4558500000001</v>
      </c>
      <c r="AE752" s="172" t="str">
        <f t="shared" si="87"/>
        <v>|</v>
      </c>
      <c r="AG752" s="154" t="s">
        <v>1158</v>
      </c>
    </row>
    <row r="753" spans="1:33" ht="24" customHeight="1">
      <c r="A753" s="175">
        <f t="shared" si="82"/>
        <v>550</v>
      </c>
      <c r="B753" s="176" t="s">
        <v>1571</v>
      </c>
      <c r="C753" s="177">
        <v>210</v>
      </c>
      <c r="D753" s="176" t="s">
        <v>1549</v>
      </c>
      <c r="H753" s="154" t="s">
        <v>1572</v>
      </c>
      <c r="M753" s="167">
        <v>1</v>
      </c>
      <c r="N753" s="154" t="s">
        <v>576</v>
      </c>
      <c r="O753" s="154" t="s">
        <v>1511</v>
      </c>
      <c r="P753" s="167">
        <f>C299</f>
        <v>10.5</v>
      </c>
      <c r="Q753" s="154" t="s">
        <v>576</v>
      </c>
      <c r="R753" s="167">
        <f t="shared" si="88"/>
        <v>10.5</v>
      </c>
      <c r="AE753" s="172" t="str">
        <f t="shared" si="87"/>
        <v>|</v>
      </c>
      <c r="AG753" s="154" t="s">
        <v>1158</v>
      </c>
    </row>
    <row r="754" spans="1:33" ht="24" customHeight="1">
      <c r="A754" s="175">
        <f t="shared" si="82"/>
        <v>551</v>
      </c>
      <c r="B754" s="176" t="s">
        <v>1573</v>
      </c>
      <c r="C754" s="174">
        <v>1420</v>
      </c>
      <c r="D754" s="176" t="s">
        <v>916</v>
      </c>
      <c r="H754" s="154" t="s">
        <v>1574</v>
      </c>
      <c r="M754" s="167">
        <v>3</v>
      </c>
      <c r="N754" s="154" t="s">
        <v>576</v>
      </c>
      <c r="O754" s="154" t="s">
        <v>1575</v>
      </c>
      <c r="P754" s="167">
        <f>C294</f>
        <v>5.75</v>
      </c>
      <c r="Q754" s="154" t="s">
        <v>576</v>
      </c>
      <c r="R754" s="167">
        <f t="shared" si="88"/>
        <v>17.25</v>
      </c>
      <c r="AE754" s="172" t="str">
        <f t="shared" si="87"/>
        <v>|</v>
      </c>
      <c r="AG754" s="154" t="s">
        <v>1158</v>
      </c>
    </row>
    <row r="755" spans="1:33" ht="24" customHeight="1">
      <c r="A755" s="175">
        <f t="shared" si="82"/>
        <v>552</v>
      </c>
      <c r="B755" s="176" t="s">
        <v>1576</v>
      </c>
      <c r="C755" s="188"/>
      <c r="D755" s="176" t="s">
        <v>22</v>
      </c>
      <c r="H755" s="154" t="s">
        <v>1577</v>
      </c>
      <c r="M755" s="167">
        <v>1</v>
      </c>
      <c r="N755" s="154" t="s">
        <v>576</v>
      </c>
      <c r="O755" s="154" t="s">
        <v>1578</v>
      </c>
      <c r="P755" s="167">
        <f>C302</f>
        <v>10</v>
      </c>
      <c r="Q755" s="154" t="s">
        <v>576</v>
      </c>
      <c r="R755" s="167">
        <f t="shared" si="88"/>
        <v>10</v>
      </c>
      <c r="AE755" s="172" t="str">
        <f t="shared" si="87"/>
        <v>|</v>
      </c>
      <c r="AG755" s="154" t="s">
        <v>1158</v>
      </c>
    </row>
    <row r="756" spans="1:33" ht="24" customHeight="1">
      <c r="A756" s="175">
        <f t="shared" si="82"/>
        <v>553</v>
      </c>
      <c r="B756" s="176" t="s">
        <v>1579</v>
      </c>
      <c r="C756" s="188"/>
      <c r="D756" s="188"/>
      <c r="M756" s="167">
        <v>1</v>
      </c>
      <c r="N756" s="154" t="s">
        <v>576</v>
      </c>
      <c r="O756" s="154" t="s">
        <v>939</v>
      </c>
      <c r="P756" s="167">
        <f>C303</f>
        <v>4</v>
      </c>
      <c r="Q756" s="154" t="s">
        <v>576</v>
      </c>
      <c r="R756" s="167">
        <f t="shared" si="88"/>
        <v>4</v>
      </c>
      <c r="AE756" s="172" t="str">
        <f t="shared" si="87"/>
        <v>|</v>
      </c>
      <c r="AG756" s="154" t="s">
        <v>1158</v>
      </c>
    </row>
    <row r="757" spans="1:33" ht="24" customHeight="1">
      <c r="A757" s="175">
        <f t="shared" si="82"/>
        <v>554</v>
      </c>
      <c r="B757" s="176" t="s">
        <v>1580</v>
      </c>
      <c r="C757" s="177">
        <v>300</v>
      </c>
      <c r="D757" s="176" t="s">
        <v>1581</v>
      </c>
      <c r="F757" s="167">
        <v>19</v>
      </c>
      <c r="G757" s="165" t="s">
        <v>3</v>
      </c>
      <c r="H757" s="154" t="s">
        <v>1582</v>
      </c>
      <c r="I757" s="198">
        <f>K751</f>
        <v>18.983800000000002</v>
      </c>
      <c r="J757" s="154" t="s">
        <v>1583</v>
      </c>
      <c r="K757" s="167">
        <f>(F757*I757)</f>
        <v>360.69220000000007</v>
      </c>
      <c r="N757" s="154" t="s">
        <v>589</v>
      </c>
      <c r="O757" s="154" t="s">
        <v>590</v>
      </c>
      <c r="Q757" s="154" t="s">
        <v>589</v>
      </c>
      <c r="R757" s="167">
        <v>0</v>
      </c>
      <c r="AE757" s="172" t="str">
        <f t="shared" si="87"/>
        <v>|</v>
      </c>
      <c r="AG757" s="154" t="s">
        <v>1158</v>
      </c>
    </row>
    <row r="758" spans="1:33" ht="24" customHeight="1">
      <c r="A758" s="175">
        <f t="shared" si="82"/>
        <v>555</v>
      </c>
      <c r="B758" s="272" t="s">
        <v>1584</v>
      </c>
      <c r="C758" s="177">
        <v>302</v>
      </c>
      <c r="D758" s="176" t="s">
        <v>1581</v>
      </c>
      <c r="H758" s="154" t="s">
        <v>1585</v>
      </c>
      <c r="R758" s="162" t="s">
        <v>534</v>
      </c>
      <c r="AE758" s="172" t="str">
        <f t="shared" si="87"/>
        <v>|</v>
      </c>
      <c r="AG758" s="154" t="s">
        <v>1158</v>
      </c>
    </row>
    <row r="759" spans="1:33" ht="24" customHeight="1">
      <c r="A759" s="175">
        <f t="shared" si="82"/>
        <v>556</v>
      </c>
      <c r="B759" s="176" t="s">
        <v>1586</v>
      </c>
      <c r="C759" s="177">
        <v>382</v>
      </c>
      <c r="D759" s="176" t="s">
        <v>1581</v>
      </c>
      <c r="F759" s="167">
        <v>0.12</v>
      </c>
      <c r="G759" s="165" t="s">
        <v>238</v>
      </c>
      <c r="H759" s="154" t="s">
        <v>1587</v>
      </c>
      <c r="I759" s="167">
        <f>C269/5</f>
        <v>3100</v>
      </c>
      <c r="J759" s="154" t="s">
        <v>1583</v>
      </c>
      <c r="K759" s="167">
        <f t="shared" ref="K759:K766" si="89">(F759*I759)</f>
        <v>372</v>
      </c>
      <c r="O759" s="155" t="s">
        <v>1588</v>
      </c>
      <c r="R759" s="167">
        <f>SUM(R750:R757)</f>
        <v>2650.0686500000002</v>
      </c>
      <c r="AE759" s="172" t="str">
        <f t="shared" si="87"/>
        <v>|</v>
      </c>
      <c r="AG759" s="154" t="s">
        <v>1158</v>
      </c>
    </row>
    <row r="760" spans="1:33" ht="24" customHeight="1">
      <c r="A760" s="175">
        <f t="shared" si="82"/>
        <v>557</v>
      </c>
      <c r="B760" s="176" t="s">
        <v>1589</v>
      </c>
      <c r="C760" s="177">
        <v>140</v>
      </c>
      <c r="D760" s="176" t="s">
        <v>1581</v>
      </c>
      <c r="F760" s="167">
        <v>98.5</v>
      </c>
      <c r="G760" s="165" t="s">
        <v>41</v>
      </c>
      <c r="H760" s="154" t="s">
        <v>1590</v>
      </c>
      <c r="I760" s="167">
        <f>C270/5</f>
        <v>5.04</v>
      </c>
      <c r="J760" s="154" t="s">
        <v>1583</v>
      </c>
      <c r="K760" s="167">
        <f t="shared" si="89"/>
        <v>496.44</v>
      </c>
      <c r="R760" s="162" t="s">
        <v>534</v>
      </c>
      <c r="AE760" s="172" t="str">
        <f t="shared" si="87"/>
        <v>|</v>
      </c>
      <c r="AG760" s="154" t="s">
        <v>1158</v>
      </c>
    </row>
    <row r="761" spans="1:33" ht="24" customHeight="1">
      <c r="A761" s="175">
        <f t="shared" si="82"/>
        <v>558</v>
      </c>
      <c r="B761" s="176" t="s">
        <v>1591</v>
      </c>
      <c r="C761" s="177">
        <v>222</v>
      </c>
      <c r="D761" s="176" t="s">
        <v>1581</v>
      </c>
      <c r="F761" s="167">
        <v>1</v>
      </c>
      <c r="G761" s="165" t="s">
        <v>589</v>
      </c>
      <c r="H761" s="154" t="s">
        <v>1592</v>
      </c>
      <c r="I761" s="230">
        <v>11</v>
      </c>
      <c r="J761" s="154" t="s">
        <v>589</v>
      </c>
      <c r="K761" s="167">
        <f t="shared" si="89"/>
        <v>11</v>
      </c>
      <c r="O761" s="155" t="s">
        <v>881</v>
      </c>
      <c r="R761" s="167">
        <f>R759/1.3247</f>
        <v>2000.5047557937648</v>
      </c>
      <c r="AE761" s="172" t="str">
        <f t="shared" si="87"/>
        <v>|</v>
      </c>
      <c r="AG761" s="154" t="s">
        <v>1158</v>
      </c>
    </row>
    <row r="762" spans="1:33" ht="24" customHeight="1">
      <c r="A762" s="175">
        <f t="shared" si="82"/>
        <v>559</v>
      </c>
      <c r="B762" s="176" t="s">
        <v>1593</v>
      </c>
      <c r="C762" s="177">
        <v>505</v>
      </c>
      <c r="D762" s="176" t="s">
        <v>1581</v>
      </c>
      <c r="F762" s="167">
        <v>3.8</v>
      </c>
      <c r="G762" s="165" t="s">
        <v>42</v>
      </c>
      <c r="H762" s="154" t="s">
        <v>1594</v>
      </c>
      <c r="I762" s="167">
        <f>C16</f>
        <v>701.80000000000007</v>
      </c>
      <c r="J762" s="154" t="s">
        <v>332</v>
      </c>
      <c r="K762" s="167">
        <f t="shared" si="89"/>
        <v>2666.84</v>
      </c>
      <c r="R762" s="162" t="s">
        <v>528</v>
      </c>
      <c r="AE762" s="172" t="str">
        <f t="shared" si="87"/>
        <v>|</v>
      </c>
      <c r="AG762" s="154" t="s">
        <v>1158</v>
      </c>
    </row>
    <row r="763" spans="1:33" ht="24" customHeight="1">
      <c r="A763" s="175">
        <f t="shared" si="82"/>
        <v>560</v>
      </c>
      <c r="B763" s="176" t="s">
        <v>1595</v>
      </c>
      <c r="C763" s="174">
        <v>270.5</v>
      </c>
      <c r="D763" s="176" t="s">
        <v>1549</v>
      </c>
      <c r="F763" s="167">
        <v>5.4</v>
      </c>
      <c r="G763" s="165" t="s">
        <v>42</v>
      </c>
      <c r="H763" s="154" t="s">
        <v>1264</v>
      </c>
      <c r="I763" s="167">
        <f>C12</f>
        <v>468.6</v>
      </c>
      <c r="J763" s="154" t="s">
        <v>332</v>
      </c>
      <c r="K763" s="167">
        <f t="shared" si="89"/>
        <v>2530.4400000000005</v>
      </c>
      <c r="N763" s="154" t="s">
        <v>307</v>
      </c>
      <c r="AE763" s="172" t="str">
        <f t="shared" si="87"/>
        <v>|</v>
      </c>
      <c r="AG763" s="154" t="s">
        <v>1158</v>
      </c>
    </row>
    <row r="764" spans="1:33" ht="24" customHeight="1">
      <c r="A764" s="188" t="s">
        <v>1596</v>
      </c>
      <c r="B764" s="176" t="s">
        <v>1597</v>
      </c>
      <c r="C764" s="174">
        <v>991</v>
      </c>
      <c r="D764" s="176" t="s">
        <v>1549</v>
      </c>
      <c r="F764" s="167">
        <v>1</v>
      </c>
      <c r="G764" s="165" t="s">
        <v>42</v>
      </c>
      <c r="H764" s="154" t="s">
        <v>1598</v>
      </c>
      <c r="I764" s="167">
        <f>C66</f>
        <v>616</v>
      </c>
      <c r="J764" s="154" t="s">
        <v>332</v>
      </c>
      <c r="K764" s="167">
        <f t="shared" si="89"/>
        <v>616</v>
      </c>
      <c r="O764" s="154" t="s">
        <v>1599</v>
      </c>
      <c r="AE764" s="172" t="str">
        <f t="shared" si="87"/>
        <v>|</v>
      </c>
      <c r="AG764" s="154" t="s">
        <v>1158</v>
      </c>
    </row>
    <row r="765" spans="1:33" ht="24" customHeight="1">
      <c r="A765" s="175">
        <f>(A763+1)</f>
        <v>561</v>
      </c>
      <c r="B765" s="176" t="s">
        <v>1600</v>
      </c>
      <c r="C765" s="177">
        <v>43.3</v>
      </c>
      <c r="D765" s="176" t="s">
        <v>410</v>
      </c>
      <c r="F765" s="167">
        <v>1</v>
      </c>
      <c r="G765" s="165" t="s">
        <v>589</v>
      </c>
      <c r="H765" s="154" t="s">
        <v>1601</v>
      </c>
      <c r="I765" s="230">
        <v>10</v>
      </c>
      <c r="J765" s="154" t="s">
        <v>589</v>
      </c>
      <c r="K765" s="167">
        <f t="shared" si="89"/>
        <v>10</v>
      </c>
      <c r="O765" s="154" t="s">
        <v>1602</v>
      </c>
      <c r="AE765" s="172" t="str">
        <f t="shared" si="87"/>
        <v>|</v>
      </c>
      <c r="AG765" s="154" t="s">
        <v>1158</v>
      </c>
    </row>
    <row r="766" spans="1:33" ht="24" customHeight="1">
      <c r="A766" s="175">
        <f t="shared" ref="A766:A783" si="90">(A765+1)</f>
        <v>562</v>
      </c>
      <c r="B766" s="176" t="s">
        <v>1603</v>
      </c>
      <c r="C766" s="177">
        <v>218</v>
      </c>
      <c r="D766" s="176" t="s">
        <v>1549</v>
      </c>
      <c r="F766" s="167">
        <v>19</v>
      </c>
      <c r="G766" s="165" t="s">
        <v>3</v>
      </c>
      <c r="H766" s="154" t="s">
        <v>1604</v>
      </c>
      <c r="I766" s="230">
        <v>2</v>
      </c>
      <c r="J766" s="154" t="s">
        <v>3</v>
      </c>
      <c r="K766" s="167">
        <f t="shared" si="89"/>
        <v>38</v>
      </c>
      <c r="O766" s="154" t="s">
        <v>1605</v>
      </c>
      <c r="AE766" s="172" t="str">
        <f t="shared" si="87"/>
        <v>|</v>
      </c>
      <c r="AG766" s="154" t="s">
        <v>1158</v>
      </c>
    </row>
    <row r="767" spans="1:33" ht="24" customHeight="1">
      <c r="A767" s="175">
        <f t="shared" si="90"/>
        <v>563</v>
      </c>
      <c r="B767" s="176" t="s">
        <v>1606</v>
      </c>
      <c r="C767" s="177">
        <v>926</v>
      </c>
      <c r="D767" s="176" t="s">
        <v>1549</v>
      </c>
      <c r="H767" s="154" t="s">
        <v>1607</v>
      </c>
      <c r="K767" s="162" t="s">
        <v>534</v>
      </c>
      <c r="O767" s="154" t="s">
        <v>1608</v>
      </c>
      <c r="AE767" s="172" t="str">
        <f t="shared" si="87"/>
        <v>|</v>
      </c>
      <c r="AG767" s="154" t="s">
        <v>1158</v>
      </c>
    </row>
    <row r="768" spans="1:33" ht="24" customHeight="1">
      <c r="A768" s="175">
        <f t="shared" si="90"/>
        <v>564</v>
      </c>
      <c r="B768" s="176" t="s">
        <v>1609</v>
      </c>
      <c r="C768" s="177">
        <v>5.15</v>
      </c>
      <c r="D768" s="176" t="s">
        <v>410</v>
      </c>
      <c r="H768" s="155" t="s">
        <v>879</v>
      </c>
      <c r="K768" s="167">
        <f>SUM(K757:K766)+0.07</f>
        <v>7101.4822000000004</v>
      </c>
      <c r="O768" s="162" t="s">
        <v>534</v>
      </c>
      <c r="AE768" s="172" t="str">
        <f t="shared" si="87"/>
        <v>|</v>
      </c>
      <c r="AG768" s="154" t="s">
        <v>1158</v>
      </c>
    </row>
    <row r="769" spans="1:33" ht="24" customHeight="1">
      <c r="A769" s="175">
        <f t="shared" si="90"/>
        <v>565</v>
      </c>
      <c r="B769" s="176" t="s">
        <v>1610</v>
      </c>
      <c r="C769" s="177">
        <v>550</v>
      </c>
      <c r="D769" s="176" t="s">
        <v>1549</v>
      </c>
      <c r="K769" s="162" t="s">
        <v>534</v>
      </c>
      <c r="AE769" s="172" t="str">
        <f t="shared" si="87"/>
        <v>|</v>
      </c>
      <c r="AG769" s="154" t="s">
        <v>1158</v>
      </c>
    </row>
    <row r="770" spans="1:33" ht="24" customHeight="1">
      <c r="A770" s="175">
        <f t="shared" si="90"/>
        <v>566</v>
      </c>
      <c r="B770" s="176" t="s">
        <v>1611</v>
      </c>
      <c r="C770" s="177">
        <v>286</v>
      </c>
      <c r="D770" s="176" t="s">
        <v>1549</v>
      </c>
      <c r="H770" s="155" t="s">
        <v>881</v>
      </c>
      <c r="K770" s="167">
        <f>(K768/10)</f>
        <v>710.14822000000004</v>
      </c>
      <c r="O770" s="154" t="s">
        <v>1612</v>
      </c>
      <c r="R770" s="167">
        <f>(C723)</f>
        <v>1183.82</v>
      </c>
      <c r="AE770" s="172" t="str">
        <f t="shared" si="87"/>
        <v>|</v>
      </c>
      <c r="AG770" s="154" t="s">
        <v>1158</v>
      </c>
    </row>
    <row r="771" spans="1:33" ht="24" customHeight="1">
      <c r="A771" s="175">
        <f t="shared" si="90"/>
        <v>567</v>
      </c>
      <c r="B771" s="176" t="s">
        <v>1613</v>
      </c>
      <c r="C771" s="177">
        <v>96.3</v>
      </c>
      <c r="D771" s="176" t="s">
        <v>410</v>
      </c>
      <c r="F771" s="154" t="s">
        <v>22</v>
      </c>
      <c r="R771" s="162" t="s">
        <v>528</v>
      </c>
      <c r="AE771" s="172" t="str">
        <f t="shared" si="87"/>
        <v>|</v>
      </c>
      <c r="AG771" s="154" t="s">
        <v>1158</v>
      </c>
    </row>
    <row r="772" spans="1:33" ht="24" customHeight="1">
      <c r="A772" s="175">
        <f t="shared" si="90"/>
        <v>568</v>
      </c>
      <c r="B772" s="176" t="s">
        <v>1614</v>
      </c>
      <c r="C772" s="177">
        <v>51</v>
      </c>
      <c r="D772" s="176" t="s">
        <v>1549</v>
      </c>
      <c r="K772" s="162" t="s">
        <v>528</v>
      </c>
      <c r="AE772" s="172" t="str">
        <f t="shared" si="87"/>
        <v>|</v>
      </c>
      <c r="AG772" s="154" t="s">
        <v>1158</v>
      </c>
    </row>
    <row r="773" spans="1:33" ht="24" customHeight="1">
      <c r="A773" s="175">
        <f t="shared" si="90"/>
        <v>569</v>
      </c>
      <c r="B773" s="176" t="s">
        <v>1615</v>
      </c>
      <c r="C773" s="177">
        <v>181</v>
      </c>
      <c r="D773" s="176" t="s">
        <v>1314</v>
      </c>
      <c r="F773" s="155" t="s">
        <v>671</v>
      </c>
      <c r="G773" s="165" t="s">
        <v>307</v>
      </c>
      <c r="H773" s="154" t="s">
        <v>1616</v>
      </c>
      <c r="N773" s="154" t="s">
        <v>307</v>
      </c>
      <c r="O773" s="154" t="s">
        <v>1617</v>
      </c>
      <c r="AE773" s="172" t="str">
        <f t="shared" si="87"/>
        <v>|</v>
      </c>
      <c r="AG773" s="154" t="s">
        <v>1158</v>
      </c>
    </row>
    <row r="774" spans="1:33" ht="24" customHeight="1">
      <c r="A774" s="175">
        <f t="shared" si="90"/>
        <v>570</v>
      </c>
      <c r="B774" s="176" t="s">
        <v>1618</v>
      </c>
      <c r="C774" s="177">
        <v>36.200000000000003</v>
      </c>
      <c r="D774" s="176" t="s">
        <v>410</v>
      </c>
      <c r="H774" s="154" t="s">
        <v>1619</v>
      </c>
      <c r="O774" s="162" t="s">
        <v>528</v>
      </c>
      <c r="P774" s="162" t="s">
        <v>528</v>
      </c>
      <c r="Q774" s="162" t="s">
        <v>528</v>
      </c>
      <c r="R774" s="154" t="s">
        <v>1620</v>
      </c>
      <c r="AE774" s="172" t="str">
        <f t="shared" si="87"/>
        <v>|</v>
      </c>
      <c r="AG774" s="154" t="s">
        <v>1158</v>
      </c>
    </row>
    <row r="775" spans="1:33" ht="24" customHeight="1">
      <c r="A775" s="175">
        <f t="shared" si="90"/>
        <v>571</v>
      </c>
      <c r="B775" s="176" t="s">
        <v>1621</v>
      </c>
      <c r="C775" s="177">
        <v>98</v>
      </c>
      <c r="D775" s="176" t="s">
        <v>1549</v>
      </c>
      <c r="H775" s="154" t="s">
        <v>1622</v>
      </c>
      <c r="O775" s="154" t="s">
        <v>1623</v>
      </c>
      <c r="Q775" s="155" t="s">
        <v>41</v>
      </c>
      <c r="R775" s="167">
        <f>(C726)</f>
        <v>147.6</v>
      </c>
      <c r="AE775" s="172" t="str">
        <f t="shared" si="87"/>
        <v>|</v>
      </c>
      <c r="AG775" s="154" t="s">
        <v>1158</v>
      </c>
    </row>
    <row r="776" spans="1:33" ht="24" customHeight="1">
      <c r="A776" s="175">
        <f t="shared" si="90"/>
        <v>572</v>
      </c>
      <c r="B776" s="176" t="s">
        <v>1624</v>
      </c>
      <c r="C776" s="177">
        <v>92</v>
      </c>
      <c r="D776" s="176" t="s">
        <v>410</v>
      </c>
      <c r="H776" s="162" t="s">
        <v>534</v>
      </c>
      <c r="O776" s="154" t="s">
        <v>1625</v>
      </c>
      <c r="AE776" s="172" t="str">
        <f t="shared" si="87"/>
        <v>|::</v>
      </c>
      <c r="AG776" s="154" t="s">
        <v>947</v>
      </c>
    </row>
    <row r="777" spans="1:33" ht="24" customHeight="1">
      <c r="A777" s="175">
        <f t="shared" si="90"/>
        <v>573</v>
      </c>
      <c r="B777" s="176" t="s">
        <v>1626</v>
      </c>
      <c r="C777" s="177">
        <v>49.42</v>
      </c>
      <c r="D777" s="176" t="s">
        <v>1549</v>
      </c>
      <c r="F777" s="167">
        <v>10</v>
      </c>
      <c r="G777" s="165" t="s">
        <v>916</v>
      </c>
      <c r="H777" s="154" t="s">
        <v>1627</v>
      </c>
      <c r="I777" s="167">
        <f>(K757)*1.2</f>
        <v>432.83064000000007</v>
      </c>
      <c r="J777" s="154" t="s">
        <v>1583</v>
      </c>
      <c r="K777" s="167">
        <f>(F777*I777)/10</f>
        <v>432.83064000000002</v>
      </c>
      <c r="O777" s="154" t="s">
        <v>1628</v>
      </c>
      <c r="AE777" s="172">
        <f t="shared" si="87"/>
        <v>0</v>
      </c>
    </row>
    <row r="778" spans="1:33" ht="24" customHeight="1">
      <c r="A778" s="175">
        <f t="shared" si="90"/>
        <v>574</v>
      </c>
      <c r="B778" s="176" t="s">
        <v>1629</v>
      </c>
      <c r="C778" s="177">
        <v>53.2</v>
      </c>
      <c r="D778" s="176" t="s">
        <v>1549</v>
      </c>
      <c r="H778" s="154" t="s">
        <v>1630</v>
      </c>
      <c r="O778" s="154" t="s">
        <v>1631</v>
      </c>
      <c r="AE778" s="172">
        <f t="shared" si="87"/>
        <v>0</v>
      </c>
    </row>
    <row r="779" spans="1:33" ht="24" customHeight="1">
      <c r="A779" s="175">
        <f t="shared" si="90"/>
        <v>575</v>
      </c>
      <c r="B779" s="176" t="s">
        <v>1632</v>
      </c>
      <c r="C779" s="177">
        <v>59</v>
      </c>
      <c r="D779" s="176" t="s">
        <v>1549</v>
      </c>
      <c r="H779" s="154" t="s">
        <v>1633</v>
      </c>
      <c r="O779" s="154" t="s">
        <v>1634</v>
      </c>
      <c r="AE779" s="172" t="str">
        <f t="shared" si="87"/>
        <v>|</v>
      </c>
      <c r="AG779" s="154" t="s">
        <v>1158</v>
      </c>
    </row>
    <row r="780" spans="1:33" ht="24" customHeight="1">
      <c r="A780" s="175">
        <f t="shared" si="90"/>
        <v>576</v>
      </c>
      <c r="B780" s="176" t="s">
        <v>1635</v>
      </c>
      <c r="C780" s="177">
        <v>100</v>
      </c>
      <c r="D780" s="176" t="s">
        <v>1549</v>
      </c>
      <c r="F780" s="167">
        <v>10</v>
      </c>
      <c r="G780" s="165" t="s">
        <v>916</v>
      </c>
      <c r="H780" s="154" t="s">
        <v>1636</v>
      </c>
      <c r="I780" s="167">
        <f>K759*1.2</f>
        <v>446.4</v>
      </c>
      <c r="J780" s="154" t="s">
        <v>1583</v>
      </c>
      <c r="K780" s="167">
        <f>(F780*I780)/10</f>
        <v>446.4</v>
      </c>
      <c r="O780" s="154" t="s">
        <v>1637</v>
      </c>
      <c r="R780" s="154" t="s">
        <v>22</v>
      </c>
      <c r="AE780" s="172">
        <f t="shared" si="87"/>
        <v>0</v>
      </c>
    </row>
    <row r="781" spans="1:33" ht="24" customHeight="1">
      <c r="A781" s="175">
        <f t="shared" si="90"/>
        <v>577</v>
      </c>
      <c r="B781" s="176" t="s">
        <v>1638</v>
      </c>
      <c r="C781" s="177">
        <v>49.52</v>
      </c>
      <c r="D781" s="176" t="s">
        <v>410</v>
      </c>
      <c r="H781" s="154" t="s">
        <v>1639</v>
      </c>
      <c r="O781" s="154" t="s">
        <v>22</v>
      </c>
      <c r="AE781" s="172" t="str">
        <f t="shared" si="87"/>
        <v>|</v>
      </c>
      <c r="AG781" s="154" t="s">
        <v>1158</v>
      </c>
    </row>
    <row r="782" spans="1:33" ht="24" customHeight="1">
      <c r="A782" s="175">
        <f t="shared" si="90"/>
        <v>578</v>
      </c>
      <c r="B782" s="176" t="s">
        <v>1640</v>
      </c>
      <c r="C782" s="177">
        <v>1080</v>
      </c>
      <c r="D782" s="176" t="s">
        <v>1549</v>
      </c>
      <c r="H782" s="154" t="s">
        <v>1641</v>
      </c>
      <c r="AE782" s="172" t="str">
        <f t="shared" si="87"/>
        <v>|</v>
      </c>
      <c r="AG782" s="154" t="s">
        <v>1158</v>
      </c>
    </row>
    <row r="783" spans="1:33" ht="24" customHeight="1">
      <c r="A783" s="175">
        <f t="shared" si="90"/>
        <v>579</v>
      </c>
      <c r="B783" s="176" t="s">
        <v>1642</v>
      </c>
      <c r="C783" s="195">
        <v>387.4</v>
      </c>
      <c r="D783" s="176" t="s">
        <v>916</v>
      </c>
      <c r="F783" s="167">
        <v>98.5</v>
      </c>
      <c r="G783" s="165" t="s">
        <v>41</v>
      </c>
      <c r="H783" s="154" t="s">
        <v>1590</v>
      </c>
      <c r="I783" s="167">
        <f>C270/5</f>
        <v>5.04</v>
      </c>
      <c r="J783" s="154" t="s">
        <v>1583</v>
      </c>
      <c r="K783" s="167">
        <f t="shared" ref="K783:K789" si="91">(F783*I783)</f>
        <v>496.44</v>
      </c>
      <c r="N783" s="154" t="s">
        <v>307</v>
      </c>
      <c r="O783" s="154" t="s">
        <v>1643</v>
      </c>
      <c r="Q783" s="155" t="s">
        <v>250</v>
      </c>
      <c r="R783" s="167">
        <f>(C730)</f>
        <v>1250</v>
      </c>
      <c r="AE783" s="172" t="str">
        <f t="shared" si="87"/>
        <v>|</v>
      </c>
      <c r="AG783" s="154" t="s">
        <v>1158</v>
      </c>
    </row>
    <row r="784" spans="1:33" ht="24" customHeight="1">
      <c r="A784" s="175" t="e">
        <f>(#REF!+1)</f>
        <v>#REF!</v>
      </c>
      <c r="B784" s="176" t="s">
        <v>1579</v>
      </c>
      <c r="C784" s="188"/>
      <c r="D784" s="188"/>
      <c r="F784" s="167">
        <v>3.8</v>
      </c>
      <c r="G784" s="165" t="s">
        <v>680</v>
      </c>
      <c r="H784" s="154" t="s">
        <v>1521</v>
      </c>
      <c r="I784" s="167">
        <f>(C16)</f>
        <v>701.80000000000007</v>
      </c>
      <c r="J784" s="154" t="s">
        <v>680</v>
      </c>
      <c r="K784" s="167">
        <f t="shared" si="91"/>
        <v>2666.84</v>
      </c>
      <c r="O784" s="154" t="s">
        <v>1644</v>
      </c>
      <c r="AE784" s="172" t="str">
        <f t="shared" si="87"/>
        <v>|</v>
      </c>
      <c r="AG784" s="154" t="s">
        <v>1158</v>
      </c>
    </row>
    <row r="785" spans="1:33" ht="24" customHeight="1">
      <c r="A785" s="175"/>
      <c r="B785" s="176" t="s">
        <v>1580</v>
      </c>
      <c r="C785" s="177">
        <v>300</v>
      </c>
      <c r="D785" s="188"/>
      <c r="F785" s="167">
        <v>5.4</v>
      </c>
      <c r="G785" s="165" t="s">
        <v>680</v>
      </c>
      <c r="H785" s="154" t="s">
        <v>754</v>
      </c>
      <c r="I785" s="167">
        <f>(C12)</f>
        <v>468.6</v>
      </c>
      <c r="J785" s="154" t="s">
        <v>680</v>
      </c>
      <c r="K785" s="167">
        <f t="shared" si="91"/>
        <v>2530.4400000000005</v>
      </c>
      <c r="O785" s="154" t="s">
        <v>1645</v>
      </c>
      <c r="AE785" s="172" t="str">
        <f t="shared" si="87"/>
        <v>|</v>
      </c>
      <c r="AG785" s="154" t="s">
        <v>1158</v>
      </c>
    </row>
    <row r="786" spans="1:33" ht="24" customHeight="1">
      <c r="A786" s="175"/>
      <c r="B786" s="272" t="s">
        <v>1584</v>
      </c>
      <c r="C786" s="177">
        <v>302</v>
      </c>
      <c r="D786" s="188"/>
      <c r="F786" s="167">
        <v>1</v>
      </c>
      <c r="G786" s="165" t="s">
        <v>680</v>
      </c>
      <c r="H786" s="154" t="s">
        <v>1598</v>
      </c>
      <c r="I786" s="167">
        <f>C66</f>
        <v>616</v>
      </c>
      <c r="J786" s="154" t="s">
        <v>332</v>
      </c>
      <c r="K786" s="167">
        <f t="shared" si="91"/>
        <v>616</v>
      </c>
      <c r="O786" s="154" t="s">
        <v>1646</v>
      </c>
      <c r="AE786" s="172" t="str">
        <f t="shared" si="87"/>
        <v>|</v>
      </c>
      <c r="AG786" s="154" t="s">
        <v>1158</v>
      </c>
    </row>
    <row r="787" spans="1:33" ht="24" customHeight="1">
      <c r="A787" s="175"/>
      <c r="B787" s="176" t="s">
        <v>1647</v>
      </c>
      <c r="C787" s="177">
        <v>324</v>
      </c>
      <c r="D787" s="188"/>
      <c r="F787" s="167">
        <v>1</v>
      </c>
      <c r="G787" s="165" t="s">
        <v>589</v>
      </c>
      <c r="H787" s="154" t="s">
        <v>1648</v>
      </c>
      <c r="I787" s="167">
        <f>I761</f>
        <v>11</v>
      </c>
      <c r="J787" s="154" t="s">
        <v>332</v>
      </c>
      <c r="K787" s="167">
        <f t="shared" si="91"/>
        <v>11</v>
      </c>
      <c r="AE787" s="172" t="str">
        <f t="shared" si="87"/>
        <v>|</v>
      </c>
      <c r="AG787" s="154" t="s">
        <v>1158</v>
      </c>
    </row>
    <row r="788" spans="1:33" ht="24" customHeight="1">
      <c r="A788" s="175"/>
      <c r="B788" s="176" t="s">
        <v>1586</v>
      </c>
      <c r="C788" s="177">
        <v>382</v>
      </c>
      <c r="D788" s="188"/>
      <c r="F788" s="167">
        <v>1</v>
      </c>
      <c r="G788" s="165" t="s">
        <v>589</v>
      </c>
      <c r="H788" s="154" t="s">
        <v>1524</v>
      </c>
      <c r="I788" s="273">
        <v>10</v>
      </c>
      <c r="J788" s="154" t="s">
        <v>589</v>
      </c>
      <c r="K788" s="167">
        <f t="shared" si="91"/>
        <v>10</v>
      </c>
      <c r="N788" s="154" t="s">
        <v>307</v>
      </c>
      <c r="O788" s="154" t="s">
        <v>1649</v>
      </c>
      <c r="AE788" s="172" t="str">
        <f t="shared" si="87"/>
        <v>|</v>
      </c>
      <c r="AG788" s="154" t="s">
        <v>1158</v>
      </c>
    </row>
    <row r="789" spans="1:33" ht="24" customHeight="1">
      <c r="A789" s="175"/>
      <c r="B789" s="176" t="s">
        <v>1593</v>
      </c>
      <c r="C789" s="177">
        <v>505</v>
      </c>
      <c r="D789" s="188"/>
      <c r="F789" s="167">
        <v>19</v>
      </c>
      <c r="G789" s="165" t="s">
        <v>3</v>
      </c>
      <c r="H789" s="154" t="s">
        <v>1650</v>
      </c>
      <c r="I789" s="273">
        <v>2</v>
      </c>
      <c r="J789" s="158" t="s">
        <v>3</v>
      </c>
      <c r="K789" s="167">
        <f t="shared" si="91"/>
        <v>38</v>
      </c>
      <c r="O789" s="154" t="s">
        <v>1651</v>
      </c>
      <c r="R789" s="154" t="s">
        <v>22</v>
      </c>
      <c r="AE789" s="172" t="str">
        <f t="shared" si="87"/>
        <v>|</v>
      </c>
      <c r="AG789" s="154" t="s">
        <v>1158</v>
      </c>
    </row>
    <row r="790" spans="1:33" ht="24" customHeight="1">
      <c r="A790" s="175"/>
      <c r="B790" s="176" t="s">
        <v>1589</v>
      </c>
      <c r="C790" s="177">
        <v>140</v>
      </c>
      <c r="D790" s="188"/>
      <c r="H790" s="154" t="s">
        <v>1652</v>
      </c>
      <c r="O790" s="154" t="s">
        <v>1653</v>
      </c>
      <c r="AE790" s="172" t="str">
        <f t="shared" si="87"/>
        <v>|</v>
      </c>
      <c r="AG790" s="154" t="s">
        <v>1158</v>
      </c>
    </row>
    <row r="791" spans="1:33" ht="24" customHeight="1">
      <c r="A791" s="175"/>
      <c r="B791" s="176" t="s">
        <v>1591</v>
      </c>
      <c r="C791" s="177">
        <v>222</v>
      </c>
      <c r="D791" s="188"/>
      <c r="K791" s="162" t="s">
        <v>534</v>
      </c>
      <c r="O791" s="162" t="s">
        <v>534</v>
      </c>
      <c r="AE791" s="172" t="str">
        <f t="shared" si="87"/>
        <v>|</v>
      </c>
      <c r="AG791" s="154" t="s">
        <v>1158</v>
      </c>
    </row>
    <row r="792" spans="1:33" ht="24" customHeight="1">
      <c r="A792" s="175"/>
      <c r="B792" s="176" t="s">
        <v>1654</v>
      </c>
      <c r="C792" s="177">
        <v>100</v>
      </c>
      <c r="D792" s="188"/>
      <c r="H792" s="154" t="s">
        <v>879</v>
      </c>
      <c r="K792" s="167">
        <f>SUM(K777:K790)</f>
        <v>7247.9506400000009</v>
      </c>
      <c r="N792" s="154" t="s">
        <v>141</v>
      </c>
      <c r="O792" s="154" t="s">
        <v>1655</v>
      </c>
      <c r="P792" s="167">
        <f>(C272)</f>
        <v>298</v>
      </c>
      <c r="Q792" s="154" t="s">
        <v>141</v>
      </c>
      <c r="R792" s="167">
        <f>M792*P792</f>
        <v>0</v>
      </c>
      <c r="AE792" s="172" t="str">
        <f t="shared" si="87"/>
        <v>|</v>
      </c>
      <c r="AG792" s="154" t="s">
        <v>1158</v>
      </c>
    </row>
    <row r="793" spans="1:33" ht="24" customHeight="1">
      <c r="A793" s="175"/>
      <c r="B793" s="176" t="s">
        <v>1656</v>
      </c>
      <c r="C793" s="177">
        <v>75</v>
      </c>
      <c r="D793" s="188"/>
      <c r="K793" s="162" t="s">
        <v>534</v>
      </c>
      <c r="R793" s="167"/>
      <c r="AE793" s="172" t="str">
        <f t="shared" si="87"/>
        <v>|</v>
      </c>
      <c r="AG793" s="154" t="s">
        <v>1158</v>
      </c>
    </row>
    <row r="794" spans="1:33" ht="24" customHeight="1">
      <c r="A794" s="175"/>
      <c r="B794" s="176" t="s">
        <v>1657</v>
      </c>
      <c r="C794" s="177">
        <v>218</v>
      </c>
      <c r="D794" s="188"/>
      <c r="H794" s="154" t="s">
        <v>881</v>
      </c>
      <c r="K794" s="167">
        <f>(K792/10)</f>
        <v>724.79506400000014</v>
      </c>
      <c r="N794" s="154" t="s">
        <v>1658</v>
      </c>
      <c r="O794" s="154" t="s">
        <v>1659</v>
      </c>
      <c r="P794" s="167">
        <f>(C16)</f>
        <v>701.80000000000007</v>
      </c>
      <c r="Q794" s="154" t="s">
        <v>1658</v>
      </c>
      <c r="R794" s="167">
        <f>M794*P794</f>
        <v>0</v>
      </c>
      <c r="AE794" s="172" t="str">
        <f t="shared" si="87"/>
        <v>|</v>
      </c>
      <c r="AG794" s="154" t="s">
        <v>1158</v>
      </c>
    </row>
    <row r="795" spans="1:33" ht="24" customHeight="1">
      <c r="A795" s="175"/>
      <c r="B795" s="176" t="s">
        <v>1660</v>
      </c>
      <c r="C795" s="177">
        <v>1854</v>
      </c>
      <c r="D795" s="188"/>
      <c r="K795" s="162" t="s">
        <v>528</v>
      </c>
      <c r="R795" s="167"/>
      <c r="AE795" s="172" t="str">
        <f t="shared" si="87"/>
        <v>|</v>
      </c>
      <c r="AG795" s="154" t="s">
        <v>1158</v>
      </c>
    </row>
    <row r="796" spans="1:33" ht="24" customHeight="1">
      <c r="A796" s="175"/>
      <c r="B796" s="176" t="s">
        <v>1661</v>
      </c>
      <c r="C796" s="177">
        <v>51</v>
      </c>
      <c r="D796" s="188"/>
      <c r="O796" s="154" t="s">
        <v>1662</v>
      </c>
      <c r="P796" s="263" t="s">
        <v>589</v>
      </c>
      <c r="R796" s="167">
        <v>0.64</v>
      </c>
      <c r="AE796" s="172" t="str">
        <f t="shared" si="87"/>
        <v>|</v>
      </c>
      <c r="AG796" s="154" t="s">
        <v>1158</v>
      </c>
    </row>
    <row r="797" spans="1:33" ht="24" customHeight="1">
      <c r="A797" s="175"/>
      <c r="B797" s="176" t="s">
        <v>1663</v>
      </c>
      <c r="C797" s="177">
        <v>915</v>
      </c>
      <c r="D797" s="188"/>
      <c r="F797" s="155" t="s">
        <v>676</v>
      </c>
      <c r="G797" s="165" t="s">
        <v>307</v>
      </c>
      <c r="H797" s="154" t="s">
        <v>1616</v>
      </c>
      <c r="R797" s="162" t="s">
        <v>534</v>
      </c>
      <c r="AE797" s="172" t="str">
        <f t="shared" si="87"/>
        <v>|</v>
      </c>
      <c r="AG797" s="154" t="s">
        <v>1158</v>
      </c>
    </row>
    <row r="798" spans="1:33" ht="24" customHeight="1">
      <c r="A798" s="175"/>
      <c r="B798" s="176" t="s">
        <v>1664</v>
      </c>
      <c r="C798" s="177">
        <v>890</v>
      </c>
      <c r="D798" s="188"/>
      <c r="H798" s="154" t="s">
        <v>1619</v>
      </c>
      <c r="O798" s="154" t="s">
        <v>1665</v>
      </c>
      <c r="R798" s="167">
        <f>SUM(R792:R796)</f>
        <v>0.64</v>
      </c>
      <c r="AE798" s="172" t="str">
        <f t="shared" si="87"/>
        <v>|</v>
      </c>
      <c r="AG798" s="154" t="s">
        <v>1158</v>
      </c>
    </row>
    <row r="799" spans="1:33" ht="24" customHeight="1">
      <c r="A799" s="175"/>
      <c r="B799" s="176" t="s">
        <v>1666</v>
      </c>
      <c r="C799" s="177">
        <v>5.15</v>
      </c>
      <c r="D799" s="188"/>
      <c r="H799" s="154" t="s">
        <v>1667</v>
      </c>
      <c r="R799" s="162" t="s">
        <v>534</v>
      </c>
      <c r="U799" s="199" t="s">
        <v>1668</v>
      </c>
      <c r="AE799" s="172" t="str">
        <f t="shared" si="87"/>
        <v>|</v>
      </c>
      <c r="AG799" s="154" t="s">
        <v>1158</v>
      </c>
    </row>
    <row r="800" spans="1:33" ht="24" customHeight="1">
      <c r="A800" s="175"/>
      <c r="B800" s="176" t="s">
        <v>1669</v>
      </c>
      <c r="C800" s="177">
        <v>43.3</v>
      </c>
      <c r="D800" s="188"/>
      <c r="H800" s="162" t="s">
        <v>534</v>
      </c>
      <c r="O800" s="154" t="s">
        <v>1670</v>
      </c>
      <c r="R800" s="167">
        <f>(R798/0.4)</f>
        <v>1.5999999999999999</v>
      </c>
      <c r="S800" s="159">
        <v>0.443</v>
      </c>
      <c r="T800" s="76" t="s">
        <v>421</v>
      </c>
      <c r="U800" s="76" t="s">
        <v>1671</v>
      </c>
      <c r="V800" s="76">
        <f>AC14</f>
        <v>1500.88</v>
      </c>
      <c r="X800" s="76">
        <f>V800*S800</f>
        <v>664.88984000000005</v>
      </c>
      <c r="AE800" s="172" t="str">
        <f t="shared" si="87"/>
        <v>|</v>
      </c>
      <c r="AG800" s="154" t="s">
        <v>1158</v>
      </c>
    </row>
    <row r="801" spans="1:33" ht="24" customHeight="1">
      <c r="A801" s="175"/>
      <c r="B801" s="176" t="s">
        <v>1672</v>
      </c>
      <c r="C801" s="177">
        <v>920</v>
      </c>
      <c r="D801" s="188"/>
      <c r="H801" s="154" t="s">
        <v>1673</v>
      </c>
      <c r="K801" s="167">
        <f>(K732/2)</f>
        <v>373.93600000000004</v>
      </c>
      <c r="R801" s="162" t="s">
        <v>528</v>
      </c>
      <c r="S801" s="159">
        <v>0.29499999999999998</v>
      </c>
      <c r="T801" s="76" t="s">
        <v>421</v>
      </c>
      <c r="U801" s="76" t="s">
        <v>1674</v>
      </c>
      <c r="V801" s="76">
        <f>AC12</f>
        <v>1067.8800000000001</v>
      </c>
      <c r="X801" s="76">
        <f t="shared" ref="X801:X807" si="92">V801*S801</f>
        <v>315.02460000000002</v>
      </c>
      <c r="AE801" s="172" t="str">
        <f t="shared" si="87"/>
        <v>|</v>
      </c>
      <c r="AG801" s="154" t="s">
        <v>1158</v>
      </c>
    </row>
    <row r="802" spans="1:33" ht="24" customHeight="1">
      <c r="A802" s="175"/>
      <c r="B802" s="176" t="s">
        <v>1675</v>
      </c>
      <c r="C802" s="177">
        <v>98</v>
      </c>
      <c r="D802" s="188"/>
      <c r="H802" s="154" t="s">
        <v>1676</v>
      </c>
      <c r="K802" s="162" t="s">
        <v>528</v>
      </c>
      <c r="N802" s="154" t="s">
        <v>307</v>
      </c>
      <c r="O802" s="154" t="s">
        <v>1677</v>
      </c>
      <c r="S802" s="159">
        <v>0.43</v>
      </c>
      <c r="T802" s="76" t="s">
        <v>421</v>
      </c>
      <c r="U802" s="76" t="s">
        <v>1678</v>
      </c>
      <c r="V802" s="76">
        <f>I809</f>
        <v>1514.4</v>
      </c>
      <c r="X802" s="76">
        <f t="shared" si="92"/>
        <v>651.19200000000001</v>
      </c>
      <c r="AE802" s="172" t="str">
        <f t="shared" si="87"/>
        <v>|</v>
      </c>
      <c r="AG802" s="154" t="s">
        <v>1158</v>
      </c>
    </row>
    <row r="803" spans="1:33" ht="24" customHeight="1">
      <c r="A803" s="175"/>
      <c r="B803" s="176" t="s">
        <v>1679</v>
      </c>
      <c r="C803" s="177">
        <v>181</v>
      </c>
      <c r="D803" s="188"/>
      <c r="F803" s="155" t="s">
        <v>1360</v>
      </c>
      <c r="G803" s="165" t="s">
        <v>307</v>
      </c>
      <c r="H803" s="154" t="s">
        <v>1680</v>
      </c>
      <c r="O803" s="154" t="s">
        <v>1681</v>
      </c>
      <c r="S803" s="159">
        <v>0.39</v>
      </c>
      <c r="T803" s="76" t="s">
        <v>47</v>
      </c>
      <c r="U803" s="76" t="s">
        <v>1430</v>
      </c>
      <c r="V803" s="76">
        <f>I808</f>
        <v>5750</v>
      </c>
      <c r="X803" s="76">
        <f t="shared" si="92"/>
        <v>2242.5</v>
      </c>
      <c r="AE803" s="172" t="str">
        <f t="shared" si="87"/>
        <v>|</v>
      </c>
      <c r="AG803" s="154" t="s">
        <v>1158</v>
      </c>
    </row>
    <row r="804" spans="1:33" ht="24" customHeight="1">
      <c r="A804" s="175"/>
      <c r="B804" s="176" t="s">
        <v>1682</v>
      </c>
      <c r="C804" s="177">
        <v>1148.76</v>
      </c>
      <c r="D804" s="188"/>
      <c r="H804" s="154" t="s">
        <v>1362</v>
      </c>
      <c r="O804" s="154" t="s">
        <v>1683</v>
      </c>
      <c r="S804" s="159">
        <v>0.35</v>
      </c>
      <c r="T804" s="76" t="s">
        <v>3</v>
      </c>
      <c r="U804" s="76" t="s">
        <v>1437</v>
      </c>
      <c r="V804" s="76">
        <f>I810</f>
        <v>669.90000000000009</v>
      </c>
      <c r="W804" s="76" t="str">
        <f>J810</f>
        <v>NO.</v>
      </c>
      <c r="X804" s="76">
        <f t="shared" si="92"/>
        <v>234.465</v>
      </c>
      <c r="AE804" s="172" t="str">
        <f t="shared" si="87"/>
        <v>|</v>
      </c>
      <c r="AG804" s="154" t="s">
        <v>1158</v>
      </c>
    </row>
    <row r="805" spans="1:33" ht="24" customHeight="1">
      <c r="A805" s="175"/>
      <c r="B805" s="176" t="s">
        <v>1684</v>
      </c>
      <c r="C805" s="177">
        <v>967</v>
      </c>
      <c r="D805" s="188"/>
      <c r="H805" s="154" t="s">
        <v>1365</v>
      </c>
      <c r="O805" s="162" t="s">
        <v>534</v>
      </c>
      <c r="S805" s="159">
        <v>2.12</v>
      </c>
      <c r="T805" s="76" t="s">
        <v>3</v>
      </c>
      <c r="U805" s="76" t="s">
        <v>1440</v>
      </c>
      <c r="V805" s="76">
        <f>I811</f>
        <v>468.6</v>
      </c>
      <c r="X805" s="76">
        <f t="shared" si="92"/>
        <v>993.43200000000013</v>
      </c>
      <c r="AE805" s="172" t="str">
        <f t="shared" si="87"/>
        <v>|</v>
      </c>
      <c r="AG805" s="154" t="s">
        <v>1158</v>
      </c>
    </row>
    <row r="806" spans="1:33" ht="24" customHeight="1">
      <c r="A806" s="175"/>
      <c r="B806" s="176" t="s">
        <v>1685</v>
      </c>
      <c r="C806" s="274">
        <v>33.9</v>
      </c>
      <c r="D806" s="188"/>
      <c r="H806" s="162" t="s">
        <v>534</v>
      </c>
      <c r="N806" s="263" t="s">
        <v>1501</v>
      </c>
      <c r="O806" s="154" t="s">
        <v>1686</v>
      </c>
      <c r="S806" s="159">
        <v>3.53</v>
      </c>
      <c r="T806" s="76" t="s">
        <v>3</v>
      </c>
      <c r="U806" s="76" t="s">
        <v>1444</v>
      </c>
      <c r="V806" s="76">
        <f>I812</f>
        <v>404.8</v>
      </c>
      <c r="X806" s="76">
        <f t="shared" si="92"/>
        <v>1428.944</v>
      </c>
      <c r="AE806" s="172" t="str">
        <f t="shared" si="87"/>
        <v>|</v>
      </c>
      <c r="AG806" s="154" t="s">
        <v>1158</v>
      </c>
    </row>
    <row r="807" spans="1:33" ht="24" customHeight="1">
      <c r="A807" s="175"/>
      <c r="B807" s="176" t="s">
        <v>1687</v>
      </c>
      <c r="C807" s="177">
        <v>2107</v>
      </c>
      <c r="D807" s="188"/>
      <c r="F807" s="198">
        <v>9</v>
      </c>
      <c r="G807" s="165" t="s">
        <v>577</v>
      </c>
      <c r="H807" s="154" t="s">
        <v>1688</v>
      </c>
      <c r="I807" s="167">
        <f>C73</f>
        <v>1500.88</v>
      </c>
      <c r="J807" s="154" t="s">
        <v>577</v>
      </c>
      <c r="K807" s="167">
        <f t="shared" ref="K807:K812" si="93">F807*I807</f>
        <v>13507.920000000002</v>
      </c>
      <c r="O807" s="154" t="s">
        <v>1689</v>
      </c>
      <c r="S807" s="159">
        <v>1</v>
      </c>
      <c r="T807" s="76" t="s">
        <v>421</v>
      </c>
      <c r="U807" s="76" t="s">
        <v>1690</v>
      </c>
      <c r="V807" s="76">
        <f>K819</f>
        <v>67.650000000000006</v>
      </c>
      <c r="X807" s="76">
        <f t="shared" si="92"/>
        <v>67.650000000000006</v>
      </c>
      <c r="AE807" s="172" t="str">
        <f t="shared" si="87"/>
        <v>|</v>
      </c>
      <c r="AG807" s="154" t="s">
        <v>1158</v>
      </c>
    </row>
    <row r="808" spans="1:33" ht="24" customHeight="1">
      <c r="A808" s="175"/>
      <c r="B808" s="176" t="s">
        <v>1691</v>
      </c>
      <c r="C808" s="172">
        <v>913</v>
      </c>
      <c r="D808" s="188"/>
      <c r="F808" s="198">
        <v>4.3079999999999998</v>
      </c>
      <c r="G808" s="165" t="s">
        <v>567</v>
      </c>
      <c r="H808" s="154" t="s">
        <v>568</v>
      </c>
      <c r="I808" s="167">
        <f>C67</f>
        <v>5750</v>
      </c>
      <c r="J808" s="154" t="s">
        <v>567</v>
      </c>
      <c r="K808" s="167">
        <f t="shared" si="93"/>
        <v>24771</v>
      </c>
      <c r="N808" s="154" t="s">
        <v>338</v>
      </c>
      <c r="O808" s="154" t="s">
        <v>1692</v>
      </c>
      <c r="P808" s="167">
        <f>C34/1000</f>
        <v>41.2</v>
      </c>
      <c r="R808" s="167" t="e">
        <f>(#VALUE!*P808)</f>
        <v>#VALUE!</v>
      </c>
      <c r="S808" s="269" t="s">
        <v>519</v>
      </c>
      <c r="U808" s="76" t="s">
        <v>1693</v>
      </c>
      <c r="V808" s="269" t="s">
        <v>519</v>
      </c>
      <c r="X808" s="76">
        <v>270</v>
      </c>
      <c r="AE808" s="172" t="str">
        <f t="shared" si="87"/>
        <v>|</v>
      </c>
      <c r="AG808" s="154" t="s">
        <v>1158</v>
      </c>
    </row>
    <row r="809" spans="1:33" ht="24" customHeight="1">
      <c r="A809" s="175"/>
      <c r="B809" s="176" t="s">
        <v>1694</v>
      </c>
      <c r="C809" s="172">
        <v>568</v>
      </c>
      <c r="D809" s="188"/>
      <c r="F809" s="198">
        <v>4.5</v>
      </c>
      <c r="G809" s="165" t="s">
        <v>577</v>
      </c>
      <c r="H809" s="154" t="s">
        <v>578</v>
      </c>
      <c r="I809" s="167">
        <f>C78</f>
        <v>1514.4</v>
      </c>
      <c r="J809" s="154" t="s">
        <v>577</v>
      </c>
      <c r="K809" s="167">
        <f t="shared" si="93"/>
        <v>6814.8</v>
      </c>
      <c r="O809" s="154" t="s">
        <v>1695</v>
      </c>
      <c r="S809" s="269" t="s">
        <v>519</v>
      </c>
      <c r="U809" s="76" t="s">
        <v>1696</v>
      </c>
      <c r="V809" s="269" t="s">
        <v>519</v>
      </c>
      <c r="X809" s="76">
        <v>150</v>
      </c>
      <c r="AE809" s="172" t="str">
        <f t="shared" si="87"/>
        <v>|</v>
      </c>
      <c r="AG809" s="154" t="s">
        <v>1158</v>
      </c>
    </row>
    <row r="810" spans="1:33" ht="24" customHeight="1">
      <c r="A810" s="175"/>
      <c r="B810" s="176" t="s">
        <v>1697</v>
      </c>
      <c r="C810" s="172">
        <v>422</v>
      </c>
      <c r="D810" s="188"/>
      <c r="F810" s="198">
        <v>3.5</v>
      </c>
      <c r="G810" s="165" t="s">
        <v>576</v>
      </c>
      <c r="H810" s="154" t="s">
        <v>752</v>
      </c>
      <c r="I810" s="167">
        <f>C11</f>
        <v>669.90000000000009</v>
      </c>
      <c r="J810" s="154" t="s">
        <v>576</v>
      </c>
      <c r="K810" s="167">
        <f t="shared" si="93"/>
        <v>2344.6500000000005</v>
      </c>
      <c r="O810" s="154" t="s">
        <v>1698</v>
      </c>
      <c r="S810" s="269" t="s">
        <v>519</v>
      </c>
      <c r="U810" s="76" t="s">
        <v>1699</v>
      </c>
      <c r="V810" s="269" t="s">
        <v>519</v>
      </c>
      <c r="X810" s="76">
        <v>0.06</v>
      </c>
      <c r="AE810" s="172" t="str">
        <f t="shared" si="87"/>
        <v>|</v>
      </c>
      <c r="AG810" s="154" t="s">
        <v>1158</v>
      </c>
    </row>
    <row r="811" spans="1:33" ht="24" customHeight="1">
      <c r="A811" s="175"/>
      <c r="B811" s="188"/>
      <c r="C811" s="188"/>
      <c r="D811" s="188"/>
      <c r="F811" s="198">
        <v>21.2</v>
      </c>
      <c r="G811" s="165" t="s">
        <v>576</v>
      </c>
      <c r="H811" s="154" t="s">
        <v>754</v>
      </c>
      <c r="I811" s="167">
        <f>C12</f>
        <v>468.6</v>
      </c>
      <c r="J811" s="154" t="s">
        <v>576</v>
      </c>
      <c r="K811" s="167">
        <f t="shared" si="93"/>
        <v>9934.32</v>
      </c>
      <c r="N811" s="154" t="s">
        <v>916</v>
      </c>
      <c r="O811" s="154" t="s">
        <v>1700</v>
      </c>
      <c r="P811" s="167">
        <f>C272</f>
        <v>298</v>
      </c>
      <c r="R811" s="167" t="e">
        <f t="shared" ref="R811:R817" si="94">(#VALUE!*P811)</f>
        <v>#VALUE!</v>
      </c>
      <c r="X811" s="199">
        <f>SUM(X800:X810)</f>
        <v>7018.15744</v>
      </c>
      <c r="Y811" s="76">
        <v>59.4</v>
      </c>
      <c r="Z811" s="76">
        <v>117</v>
      </c>
      <c r="AE811" s="172" t="str">
        <f t="shared" si="87"/>
        <v>|</v>
      </c>
      <c r="AG811" s="154" t="s">
        <v>1158</v>
      </c>
    </row>
    <row r="812" spans="1:33" ht="24" customHeight="1">
      <c r="A812" s="175"/>
      <c r="B812" s="176" t="s">
        <v>1701</v>
      </c>
      <c r="C812" s="188">
        <v>3.15</v>
      </c>
      <c r="D812" s="188"/>
      <c r="F812" s="198">
        <v>35.299999999999997</v>
      </c>
      <c r="G812" s="165" t="s">
        <v>576</v>
      </c>
      <c r="H812" s="154" t="s">
        <v>756</v>
      </c>
      <c r="I812" s="167">
        <f>C13</f>
        <v>404.8</v>
      </c>
      <c r="J812" s="154" t="s">
        <v>576</v>
      </c>
      <c r="K812" s="167">
        <f t="shared" si="93"/>
        <v>14289.439999999999</v>
      </c>
      <c r="N812" s="154" t="s">
        <v>576</v>
      </c>
      <c r="O812" s="154" t="s">
        <v>1702</v>
      </c>
      <c r="P812" s="167">
        <v>5</v>
      </c>
      <c r="R812" s="167" t="e">
        <f t="shared" si="94"/>
        <v>#VALUE!</v>
      </c>
      <c r="AE812" s="172" t="str">
        <f t="shared" si="87"/>
        <v>|</v>
      </c>
      <c r="AG812" s="154" t="s">
        <v>1158</v>
      </c>
    </row>
    <row r="813" spans="1:33" ht="24" customHeight="1">
      <c r="A813" s="175"/>
      <c r="B813" s="188"/>
      <c r="C813" s="188"/>
      <c r="D813" s="188"/>
      <c r="F813" s="263" t="s">
        <v>589</v>
      </c>
      <c r="H813" s="154" t="s">
        <v>590</v>
      </c>
      <c r="J813" s="154" t="s">
        <v>589</v>
      </c>
      <c r="K813" s="167">
        <v>0</v>
      </c>
      <c r="N813" s="154" t="s">
        <v>576</v>
      </c>
      <c r="O813" s="154" t="s">
        <v>1703</v>
      </c>
      <c r="P813" s="167">
        <v>10</v>
      </c>
      <c r="R813" s="167" t="e">
        <f t="shared" si="94"/>
        <v>#VALUE!</v>
      </c>
      <c r="AE813" s="172" t="str">
        <f t="shared" ref="AE813:AE876" si="95">AG813</f>
        <v>|</v>
      </c>
      <c r="AG813" s="154" t="s">
        <v>1158</v>
      </c>
    </row>
    <row r="814" spans="1:33" ht="24" customHeight="1">
      <c r="A814" s="175"/>
      <c r="B814" s="176" t="s">
        <v>1704</v>
      </c>
      <c r="C814" s="192">
        <v>7.4</v>
      </c>
      <c r="D814" s="188"/>
      <c r="K814" s="162" t="s">
        <v>534</v>
      </c>
      <c r="N814" s="154" t="s">
        <v>576</v>
      </c>
      <c r="O814" s="154" t="s">
        <v>1705</v>
      </c>
      <c r="P814" s="167">
        <v>8</v>
      </c>
      <c r="R814" s="167" t="e">
        <f t="shared" si="94"/>
        <v>#VALUE!</v>
      </c>
      <c r="U814" s="199" t="s">
        <v>1706</v>
      </c>
      <c r="AE814" s="172" t="str">
        <f t="shared" si="95"/>
        <v>|</v>
      </c>
      <c r="AG814" s="154" t="s">
        <v>1158</v>
      </c>
    </row>
    <row r="815" spans="1:33" ht="24" customHeight="1">
      <c r="A815" s="175"/>
      <c r="B815" s="176" t="s">
        <v>1707</v>
      </c>
      <c r="C815" s="192">
        <v>18.399999999999999</v>
      </c>
      <c r="D815" s="188"/>
      <c r="H815" s="155" t="s">
        <v>760</v>
      </c>
      <c r="K815" s="167">
        <f>SUM(K807:K813)</f>
        <v>71662.13</v>
      </c>
      <c r="N815" s="154" t="s">
        <v>41</v>
      </c>
      <c r="O815" s="154" t="s">
        <v>1708</v>
      </c>
      <c r="P815" s="167">
        <v>13.66</v>
      </c>
      <c r="R815" s="167" t="e">
        <f t="shared" si="94"/>
        <v>#VALUE!</v>
      </c>
      <c r="S815" s="159">
        <v>0.45300000000000001</v>
      </c>
      <c r="T815" s="76" t="s">
        <v>421</v>
      </c>
      <c r="U815" s="76" t="s">
        <v>1671</v>
      </c>
      <c r="V815" s="76">
        <f>V800</f>
        <v>1500.88</v>
      </c>
      <c r="X815" s="76">
        <f>V815*S815</f>
        <v>679.89864000000011</v>
      </c>
      <c r="Z815" s="76">
        <f>X826+Y811</f>
        <v>7000.2953999999991</v>
      </c>
      <c r="AE815" s="172" t="str">
        <f t="shared" si="95"/>
        <v>|</v>
      </c>
      <c r="AG815" s="154" t="s">
        <v>1158</v>
      </c>
    </row>
    <row r="816" spans="1:33" ht="24" customHeight="1">
      <c r="A816" s="175"/>
      <c r="B816" s="188"/>
      <c r="C816" s="188" t="s">
        <v>1709</v>
      </c>
      <c r="D816" s="188"/>
      <c r="K816" s="162" t="s">
        <v>528</v>
      </c>
      <c r="N816" s="154" t="s">
        <v>916</v>
      </c>
      <c r="O816" s="154" t="s">
        <v>1710</v>
      </c>
      <c r="P816" s="167">
        <v>25.46</v>
      </c>
      <c r="R816" s="167" t="e">
        <f t="shared" si="94"/>
        <v>#VALUE!</v>
      </c>
      <c r="S816" s="159">
        <v>0.30199999999999999</v>
      </c>
      <c r="T816" s="76" t="s">
        <v>421</v>
      </c>
      <c r="U816" s="76" t="s">
        <v>1674</v>
      </c>
      <c r="V816" s="76">
        <f t="shared" ref="V816:V825" si="96">V801</f>
        <v>1067.8800000000001</v>
      </c>
      <c r="X816" s="76">
        <f t="shared" ref="X816:X822" si="97">V816*S816</f>
        <v>322.49976000000004</v>
      </c>
      <c r="Z816" s="76">
        <f>Z815+Z811</f>
        <v>7117.2953999999991</v>
      </c>
      <c r="AE816" s="172" t="str">
        <f t="shared" si="95"/>
        <v>|</v>
      </c>
      <c r="AG816" s="154" t="s">
        <v>1158</v>
      </c>
    </row>
    <row r="817" spans="1:33" ht="24" customHeight="1">
      <c r="A817" s="275"/>
      <c r="H817" s="154" t="s">
        <v>685</v>
      </c>
      <c r="K817" s="167">
        <f>K815/10</f>
        <v>7166.2130000000006</v>
      </c>
      <c r="N817" s="154" t="s">
        <v>576</v>
      </c>
      <c r="O817" s="154" t="s">
        <v>1711</v>
      </c>
      <c r="P817" s="167">
        <v>0.5</v>
      </c>
      <c r="R817" s="167" t="e">
        <f t="shared" si="94"/>
        <v>#VALUE!</v>
      </c>
      <c r="S817" s="159">
        <v>0.44</v>
      </c>
      <c r="T817" s="76" t="s">
        <v>421</v>
      </c>
      <c r="U817" s="76" t="s">
        <v>1678</v>
      </c>
      <c r="V817" s="76">
        <f t="shared" si="96"/>
        <v>1514.4</v>
      </c>
      <c r="X817" s="76">
        <f t="shared" si="97"/>
        <v>666.33600000000001</v>
      </c>
      <c r="Z817" s="76">
        <f>Z816+Z811</f>
        <v>7234.2953999999991</v>
      </c>
      <c r="AE817" s="172" t="str">
        <f t="shared" si="95"/>
        <v>|</v>
      </c>
      <c r="AG817" s="154" t="s">
        <v>1158</v>
      </c>
    </row>
    <row r="818" spans="1:33" ht="24" customHeight="1">
      <c r="A818" s="275"/>
      <c r="R818" s="167">
        <v>0.54</v>
      </c>
      <c r="S818" s="159">
        <v>0.37</v>
      </c>
      <c r="T818" s="76" t="s">
        <v>47</v>
      </c>
      <c r="U818" s="76" t="s">
        <v>1430</v>
      </c>
      <c r="V818" s="76">
        <f t="shared" si="96"/>
        <v>5750</v>
      </c>
      <c r="X818" s="76">
        <f t="shared" si="97"/>
        <v>2127.5</v>
      </c>
      <c r="Z818" s="76">
        <f>Z817+Z811</f>
        <v>7351.2953999999991</v>
      </c>
      <c r="AE818" s="172" t="str">
        <f t="shared" si="95"/>
        <v>|</v>
      </c>
      <c r="AG818" s="154" t="s">
        <v>1158</v>
      </c>
    </row>
    <row r="819" spans="1:33" ht="24" customHeight="1">
      <c r="A819" s="275"/>
      <c r="F819" s="167">
        <v>1</v>
      </c>
      <c r="G819" s="165" t="s">
        <v>577</v>
      </c>
      <c r="H819" s="154" t="s">
        <v>997</v>
      </c>
      <c r="I819" s="167">
        <f>C25</f>
        <v>67.650000000000006</v>
      </c>
      <c r="K819" s="167">
        <f>F819*I819</f>
        <v>67.650000000000006</v>
      </c>
      <c r="R819" s="162" t="s">
        <v>534</v>
      </c>
      <c r="S819" s="159">
        <v>0.35</v>
      </c>
      <c r="T819" s="76" t="s">
        <v>3</v>
      </c>
      <c r="U819" s="76" t="s">
        <v>1437</v>
      </c>
      <c r="V819" s="76">
        <f t="shared" si="96"/>
        <v>669.90000000000009</v>
      </c>
      <c r="W819" s="76">
        <f>J825</f>
        <v>0</v>
      </c>
      <c r="X819" s="76">
        <f t="shared" si="97"/>
        <v>234.465</v>
      </c>
      <c r="Z819" s="76">
        <f>Z811+Z818</f>
        <v>7468.2953999999991</v>
      </c>
      <c r="AE819" s="172" t="str">
        <f t="shared" si="95"/>
        <v>|</v>
      </c>
      <c r="AG819" s="154" t="s">
        <v>1158</v>
      </c>
    </row>
    <row r="820" spans="1:33" ht="24" customHeight="1">
      <c r="A820" s="275"/>
      <c r="K820" s="162" t="s">
        <v>534</v>
      </c>
      <c r="O820" s="155" t="s">
        <v>1712</v>
      </c>
      <c r="R820" s="167" t="e">
        <f>SUM(R808:R818)</f>
        <v>#VALUE!</v>
      </c>
      <c r="S820" s="159">
        <v>2.12</v>
      </c>
      <c r="T820" s="76" t="s">
        <v>3</v>
      </c>
      <c r="U820" s="76" t="s">
        <v>1440</v>
      </c>
      <c r="V820" s="76">
        <f t="shared" si="96"/>
        <v>468.6</v>
      </c>
      <c r="X820" s="76">
        <f t="shared" si="97"/>
        <v>993.43200000000013</v>
      </c>
      <c r="Z820" s="76">
        <f>Z811+Z819</f>
        <v>7585.2953999999991</v>
      </c>
      <c r="AE820" s="172" t="str">
        <f t="shared" si="95"/>
        <v>|</v>
      </c>
      <c r="AG820" s="154" t="s">
        <v>1158</v>
      </c>
    </row>
    <row r="821" spans="1:33" ht="24" customHeight="1">
      <c r="K821" s="167">
        <f>SUM(K817:K819)</f>
        <v>7233.8630000000003</v>
      </c>
      <c r="S821" s="159">
        <v>3.53</v>
      </c>
      <c r="T821" s="76" t="s">
        <v>3</v>
      </c>
      <c r="U821" s="76" t="s">
        <v>1444</v>
      </c>
      <c r="V821" s="76">
        <f t="shared" si="96"/>
        <v>404.8</v>
      </c>
      <c r="X821" s="76">
        <f t="shared" si="97"/>
        <v>1428.944</v>
      </c>
      <c r="Z821" s="76">
        <f>Z811+Z820</f>
        <v>7702.2953999999991</v>
      </c>
      <c r="AE821" s="172" t="str">
        <f t="shared" si="95"/>
        <v>|</v>
      </c>
      <c r="AG821" s="154" t="s">
        <v>1158</v>
      </c>
    </row>
    <row r="822" spans="1:33" ht="24" customHeight="1">
      <c r="A822" s="275"/>
      <c r="K822" s="162" t="s">
        <v>534</v>
      </c>
      <c r="R822" s="162" t="s">
        <v>534</v>
      </c>
      <c r="S822" s="159">
        <v>1</v>
      </c>
      <c r="T822" s="76" t="s">
        <v>421</v>
      </c>
      <c r="U822" s="76" t="s">
        <v>1690</v>
      </c>
      <c r="V822" s="76">
        <f t="shared" si="96"/>
        <v>67.650000000000006</v>
      </c>
      <c r="X822" s="76">
        <f t="shared" si="97"/>
        <v>67.650000000000006</v>
      </c>
      <c r="Z822" s="76">
        <f>Z811+Z821</f>
        <v>7819.2953999999991</v>
      </c>
      <c r="AE822" s="172" t="str">
        <f t="shared" si="95"/>
        <v>|</v>
      </c>
      <c r="AG822" s="154" t="s">
        <v>1158</v>
      </c>
    </row>
    <row r="823" spans="1:33" ht="24" customHeight="1">
      <c r="A823" s="275"/>
      <c r="H823" s="154" t="s">
        <v>789</v>
      </c>
      <c r="K823" s="166">
        <f>(K821+C22)</f>
        <v>7319.8830000000007</v>
      </c>
      <c r="S823" s="269" t="s">
        <v>519</v>
      </c>
      <c r="U823" s="76" t="s">
        <v>1693</v>
      </c>
      <c r="V823" s="242" t="str">
        <f t="shared" si="96"/>
        <v>LS</v>
      </c>
      <c r="X823" s="76">
        <v>270</v>
      </c>
      <c r="Z823" s="76">
        <f>Z811+Z822</f>
        <v>7936.2953999999991</v>
      </c>
      <c r="AE823" s="172" t="str">
        <f t="shared" si="95"/>
        <v>|</v>
      </c>
      <c r="AG823" s="154" t="s">
        <v>1158</v>
      </c>
    </row>
    <row r="824" spans="1:33" ht="24" customHeight="1">
      <c r="A824" s="275"/>
      <c r="H824" s="154" t="s">
        <v>793</v>
      </c>
      <c r="K824" s="166">
        <f>(K823+C23)</f>
        <v>7489.2830000000004</v>
      </c>
      <c r="N824" s="154" t="s">
        <v>1530</v>
      </c>
      <c r="O824" s="154" t="s">
        <v>1713</v>
      </c>
      <c r="S824" s="269" t="s">
        <v>519</v>
      </c>
      <c r="U824" s="76" t="s">
        <v>1696</v>
      </c>
      <c r="V824" s="242" t="str">
        <f t="shared" si="96"/>
        <v>LS</v>
      </c>
      <c r="X824" s="76">
        <v>150</v>
      </c>
      <c r="Z824" s="76">
        <f>Z811+Z823</f>
        <v>8053.2953999999991</v>
      </c>
      <c r="AE824" s="172" t="str">
        <f t="shared" si="95"/>
        <v>|</v>
      </c>
      <c r="AG824" s="154" t="s">
        <v>1158</v>
      </c>
    </row>
    <row r="825" spans="1:33" ht="24" customHeight="1">
      <c r="A825" s="275"/>
      <c r="H825" s="154" t="s">
        <v>796</v>
      </c>
      <c r="K825" s="166">
        <f>(K824+C24)</f>
        <v>7658.683</v>
      </c>
      <c r="O825" s="154" t="s">
        <v>1689</v>
      </c>
      <c r="S825" s="269" t="s">
        <v>519</v>
      </c>
      <c r="U825" s="76" t="s">
        <v>1699</v>
      </c>
      <c r="V825" s="242" t="str">
        <f t="shared" si="96"/>
        <v>LS</v>
      </c>
      <c r="X825" s="76">
        <v>0.17</v>
      </c>
      <c r="AE825" s="172" t="str">
        <f t="shared" si="95"/>
        <v>|</v>
      </c>
      <c r="AG825" s="154" t="s">
        <v>1158</v>
      </c>
    </row>
    <row r="826" spans="1:33" ht="24" customHeight="1">
      <c r="A826" s="275"/>
      <c r="H826" s="154" t="s">
        <v>798</v>
      </c>
      <c r="K826" s="166">
        <f>(K825+C24)</f>
        <v>7828.0829999999996</v>
      </c>
      <c r="N826" s="154" t="s">
        <v>338</v>
      </c>
      <c r="O826" s="154" t="s">
        <v>1692</v>
      </c>
      <c r="P826" s="167">
        <f>P808</f>
        <v>41.2</v>
      </c>
      <c r="R826" s="167" t="e">
        <f>(#VALUE!*P826)</f>
        <v>#VALUE!</v>
      </c>
      <c r="X826" s="199">
        <f>SUM(X815:X825)</f>
        <v>6940.8953999999994</v>
      </c>
      <c r="AE826" s="172" t="str">
        <f t="shared" si="95"/>
        <v>|</v>
      </c>
      <c r="AG826" s="154" t="s">
        <v>1158</v>
      </c>
    </row>
    <row r="827" spans="1:33" ht="24" customHeight="1">
      <c r="H827" s="154" t="s">
        <v>885</v>
      </c>
      <c r="K827" s="166">
        <f>(K826+C24)</f>
        <v>7997.4829999999993</v>
      </c>
      <c r="O827" s="154" t="s">
        <v>1695</v>
      </c>
      <c r="AE827" s="172" t="str">
        <f t="shared" si="95"/>
        <v>|</v>
      </c>
      <c r="AG827" s="154" t="s">
        <v>1158</v>
      </c>
    </row>
    <row r="828" spans="1:33" ht="24" customHeight="1">
      <c r="H828" s="154">
        <v>5</v>
      </c>
      <c r="K828" s="166">
        <f>(K827+C24)</f>
        <v>8166.8829999999989</v>
      </c>
      <c r="O828" s="154"/>
      <c r="AE828" s="172">
        <f>SUM(AE681:AE685)</f>
        <v>8206.1</v>
      </c>
      <c r="AG828" s="154"/>
    </row>
    <row r="829" spans="1:33" ht="24" customHeight="1">
      <c r="H829" s="154">
        <v>6</v>
      </c>
      <c r="K829" s="166">
        <f>(K828+C24)</f>
        <v>8336.2829999999994</v>
      </c>
      <c r="O829" s="154"/>
      <c r="AE829" s="172"/>
      <c r="AG829" s="154"/>
    </row>
    <row r="830" spans="1:33" ht="24" customHeight="1">
      <c r="H830" s="154">
        <v>7</v>
      </c>
      <c r="K830" s="166">
        <f>(K829+C24)</f>
        <v>8505.6829999999991</v>
      </c>
      <c r="O830" s="154"/>
      <c r="AE830" s="172"/>
      <c r="AG830" s="154"/>
    </row>
    <row r="831" spans="1:33" ht="24" customHeight="1">
      <c r="H831" s="154">
        <v>8</v>
      </c>
      <c r="K831" s="166">
        <f>(K830+C24)</f>
        <v>8675.0829999999987</v>
      </c>
      <c r="O831" s="154"/>
      <c r="AE831" s="172"/>
      <c r="AG831" s="154"/>
    </row>
    <row r="832" spans="1:33" ht="24" customHeight="1">
      <c r="H832" s="154">
        <v>9</v>
      </c>
      <c r="K832" s="166">
        <f>(K831+C24)</f>
        <v>8844.4829999999984</v>
      </c>
      <c r="O832" s="154"/>
      <c r="AE832" s="172"/>
      <c r="AG832" s="154"/>
    </row>
    <row r="833" spans="6:33" ht="24" customHeight="1">
      <c r="H833" s="154">
        <v>10</v>
      </c>
      <c r="K833" s="166">
        <f>(K832+C24)</f>
        <v>9013.882999999998</v>
      </c>
      <c r="O833" s="154"/>
      <c r="AE833" s="172"/>
      <c r="AG833" s="154"/>
    </row>
    <row r="834" spans="6:33" ht="24" customHeight="1">
      <c r="H834" s="154">
        <v>11</v>
      </c>
      <c r="K834" s="166">
        <f>(K833+C24)</f>
        <v>9183.2829999999976</v>
      </c>
      <c r="O834" s="154"/>
      <c r="AE834" s="172"/>
      <c r="AG834" s="154"/>
    </row>
    <row r="835" spans="6:33" ht="24" customHeight="1">
      <c r="H835" s="154">
        <v>12</v>
      </c>
      <c r="K835" s="166">
        <f>(K834+C24)</f>
        <v>9352.6829999999973</v>
      </c>
      <c r="O835" s="154"/>
      <c r="AE835" s="172"/>
      <c r="AG835" s="154"/>
    </row>
    <row r="836" spans="6:33" ht="24" customHeight="1">
      <c r="H836" s="154"/>
      <c r="K836" s="166"/>
      <c r="O836" s="154"/>
      <c r="AE836" s="172"/>
      <c r="AG836" s="154"/>
    </row>
    <row r="837" spans="6:33" ht="24" customHeight="1">
      <c r="F837" s="154" t="s">
        <v>22</v>
      </c>
      <c r="O837" s="154" t="s">
        <v>1698</v>
      </c>
      <c r="AE837" s="172" t="str">
        <f t="shared" si="95"/>
        <v>|</v>
      </c>
      <c r="AG837" s="154" t="s">
        <v>1158</v>
      </c>
    </row>
    <row r="838" spans="6:33" ht="24" customHeight="1">
      <c r="F838" s="154" t="s">
        <v>22</v>
      </c>
      <c r="G838" s="165" t="s">
        <v>307</v>
      </c>
      <c r="H838" s="155" t="s">
        <v>1714</v>
      </c>
      <c r="N838" s="154" t="s">
        <v>916</v>
      </c>
      <c r="O838" s="154" t="s">
        <v>1715</v>
      </c>
      <c r="P838" s="167">
        <f>C272</f>
        <v>298</v>
      </c>
      <c r="R838" s="167" t="e">
        <f t="shared" ref="R838:R844" si="98">(#VALUE!*P838)</f>
        <v>#VALUE!</v>
      </c>
      <c r="AE838" s="172" t="str">
        <f t="shared" si="95"/>
        <v>|</v>
      </c>
      <c r="AG838" s="154" t="s">
        <v>1158</v>
      </c>
    </row>
    <row r="839" spans="6:33" ht="24" customHeight="1">
      <c r="H839" s="162" t="s">
        <v>528</v>
      </c>
      <c r="N839" s="154" t="s">
        <v>576</v>
      </c>
      <c r="O839" s="154" t="s">
        <v>1702</v>
      </c>
      <c r="P839" s="167">
        <v>5</v>
      </c>
      <c r="R839" s="167" t="e">
        <f t="shared" si="98"/>
        <v>#VALUE!</v>
      </c>
      <c r="AE839" s="172" t="str">
        <f t="shared" si="95"/>
        <v>|</v>
      </c>
      <c r="AG839" s="154" t="s">
        <v>1158</v>
      </c>
    </row>
    <row r="840" spans="6:33" ht="24" customHeight="1">
      <c r="N840" s="154" t="s">
        <v>576</v>
      </c>
      <c r="O840" s="154" t="s">
        <v>1703</v>
      </c>
      <c r="P840" s="167">
        <v>10</v>
      </c>
      <c r="R840" s="167" t="e">
        <f t="shared" si="98"/>
        <v>#VALUE!</v>
      </c>
      <c r="AE840" s="172" t="str">
        <f t="shared" si="95"/>
        <v>|</v>
      </c>
      <c r="AG840" s="154" t="s">
        <v>1158</v>
      </c>
    </row>
    <row r="841" spans="6:33" ht="24" customHeight="1">
      <c r="F841" s="155" t="s">
        <v>1716</v>
      </c>
      <c r="G841" s="165" t="s">
        <v>307</v>
      </c>
      <c r="H841" s="154" t="s">
        <v>1717</v>
      </c>
      <c r="N841" s="154" t="s">
        <v>576</v>
      </c>
      <c r="O841" s="154" t="s">
        <v>1705</v>
      </c>
      <c r="P841" s="167">
        <v>8</v>
      </c>
      <c r="R841" s="167" t="e">
        <f t="shared" si="98"/>
        <v>#VALUE!</v>
      </c>
      <c r="AE841" s="172" t="str">
        <f t="shared" si="95"/>
        <v>|</v>
      </c>
      <c r="AG841" s="154" t="s">
        <v>1158</v>
      </c>
    </row>
    <row r="842" spans="6:33" ht="24" customHeight="1">
      <c r="H842" s="154" t="s">
        <v>1718</v>
      </c>
      <c r="N842" s="154" t="s">
        <v>41</v>
      </c>
      <c r="O842" s="154" t="s">
        <v>1708</v>
      </c>
      <c r="P842" s="167">
        <v>13.66</v>
      </c>
      <c r="R842" s="167" t="e">
        <f t="shared" si="98"/>
        <v>#VALUE!</v>
      </c>
      <c r="AE842" s="172" t="str">
        <f t="shared" si="95"/>
        <v>|</v>
      </c>
      <c r="AG842" s="154" t="s">
        <v>1158</v>
      </c>
    </row>
    <row r="843" spans="6:33" ht="24" customHeight="1">
      <c r="H843" s="154" t="s">
        <v>1719</v>
      </c>
      <c r="N843" s="154" t="s">
        <v>916</v>
      </c>
      <c r="O843" s="154" t="s">
        <v>1710</v>
      </c>
      <c r="P843" s="167">
        <v>25.46</v>
      </c>
      <c r="R843" s="167" t="e">
        <f t="shared" si="98"/>
        <v>#VALUE!</v>
      </c>
      <c r="AE843" s="172" t="str">
        <f t="shared" si="95"/>
        <v>|::</v>
      </c>
      <c r="AG843" s="154" t="s">
        <v>947</v>
      </c>
    </row>
    <row r="844" spans="6:33" ht="24" customHeight="1">
      <c r="H844" s="154" t="s">
        <v>1720</v>
      </c>
      <c r="N844" s="154" t="s">
        <v>576</v>
      </c>
      <c r="O844" s="154" t="s">
        <v>1711</v>
      </c>
      <c r="P844" s="167">
        <v>0.5</v>
      </c>
      <c r="R844" s="167" t="e">
        <f t="shared" si="98"/>
        <v>#VALUE!</v>
      </c>
      <c r="AE844" s="172">
        <f t="shared" si="95"/>
        <v>0</v>
      </c>
    </row>
    <row r="845" spans="6:33" ht="24" customHeight="1">
      <c r="H845" s="154" t="s">
        <v>1721</v>
      </c>
      <c r="R845" s="167">
        <v>0.7</v>
      </c>
      <c r="AE845" s="172">
        <f t="shared" si="95"/>
        <v>0</v>
      </c>
    </row>
    <row r="846" spans="6:33" ht="24" customHeight="1">
      <c r="H846" s="154" t="s">
        <v>1722</v>
      </c>
      <c r="R846" s="162" t="s">
        <v>534</v>
      </c>
      <c r="AE846" s="172">
        <f t="shared" si="95"/>
        <v>0</v>
      </c>
    </row>
    <row r="847" spans="6:33" ht="24" customHeight="1">
      <c r="H847" s="154" t="s">
        <v>1723</v>
      </c>
      <c r="O847" s="155" t="s">
        <v>1712</v>
      </c>
      <c r="R847" s="167" t="e">
        <f>SUM(R826:R845)</f>
        <v>#VALUE!</v>
      </c>
      <c r="AE847" s="172" t="str">
        <f t="shared" si="95"/>
        <v>|</v>
      </c>
      <c r="AG847" s="154" t="s">
        <v>1158</v>
      </c>
    </row>
    <row r="848" spans="6:33" ht="24" customHeight="1">
      <c r="H848" s="154" t="s">
        <v>1724</v>
      </c>
      <c r="O848" s="76" t="s">
        <v>22</v>
      </c>
      <c r="R848" s="162" t="s">
        <v>534</v>
      </c>
      <c r="AE848" s="172" t="str">
        <f t="shared" si="95"/>
        <v>|</v>
      </c>
      <c r="AG848" s="154" t="s">
        <v>1158</v>
      </c>
    </row>
    <row r="849" spans="6:33" ht="24" customHeight="1">
      <c r="H849" s="154" t="s">
        <v>1725</v>
      </c>
      <c r="O849" s="199" t="s">
        <v>1726</v>
      </c>
      <c r="R849" s="162"/>
      <c r="AE849" s="172" t="str">
        <f t="shared" si="95"/>
        <v>|</v>
      </c>
      <c r="AG849" s="154" t="s">
        <v>1158</v>
      </c>
    </row>
    <row r="850" spans="6:33" ht="24" customHeight="1">
      <c r="H850" s="154" t="s">
        <v>1727</v>
      </c>
      <c r="O850" s="155" t="s">
        <v>1728</v>
      </c>
      <c r="R850" s="162"/>
      <c r="AE850" s="172" t="str">
        <f t="shared" si="95"/>
        <v>|</v>
      </c>
      <c r="AG850" s="154" t="s">
        <v>1158</v>
      </c>
    </row>
    <row r="851" spans="6:33" ht="24" customHeight="1">
      <c r="H851" s="154" t="s">
        <v>1729</v>
      </c>
      <c r="R851" s="162"/>
      <c r="AE851" s="172" t="str">
        <f t="shared" si="95"/>
        <v>|</v>
      </c>
      <c r="AG851" s="154" t="s">
        <v>1158</v>
      </c>
    </row>
    <row r="852" spans="6:33" ht="24" customHeight="1">
      <c r="H852" s="154" t="s">
        <v>1730</v>
      </c>
      <c r="M852" s="232">
        <v>6.5000000000000002E-2</v>
      </c>
      <c r="N852" s="165" t="s">
        <v>577</v>
      </c>
      <c r="O852" s="154" t="s">
        <v>1731</v>
      </c>
      <c r="P852" s="167">
        <f>I859</f>
        <v>6523.4590200000011</v>
      </c>
      <c r="Q852" s="154" t="s">
        <v>577</v>
      </c>
      <c r="R852" s="167">
        <f>P852*M852</f>
        <v>424.02483630000006</v>
      </c>
      <c r="AE852" s="172" t="str">
        <f t="shared" si="95"/>
        <v>|</v>
      </c>
      <c r="AG852" s="154" t="s">
        <v>1158</v>
      </c>
    </row>
    <row r="853" spans="6:33" ht="24" customHeight="1">
      <c r="H853" s="154" t="s">
        <v>1732</v>
      </c>
      <c r="M853" s="276">
        <v>8.4499999999999993</v>
      </c>
      <c r="N853" s="165" t="s">
        <v>420</v>
      </c>
      <c r="O853" s="154" t="s">
        <v>1733</v>
      </c>
      <c r="P853" s="167">
        <f t="shared" ref="P853:P862" si="99">I860</f>
        <v>67228.5</v>
      </c>
      <c r="Q853" s="154" t="s">
        <v>567</v>
      </c>
      <c r="R853" s="167">
        <f>P853*M853/1000</f>
        <v>568.080825</v>
      </c>
      <c r="AE853" s="172" t="str">
        <f t="shared" si="95"/>
        <v>|</v>
      </c>
      <c r="AG853" s="154" t="s">
        <v>1158</v>
      </c>
    </row>
    <row r="854" spans="6:33" ht="24" customHeight="1">
      <c r="H854" s="154" t="s">
        <v>1734</v>
      </c>
      <c r="M854" s="167">
        <v>3</v>
      </c>
      <c r="N854" s="165" t="s">
        <v>576</v>
      </c>
      <c r="O854" s="154" t="s">
        <v>1735</v>
      </c>
      <c r="P854" s="167">
        <f t="shared" si="99"/>
        <v>14.8</v>
      </c>
      <c r="Q854" s="154" t="s">
        <v>576</v>
      </c>
      <c r="R854" s="167">
        <f t="shared" ref="R854:R861" si="100">P854*M854</f>
        <v>44.400000000000006</v>
      </c>
      <c r="AE854" s="172" t="str">
        <f t="shared" si="95"/>
        <v>|</v>
      </c>
      <c r="AG854" s="154" t="s">
        <v>1158</v>
      </c>
    </row>
    <row r="855" spans="6:33" ht="24" customHeight="1">
      <c r="M855" s="167">
        <v>12</v>
      </c>
      <c r="N855" s="165" t="s">
        <v>576</v>
      </c>
      <c r="O855" s="154" t="s">
        <v>1736</v>
      </c>
      <c r="P855" s="167">
        <f t="shared" si="99"/>
        <v>2</v>
      </c>
      <c r="Q855" s="154" t="s">
        <v>576</v>
      </c>
      <c r="R855" s="167">
        <f t="shared" si="100"/>
        <v>24</v>
      </c>
      <c r="AE855" s="172" t="str">
        <f t="shared" si="95"/>
        <v>|</v>
      </c>
      <c r="AG855" s="154" t="s">
        <v>1158</v>
      </c>
    </row>
    <row r="856" spans="6:33" ht="24" customHeight="1">
      <c r="M856" s="167">
        <v>2</v>
      </c>
      <c r="N856" s="165" t="s">
        <v>576</v>
      </c>
      <c r="O856" s="154" t="s">
        <v>1737</v>
      </c>
      <c r="P856" s="167">
        <f t="shared" si="99"/>
        <v>4.9000000000000004</v>
      </c>
      <c r="Q856" s="154" t="s">
        <v>576</v>
      </c>
      <c r="R856" s="167">
        <f t="shared" si="100"/>
        <v>9.8000000000000007</v>
      </c>
      <c r="AE856" s="172" t="str">
        <f t="shared" si="95"/>
        <v>|</v>
      </c>
      <c r="AG856" s="154" t="s">
        <v>1158</v>
      </c>
    </row>
    <row r="857" spans="6:33" ht="24" customHeight="1">
      <c r="G857" s="165" t="s">
        <v>1563</v>
      </c>
      <c r="H857" s="155" t="s">
        <v>1738</v>
      </c>
      <c r="M857" s="167">
        <v>6</v>
      </c>
      <c r="N857" s="165" t="s">
        <v>576</v>
      </c>
      <c r="O857" s="154" t="s">
        <v>1739</v>
      </c>
      <c r="P857" s="167">
        <f t="shared" si="99"/>
        <v>4.45</v>
      </c>
      <c r="Q857" s="154" t="s">
        <v>576</v>
      </c>
      <c r="R857" s="167">
        <f t="shared" si="100"/>
        <v>26.700000000000003</v>
      </c>
      <c r="S857" s="76"/>
      <c r="T857" s="165" t="s">
        <v>1563</v>
      </c>
      <c r="U857" s="155" t="s">
        <v>1740</v>
      </c>
      <c r="W857" s="158"/>
      <c r="AE857" s="172" t="str">
        <f t="shared" si="95"/>
        <v>|</v>
      </c>
      <c r="AG857" s="154" t="s">
        <v>1158</v>
      </c>
    </row>
    <row r="858" spans="6:33" ht="24" customHeight="1">
      <c r="H858" s="155" t="s">
        <v>1741</v>
      </c>
      <c r="M858" s="167">
        <v>1</v>
      </c>
      <c r="N858" s="165" t="s">
        <v>576</v>
      </c>
      <c r="O858" s="154" t="s">
        <v>1742</v>
      </c>
      <c r="P858" s="167">
        <f t="shared" si="99"/>
        <v>717.2</v>
      </c>
      <c r="Q858" s="154" t="s">
        <v>576</v>
      </c>
      <c r="R858" s="167">
        <f t="shared" si="100"/>
        <v>717.2</v>
      </c>
      <c r="S858" s="76"/>
      <c r="T858" s="156"/>
      <c r="U858" s="155" t="s">
        <v>1741</v>
      </c>
      <c r="W858" s="158"/>
      <c r="AE858" s="172" t="str">
        <f t="shared" si="95"/>
        <v>|</v>
      </c>
      <c r="AG858" s="154" t="s">
        <v>1158</v>
      </c>
    </row>
    <row r="859" spans="6:33" ht="24" customHeight="1">
      <c r="F859" s="232">
        <v>3.8100000000000002E-2</v>
      </c>
      <c r="G859" s="165" t="s">
        <v>577</v>
      </c>
      <c r="H859" s="154" t="s">
        <v>1731</v>
      </c>
      <c r="I859" s="167">
        <f>I877</f>
        <v>6523.4590200000011</v>
      </c>
      <c r="J859" s="154" t="s">
        <v>577</v>
      </c>
      <c r="K859" s="167">
        <f>F859*I859</f>
        <v>248.54378866200005</v>
      </c>
      <c r="M859" s="167">
        <v>1</v>
      </c>
      <c r="N859" s="165" t="s">
        <v>576</v>
      </c>
      <c r="O859" s="154" t="s">
        <v>1743</v>
      </c>
      <c r="P859" s="167">
        <f t="shared" si="99"/>
        <v>468.6</v>
      </c>
      <c r="Q859" s="154" t="s">
        <v>576</v>
      </c>
      <c r="R859" s="167">
        <f t="shared" si="100"/>
        <v>468.6</v>
      </c>
      <c r="S859" s="232">
        <v>4.9500000000000002E-2</v>
      </c>
      <c r="T859" s="165" t="s">
        <v>577</v>
      </c>
      <c r="U859" s="154" t="s">
        <v>1731</v>
      </c>
      <c r="V859" s="167">
        <f>I859</f>
        <v>6523.4590200000011</v>
      </c>
      <c r="W859" s="154" t="s">
        <v>577</v>
      </c>
      <c r="X859" s="167">
        <f>S859*V859</f>
        <v>322.91122149000006</v>
      </c>
      <c r="AE859" s="172" t="str">
        <f t="shared" si="95"/>
        <v>|</v>
      </c>
      <c r="AG859" s="154" t="s">
        <v>1158</v>
      </c>
    </row>
    <row r="860" spans="6:33" ht="24" customHeight="1">
      <c r="F860" s="277">
        <v>5.01</v>
      </c>
      <c r="G860" s="165" t="s">
        <v>420</v>
      </c>
      <c r="H860" s="154" t="s">
        <v>1733</v>
      </c>
      <c r="I860" s="167">
        <f>I878</f>
        <v>67228.5</v>
      </c>
      <c r="J860" s="154" t="s">
        <v>567</v>
      </c>
      <c r="K860" s="167">
        <f>F860*I860/1000</f>
        <v>336.81478499999997</v>
      </c>
      <c r="M860" s="167">
        <v>1</v>
      </c>
      <c r="N860" s="165" t="s">
        <v>576</v>
      </c>
      <c r="O860" s="154" t="s">
        <v>1744</v>
      </c>
      <c r="P860" s="167">
        <f t="shared" si="99"/>
        <v>25</v>
      </c>
      <c r="Q860" s="154" t="s">
        <v>576</v>
      </c>
      <c r="R860" s="167">
        <f t="shared" si="100"/>
        <v>25</v>
      </c>
      <c r="S860" s="277">
        <v>5.66</v>
      </c>
      <c r="T860" s="165" t="s">
        <v>420</v>
      </c>
      <c r="U860" s="154" t="s">
        <v>1733</v>
      </c>
      <c r="V860" s="167">
        <f t="shared" ref="V860:V868" si="101">I860</f>
        <v>67228.5</v>
      </c>
      <c r="W860" s="154" t="s">
        <v>567</v>
      </c>
      <c r="X860" s="167">
        <f>S860*V860/1000</f>
        <v>380.51330999999999</v>
      </c>
      <c r="AE860" s="172" t="str">
        <f t="shared" si="95"/>
        <v>|</v>
      </c>
      <c r="AG860" s="154" t="s">
        <v>1158</v>
      </c>
    </row>
    <row r="861" spans="6:33" ht="24" customHeight="1">
      <c r="F861" s="167">
        <v>3</v>
      </c>
      <c r="G861" s="165" t="s">
        <v>576</v>
      </c>
      <c r="H861" s="154" t="s">
        <v>1735</v>
      </c>
      <c r="I861" s="230">
        <v>14.8</v>
      </c>
      <c r="J861" s="154" t="s">
        <v>576</v>
      </c>
      <c r="K861" s="167">
        <f t="shared" ref="K861:K868" si="102">F861*I861</f>
        <v>44.400000000000006</v>
      </c>
      <c r="M861" s="167">
        <v>0.5</v>
      </c>
      <c r="N861" s="165" t="s">
        <v>576</v>
      </c>
      <c r="O861" s="154" t="s">
        <v>1745</v>
      </c>
      <c r="P861" s="167">
        <f t="shared" si="99"/>
        <v>404.8</v>
      </c>
      <c r="Q861" s="154" t="s">
        <v>576</v>
      </c>
      <c r="R861" s="167">
        <f t="shared" si="100"/>
        <v>202.4</v>
      </c>
      <c r="S861" s="167">
        <v>3</v>
      </c>
      <c r="T861" s="165" t="s">
        <v>576</v>
      </c>
      <c r="U861" s="154" t="s">
        <v>1735</v>
      </c>
      <c r="V861" s="167">
        <f t="shared" si="101"/>
        <v>14.8</v>
      </c>
      <c r="W861" s="154" t="s">
        <v>576</v>
      </c>
      <c r="X861" s="167">
        <f t="shared" ref="X861:X868" si="103">S861*V861</f>
        <v>44.400000000000006</v>
      </c>
      <c r="AE861" s="172" t="str">
        <f t="shared" si="95"/>
        <v>|</v>
      </c>
      <c r="AG861" s="154" t="s">
        <v>1158</v>
      </c>
    </row>
    <row r="862" spans="6:33" ht="24" customHeight="1">
      <c r="F862" s="167">
        <v>12</v>
      </c>
      <c r="G862" s="165" t="s">
        <v>576</v>
      </c>
      <c r="H862" s="154" t="s">
        <v>1736</v>
      </c>
      <c r="I862" s="230">
        <v>2</v>
      </c>
      <c r="J862" s="154" t="s">
        <v>576</v>
      </c>
      <c r="K862" s="167">
        <f t="shared" si="102"/>
        <v>24</v>
      </c>
      <c r="N862" s="165" t="s">
        <v>589</v>
      </c>
      <c r="O862" s="154" t="s">
        <v>1746</v>
      </c>
      <c r="P862" s="167">
        <f t="shared" si="99"/>
        <v>0</v>
      </c>
      <c r="Q862" s="154" t="s">
        <v>589</v>
      </c>
      <c r="R862" s="167">
        <v>2.1</v>
      </c>
      <c r="S862" s="167">
        <v>12</v>
      </c>
      <c r="T862" s="165" t="s">
        <v>576</v>
      </c>
      <c r="U862" s="154" t="s">
        <v>1736</v>
      </c>
      <c r="V862" s="167">
        <f t="shared" si="101"/>
        <v>2</v>
      </c>
      <c r="W862" s="154" t="s">
        <v>576</v>
      </c>
      <c r="X862" s="167">
        <f t="shared" si="103"/>
        <v>24</v>
      </c>
      <c r="AE862" s="172" t="str">
        <f t="shared" si="95"/>
        <v>|</v>
      </c>
      <c r="AG862" s="154" t="s">
        <v>1158</v>
      </c>
    </row>
    <row r="863" spans="6:33" ht="24" customHeight="1">
      <c r="F863" s="167">
        <v>2</v>
      </c>
      <c r="G863" s="165" t="s">
        <v>576</v>
      </c>
      <c r="H863" s="154" t="s">
        <v>1737</v>
      </c>
      <c r="I863" s="230">
        <v>4.9000000000000004</v>
      </c>
      <c r="J863" s="154" t="s">
        <v>576</v>
      </c>
      <c r="K863" s="167">
        <f t="shared" si="102"/>
        <v>9.8000000000000007</v>
      </c>
      <c r="N863" s="156"/>
      <c r="Q863" s="158"/>
      <c r="R863" s="162" t="s">
        <v>534</v>
      </c>
      <c r="S863" s="167">
        <v>2</v>
      </c>
      <c r="T863" s="165" t="s">
        <v>576</v>
      </c>
      <c r="U863" s="154" t="s">
        <v>1737</v>
      </c>
      <c r="V863" s="167">
        <f t="shared" si="101"/>
        <v>4.9000000000000004</v>
      </c>
      <c r="W863" s="154" t="s">
        <v>576</v>
      </c>
      <c r="X863" s="167">
        <f t="shared" si="103"/>
        <v>9.8000000000000007</v>
      </c>
      <c r="AE863" s="172" t="str">
        <f t="shared" si="95"/>
        <v>|</v>
      </c>
      <c r="AG863" s="154" t="s">
        <v>1158</v>
      </c>
    </row>
    <row r="864" spans="6:33" ht="24" customHeight="1">
      <c r="F864" s="167">
        <v>6</v>
      </c>
      <c r="G864" s="165" t="s">
        <v>576</v>
      </c>
      <c r="H864" s="154" t="s">
        <v>1739</v>
      </c>
      <c r="I864" s="230">
        <v>4.45</v>
      </c>
      <c r="J864" s="154" t="s">
        <v>576</v>
      </c>
      <c r="K864" s="167">
        <f t="shared" si="102"/>
        <v>26.700000000000003</v>
      </c>
      <c r="N864" s="156"/>
      <c r="O864" s="169" t="s">
        <v>1747</v>
      </c>
      <c r="Q864" s="158"/>
      <c r="R864" s="226">
        <f>SUM(R852:R862)</f>
        <v>2512.3056613000003</v>
      </c>
      <c r="S864" s="167">
        <v>6</v>
      </c>
      <c r="T864" s="165" t="s">
        <v>576</v>
      </c>
      <c r="U864" s="154" t="s">
        <v>1739</v>
      </c>
      <c r="V864" s="167">
        <f t="shared" si="101"/>
        <v>4.45</v>
      </c>
      <c r="W864" s="154" t="s">
        <v>576</v>
      </c>
      <c r="X864" s="167">
        <f t="shared" si="103"/>
        <v>26.700000000000003</v>
      </c>
      <c r="AE864" s="172" t="str">
        <f t="shared" si="95"/>
        <v>|</v>
      </c>
      <c r="AG864" s="154" t="s">
        <v>1158</v>
      </c>
    </row>
    <row r="865" spans="2:33" ht="24" customHeight="1">
      <c r="F865" s="167">
        <v>1</v>
      </c>
      <c r="G865" s="165" t="s">
        <v>576</v>
      </c>
      <c r="H865" s="154" t="s">
        <v>1742</v>
      </c>
      <c r="I865" s="167">
        <f>C10</f>
        <v>717.2</v>
      </c>
      <c r="J865" s="154" t="s">
        <v>576</v>
      </c>
      <c r="K865" s="167">
        <f t="shared" si="102"/>
        <v>717.2</v>
      </c>
      <c r="N865" s="156"/>
      <c r="Q865" s="158"/>
      <c r="R865" s="162" t="s">
        <v>534</v>
      </c>
      <c r="S865" s="167">
        <v>1</v>
      </c>
      <c r="T865" s="165" t="s">
        <v>576</v>
      </c>
      <c r="U865" s="154" t="s">
        <v>1742</v>
      </c>
      <c r="V865" s="167">
        <f t="shared" si="101"/>
        <v>717.2</v>
      </c>
      <c r="W865" s="154" t="s">
        <v>576</v>
      </c>
      <c r="X865" s="167">
        <f t="shared" si="103"/>
        <v>717.2</v>
      </c>
      <c r="AE865" s="172">
        <f t="shared" si="95"/>
        <v>0</v>
      </c>
      <c r="AG865" s="154"/>
    </row>
    <row r="866" spans="2:33" ht="24" customHeight="1">
      <c r="F866" s="167">
        <v>1</v>
      </c>
      <c r="G866" s="165" t="s">
        <v>576</v>
      </c>
      <c r="H866" s="154" t="s">
        <v>1743</v>
      </c>
      <c r="I866" s="167">
        <f>C12</f>
        <v>468.6</v>
      </c>
      <c r="J866" s="154" t="s">
        <v>576</v>
      </c>
      <c r="K866" s="167">
        <f t="shared" si="102"/>
        <v>468.6</v>
      </c>
      <c r="S866" s="167">
        <v>1</v>
      </c>
      <c r="T866" s="165" t="s">
        <v>576</v>
      </c>
      <c r="U866" s="154" t="s">
        <v>1743</v>
      </c>
      <c r="V866" s="167">
        <f t="shared" si="101"/>
        <v>468.6</v>
      </c>
      <c r="W866" s="154" t="s">
        <v>576</v>
      </c>
      <c r="X866" s="167">
        <f t="shared" si="103"/>
        <v>468.6</v>
      </c>
      <c r="AE866" s="172">
        <f t="shared" si="95"/>
        <v>0</v>
      </c>
      <c r="AG866" s="154"/>
    </row>
    <row r="867" spans="2:33" ht="24" customHeight="1">
      <c r="F867" s="167">
        <v>1</v>
      </c>
      <c r="G867" s="165" t="s">
        <v>576</v>
      </c>
      <c r="H867" s="154" t="s">
        <v>1744</v>
      </c>
      <c r="I867" s="230">
        <v>25</v>
      </c>
      <c r="J867" s="154" t="s">
        <v>576</v>
      </c>
      <c r="K867" s="167">
        <f t="shared" si="102"/>
        <v>25</v>
      </c>
      <c r="R867" s="162"/>
      <c r="S867" s="167">
        <v>1</v>
      </c>
      <c r="T867" s="165" t="s">
        <v>576</v>
      </c>
      <c r="U867" s="154" t="s">
        <v>1744</v>
      </c>
      <c r="V867" s="167">
        <f t="shared" si="101"/>
        <v>25</v>
      </c>
      <c r="W867" s="154" t="s">
        <v>576</v>
      </c>
      <c r="X867" s="167">
        <f t="shared" si="103"/>
        <v>25</v>
      </c>
      <c r="AE867" s="172">
        <f t="shared" si="95"/>
        <v>0</v>
      </c>
      <c r="AG867" s="154"/>
    </row>
    <row r="868" spans="2:33" ht="24" customHeight="1">
      <c r="F868" s="167">
        <v>0.5</v>
      </c>
      <c r="G868" s="165" t="s">
        <v>576</v>
      </c>
      <c r="H868" s="154" t="s">
        <v>1745</v>
      </c>
      <c r="I868" s="167">
        <f>C13</f>
        <v>404.8</v>
      </c>
      <c r="J868" s="154" t="s">
        <v>576</v>
      </c>
      <c r="K868" s="167">
        <f t="shared" si="102"/>
        <v>202.4</v>
      </c>
      <c r="R868" s="154" t="s">
        <v>22</v>
      </c>
      <c r="S868" s="167">
        <v>0.5</v>
      </c>
      <c r="T868" s="165" t="s">
        <v>576</v>
      </c>
      <c r="U868" s="154" t="s">
        <v>1745</v>
      </c>
      <c r="V868" s="167">
        <f t="shared" si="101"/>
        <v>404.8</v>
      </c>
      <c r="W868" s="154" t="s">
        <v>576</v>
      </c>
      <c r="X868" s="167">
        <f t="shared" si="103"/>
        <v>202.4</v>
      </c>
      <c r="AE868" s="172">
        <f t="shared" si="95"/>
        <v>0</v>
      </c>
      <c r="AG868" s="154"/>
    </row>
    <row r="869" spans="2:33" ht="24" customHeight="1">
      <c r="G869" s="165" t="s">
        <v>589</v>
      </c>
      <c r="H869" s="154" t="s">
        <v>1746</v>
      </c>
      <c r="J869" s="154" t="s">
        <v>589</v>
      </c>
      <c r="K869" s="167">
        <v>1.1299999999999999</v>
      </c>
      <c r="N869" s="154" t="s">
        <v>1563</v>
      </c>
      <c r="O869" s="154" t="s">
        <v>1748</v>
      </c>
      <c r="S869" s="76"/>
      <c r="T869" s="165" t="s">
        <v>589</v>
      </c>
      <c r="U869" s="154" t="s">
        <v>1746</v>
      </c>
      <c r="W869" s="154" t="s">
        <v>589</v>
      </c>
      <c r="X869" s="167">
        <v>0.06</v>
      </c>
      <c r="AE869" s="172">
        <f t="shared" si="95"/>
        <v>0</v>
      </c>
      <c r="AG869" s="154"/>
    </row>
    <row r="870" spans="2:33" ht="24" customHeight="1">
      <c r="K870" s="162" t="s">
        <v>534</v>
      </c>
      <c r="O870" s="154" t="s">
        <v>1689</v>
      </c>
      <c r="S870" s="76"/>
      <c r="T870" s="156"/>
      <c r="W870" s="158"/>
      <c r="X870" s="162" t="s">
        <v>534</v>
      </c>
      <c r="AE870" s="172">
        <f t="shared" si="95"/>
        <v>0</v>
      </c>
      <c r="AG870" s="154"/>
    </row>
    <row r="871" spans="2:33" ht="24" customHeight="1">
      <c r="H871" s="169" t="s">
        <v>1747</v>
      </c>
      <c r="K871" s="166">
        <f>SUM(K859:K869)</f>
        <v>2104.5885736620003</v>
      </c>
      <c r="N871" s="154" t="s">
        <v>338</v>
      </c>
      <c r="O871" s="154" t="s">
        <v>1692</v>
      </c>
      <c r="P871" s="167">
        <f>P826</f>
        <v>41.2</v>
      </c>
      <c r="R871" s="167" t="e">
        <f>(#VALUE!*P871)</f>
        <v>#VALUE!</v>
      </c>
      <c r="S871" s="76"/>
      <c r="T871" s="156"/>
      <c r="U871" s="169" t="s">
        <v>1747</v>
      </c>
      <c r="W871" s="158"/>
      <c r="X871" s="166">
        <f>SUM(X859:X869)</f>
        <v>2221.5845314900002</v>
      </c>
      <c r="AE871" s="172">
        <f t="shared" si="95"/>
        <v>0</v>
      </c>
      <c r="AG871" s="154"/>
    </row>
    <row r="872" spans="2:33" ht="24" customHeight="1">
      <c r="K872" s="162" t="s">
        <v>534</v>
      </c>
      <c r="O872" s="154" t="s">
        <v>1695</v>
      </c>
      <c r="AE872" s="172">
        <f t="shared" si="95"/>
        <v>0</v>
      </c>
      <c r="AG872" s="154"/>
    </row>
    <row r="873" spans="2:33" ht="24" customHeight="1">
      <c r="O873" s="154" t="s">
        <v>1698</v>
      </c>
      <c r="AE873" s="172">
        <f t="shared" si="95"/>
        <v>0</v>
      </c>
      <c r="AG873" s="154"/>
    </row>
    <row r="874" spans="2:33" ht="24" customHeight="1">
      <c r="N874" s="154" t="s">
        <v>916</v>
      </c>
      <c r="O874" s="154" t="s">
        <v>1749</v>
      </c>
      <c r="P874" s="167">
        <f>C272</f>
        <v>298</v>
      </c>
      <c r="R874" s="167" t="e">
        <f t="shared" ref="R874:R880" si="104">(#VALUE!*P874)</f>
        <v>#VALUE!</v>
      </c>
      <c r="AE874" s="172">
        <f t="shared" si="95"/>
        <v>0</v>
      </c>
      <c r="AG874" s="154"/>
    </row>
    <row r="875" spans="2:33" ht="24" customHeight="1">
      <c r="G875" s="165" t="s">
        <v>1501</v>
      </c>
      <c r="H875" s="155" t="s">
        <v>1750</v>
      </c>
      <c r="N875" s="154" t="s">
        <v>576</v>
      </c>
      <c r="O875" s="154" t="s">
        <v>1702</v>
      </c>
      <c r="P875" s="167">
        <v>5</v>
      </c>
      <c r="R875" s="167" t="e">
        <f t="shared" si="104"/>
        <v>#VALUE!</v>
      </c>
      <c r="S875" s="76"/>
      <c r="T875" s="165" t="s">
        <v>1563</v>
      </c>
      <c r="U875" s="155" t="s">
        <v>1751</v>
      </c>
      <c r="W875" s="158"/>
      <c r="AE875" s="172">
        <f t="shared" si="95"/>
        <v>0</v>
      </c>
      <c r="AG875" s="154"/>
    </row>
    <row r="876" spans="2:33" ht="24" customHeight="1">
      <c r="H876" s="155" t="s">
        <v>1741</v>
      </c>
      <c r="N876" s="154" t="s">
        <v>576</v>
      </c>
      <c r="O876" s="154" t="s">
        <v>1703</v>
      </c>
      <c r="P876" s="167">
        <v>10</v>
      </c>
      <c r="R876" s="167" t="e">
        <f t="shared" si="104"/>
        <v>#VALUE!</v>
      </c>
      <c r="S876" s="76"/>
      <c r="T876" s="156"/>
      <c r="U876" s="155" t="s">
        <v>1741</v>
      </c>
      <c r="W876" s="158"/>
      <c r="AE876" s="172">
        <f t="shared" si="95"/>
        <v>0</v>
      </c>
      <c r="AG876" s="154"/>
    </row>
    <row r="877" spans="2:33" ht="64.5" customHeight="1">
      <c r="B877" s="210" t="s">
        <v>1752</v>
      </c>
      <c r="C877" s="167">
        <f>Y688</f>
        <v>7043.395770000001</v>
      </c>
      <c r="F877" s="232">
        <v>3.6799999999999999E-2</v>
      </c>
      <c r="G877" s="165" t="s">
        <v>577</v>
      </c>
      <c r="H877" s="210" t="s">
        <v>1752</v>
      </c>
      <c r="I877" s="167">
        <f>Z718</f>
        <v>6523.4590200000011</v>
      </c>
      <c r="J877" s="154" t="s">
        <v>577</v>
      </c>
      <c r="K877" s="167">
        <f>F877*I877</f>
        <v>240.06329193600004</v>
      </c>
      <c r="N877" s="154" t="s">
        <v>576</v>
      </c>
      <c r="O877" s="154" t="s">
        <v>1705</v>
      </c>
      <c r="P877" s="167">
        <v>8</v>
      </c>
      <c r="R877" s="167" t="e">
        <f t="shared" si="104"/>
        <v>#VALUE!</v>
      </c>
      <c r="S877" s="232">
        <v>5.4699999999999999E-2</v>
      </c>
      <c r="T877" s="165" t="s">
        <v>577</v>
      </c>
      <c r="U877" s="154" t="s">
        <v>1731</v>
      </c>
      <c r="V877" s="167">
        <f>I877</f>
        <v>6523.4590200000011</v>
      </c>
      <c r="W877" s="154" t="s">
        <v>577</v>
      </c>
      <c r="X877" s="167">
        <f>S877*V877</f>
        <v>356.83320839400005</v>
      </c>
      <c r="AE877" s="172">
        <f t="shared" ref="AE877:AE949" si="105">AG877</f>
        <v>0</v>
      </c>
      <c r="AG877" s="154"/>
    </row>
    <row r="878" spans="2:33" ht="34.5" customHeight="1">
      <c r="B878" s="154" t="s">
        <v>1733</v>
      </c>
      <c r="C878" s="167">
        <f>R1609</f>
        <v>67505.28571428571</v>
      </c>
      <c r="F878" s="167">
        <v>4.87</v>
      </c>
      <c r="G878" s="165" t="s">
        <v>420</v>
      </c>
      <c r="H878" s="154" t="s">
        <v>1733</v>
      </c>
      <c r="I878" s="167">
        <f>K1608</f>
        <v>67228.5</v>
      </c>
      <c r="J878" s="154" t="s">
        <v>567</v>
      </c>
      <c r="K878" s="167">
        <f>F878*I878/1000</f>
        <v>327.40279499999997</v>
      </c>
      <c r="N878" s="154" t="s">
        <v>41</v>
      </c>
      <c r="O878" s="154" t="s">
        <v>1708</v>
      </c>
      <c r="P878" s="167">
        <v>13.66</v>
      </c>
      <c r="R878" s="167" t="e">
        <f t="shared" si="104"/>
        <v>#VALUE!</v>
      </c>
      <c r="S878" s="277">
        <v>6.16</v>
      </c>
      <c r="T878" s="165" t="s">
        <v>420</v>
      </c>
      <c r="U878" s="154" t="s">
        <v>1733</v>
      </c>
      <c r="V878" s="167">
        <f t="shared" ref="V878:V886" si="106">I878</f>
        <v>67228.5</v>
      </c>
      <c r="W878" s="154" t="s">
        <v>567</v>
      </c>
      <c r="X878" s="167">
        <f>S878*V878/1000</f>
        <v>414.12756000000002</v>
      </c>
      <c r="AE878" s="172">
        <f t="shared" si="105"/>
        <v>0</v>
      </c>
      <c r="AG878" s="154"/>
    </row>
    <row r="879" spans="2:33" ht="24" customHeight="1">
      <c r="F879" s="167">
        <v>3</v>
      </c>
      <c r="G879" s="165" t="s">
        <v>576</v>
      </c>
      <c r="H879" s="154" t="s">
        <v>1735</v>
      </c>
      <c r="I879" s="274">
        <f>I861</f>
        <v>14.8</v>
      </c>
      <c r="J879" s="154" t="s">
        <v>576</v>
      </c>
      <c r="K879" s="167">
        <f t="shared" ref="K879:K886" si="107">F879*I879</f>
        <v>44.400000000000006</v>
      </c>
      <c r="N879" s="154" t="s">
        <v>916</v>
      </c>
      <c r="O879" s="154" t="s">
        <v>1710</v>
      </c>
      <c r="P879" s="167">
        <v>25.46</v>
      </c>
      <c r="R879" s="167" t="e">
        <f t="shared" si="104"/>
        <v>#VALUE!</v>
      </c>
      <c r="S879" s="167">
        <v>3</v>
      </c>
      <c r="T879" s="165" t="s">
        <v>576</v>
      </c>
      <c r="U879" s="154" t="s">
        <v>1735</v>
      </c>
      <c r="V879" s="167">
        <f t="shared" si="106"/>
        <v>14.8</v>
      </c>
      <c r="W879" s="154" t="s">
        <v>576</v>
      </c>
      <c r="X879" s="167">
        <f t="shared" ref="X879:X886" si="108">S879*V879</f>
        <v>44.400000000000006</v>
      </c>
      <c r="AE879" s="172">
        <f t="shared" si="105"/>
        <v>0</v>
      </c>
      <c r="AG879" s="154"/>
    </row>
    <row r="880" spans="2:33" ht="24" customHeight="1">
      <c r="F880" s="167">
        <v>12</v>
      </c>
      <c r="G880" s="165" t="s">
        <v>576</v>
      </c>
      <c r="H880" s="154" t="s">
        <v>1736</v>
      </c>
      <c r="I880" s="274">
        <f>I862</f>
        <v>2</v>
      </c>
      <c r="J880" s="154" t="s">
        <v>576</v>
      </c>
      <c r="K880" s="167">
        <f t="shared" si="107"/>
        <v>24</v>
      </c>
      <c r="N880" s="154" t="s">
        <v>576</v>
      </c>
      <c r="O880" s="154" t="s">
        <v>1711</v>
      </c>
      <c r="P880" s="167">
        <v>0.5</v>
      </c>
      <c r="R880" s="167" t="e">
        <f t="shared" si="104"/>
        <v>#VALUE!</v>
      </c>
      <c r="S880" s="167">
        <v>12</v>
      </c>
      <c r="T880" s="165" t="s">
        <v>576</v>
      </c>
      <c r="U880" s="154" t="s">
        <v>1736</v>
      </c>
      <c r="V880" s="167">
        <f t="shared" si="106"/>
        <v>2</v>
      </c>
      <c r="W880" s="154" t="s">
        <v>576</v>
      </c>
      <c r="X880" s="167">
        <f t="shared" si="108"/>
        <v>24</v>
      </c>
      <c r="AE880" s="172">
        <f t="shared" si="105"/>
        <v>0</v>
      </c>
      <c r="AG880" s="154"/>
    </row>
    <row r="881" spans="6:33" ht="24" customHeight="1">
      <c r="F881" s="167">
        <v>2</v>
      </c>
      <c r="G881" s="165" t="s">
        <v>576</v>
      </c>
      <c r="H881" s="154" t="s">
        <v>1737</v>
      </c>
      <c r="I881" s="274">
        <f>I863</f>
        <v>4.9000000000000004</v>
      </c>
      <c r="J881" s="154" t="s">
        <v>576</v>
      </c>
      <c r="K881" s="167">
        <f t="shared" si="107"/>
        <v>9.8000000000000007</v>
      </c>
      <c r="R881" s="167">
        <v>0.97</v>
      </c>
      <c r="S881" s="167">
        <v>2</v>
      </c>
      <c r="T881" s="165" t="s">
        <v>576</v>
      </c>
      <c r="U881" s="154" t="s">
        <v>1737</v>
      </c>
      <c r="V881" s="167">
        <f t="shared" si="106"/>
        <v>4.9000000000000004</v>
      </c>
      <c r="W881" s="154" t="s">
        <v>576</v>
      </c>
      <c r="X881" s="167">
        <f t="shared" si="108"/>
        <v>9.8000000000000007</v>
      </c>
      <c r="AE881" s="172">
        <f t="shared" si="105"/>
        <v>0</v>
      </c>
      <c r="AG881" s="154"/>
    </row>
    <row r="882" spans="6:33" ht="24" customHeight="1">
      <c r="F882" s="167">
        <v>6</v>
      </c>
      <c r="G882" s="165" t="s">
        <v>576</v>
      </c>
      <c r="H882" s="154" t="s">
        <v>1739</v>
      </c>
      <c r="I882" s="274">
        <f>I864</f>
        <v>4.45</v>
      </c>
      <c r="J882" s="154" t="s">
        <v>576</v>
      </c>
      <c r="K882" s="167">
        <f t="shared" si="107"/>
        <v>26.700000000000003</v>
      </c>
      <c r="R882" s="162" t="s">
        <v>534</v>
      </c>
      <c r="S882" s="167">
        <v>6</v>
      </c>
      <c r="T882" s="165" t="s">
        <v>576</v>
      </c>
      <c r="U882" s="154" t="s">
        <v>1739</v>
      </c>
      <c r="V882" s="167">
        <f t="shared" si="106"/>
        <v>4.45</v>
      </c>
      <c r="W882" s="154" t="s">
        <v>576</v>
      </c>
      <c r="X882" s="167">
        <f t="shared" si="108"/>
        <v>26.700000000000003</v>
      </c>
      <c r="AE882" s="172">
        <f t="shared" si="105"/>
        <v>0</v>
      </c>
      <c r="AG882" s="154"/>
    </row>
    <row r="883" spans="6:33" ht="24" customHeight="1">
      <c r="F883" s="167">
        <v>1</v>
      </c>
      <c r="G883" s="165" t="s">
        <v>576</v>
      </c>
      <c r="H883" s="154" t="s">
        <v>1742</v>
      </c>
      <c r="I883" s="167">
        <f>C10</f>
        <v>717.2</v>
      </c>
      <c r="J883" s="154" t="s">
        <v>576</v>
      </c>
      <c r="K883" s="167">
        <f t="shared" si="107"/>
        <v>717.2</v>
      </c>
      <c r="O883" s="155" t="s">
        <v>1712</v>
      </c>
      <c r="R883" s="167" t="e">
        <f>SUM(R871:R881)</f>
        <v>#VALUE!</v>
      </c>
      <c r="S883" s="167">
        <v>1</v>
      </c>
      <c r="T883" s="165" t="s">
        <v>576</v>
      </c>
      <c r="U883" s="154" t="s">
        <v>1742</v>
      </c>
      <c r="V883" s="167">
        <f t="shared" si="106"/>
        <v>717.2</v>
      </c>
      <c r="W883" s="154" t="s">
        <v>576</v>
      </c>
      <c r="X883" s="167">
        <f t="shared" si="108"/>
        <v>717.2</v>
      </c>
      <c r="AE883" s="172">
        <f t="shared" si="105"/>
        <v>0</v>
      </c>
      <c r="AG883" s="154"/>
    </row>
    <row r="884" spans="6:33" ht="24" customHeight="1">
      <c r="F884" s="167">
        <v>1</v>
      </c>
      <c r="G884" s="165" t="s">
        <v>576</v>
      </c>
      <c r="H884" s="154" t="s">
        <v>1743</v>
      </c>
      <c r="I884" s="167">
        <f>C12</f>
        <v>468.6</v>
      </c>
      <c r="J884" s="154" t="s">
        <v>576</v>
      </c>
      <c r="K884" s="167">
        <f t="shared" si="107"/>
        <v>468.6</v>
      </c>
      <c r="R884" s="162" t="s">
        <v>534</v>
      </c>
      <c r="S884" s="167">
        <v>1</v>
      </c>
      <c r="T884" s="165" t="s">
        <v>576</v>
      </c>
      <c r="U884" s="154" t="s">
        <v>1743</v>
      </c>
      <c r="V884" s="167">
        <f t="shared" si="106"/>
        <v>468.6</v>
      </c>
      <c r="W884" s="154" t="s">
        <v>576</v>
      </c>
      <c r="X884" s="167">
        <f t="shared" si="108"/>
        <v>468.6</v>
      </c>
      <c r="AE884" s="172" t="str">
        <f t="shared" si="105"/>
        <v>|</v>
      </c>
      <c r="AG884" s="154" t="s">
        <v>1158</v>
      </c>
    </row>
    <row r="885" spans="6:33" ht="24" customHeight="1">
      <c r="F885" s="167">
        <v>1</v>
      </c>
      <c r="G885" s="165" t="s">
        <v>576</v>
      </c>
      <c r="H885" s="154" t="s">
        <v>1744</v>
      </c>
      <c r="I885" s="278">
        <v>25</v>
      </c>
      <c r="J885" s="154" t="s">
        <v>576</v>
      </c>
      <c r="K885" s="167">
        <f t="shared" si="107"/>
        <v>25</v>
      </c>
      <c r="S885" s="167">
        <v>1</v>
      </c>
      <c r="T885" s="165" t="s">
        <v>576</v>
      </c>
      <c r="U885" s="154" t="s">
        <v>1744</v>
      </c>
      <c r="V885" s="167">
        <f t="shared" si="106"/>
        <v>25</v>
      </c>
      <c r="W885" s="154" t="s">
        <v>576</v>
      </c>
      <c r="X885" s="167">
        <f t="shared" si="108"/>
        <v>25</v>
      </c>
      <c r="AE885" s="172" t="str">
        <f t="shared" si="105"/>
        <v>|</v>
      </c>
      <c r="AG885" s="154" t="s">
        <v>1158</v>
      </c>
    </row>
    <row r="886" spans="6:33" ht="24" customHeight="1">
      <c r="F886" s="167">
        <v>0.5</v>
      </c>
      <c r="G886" s="165" t="s">
        <v>576</v>
      </c>
      <c r="H886" s="154" t="s">
        <v>1745</v>
      </c>
      <c r="I886" s="167">
        <f>C13</f>
        <v>404.8</v>
      </c>
      <c r="J886" s="154" t="s">
        <v>576</v>
      </c>
      <c r="K886" s="167">
        <f t="shared" si="107"/>
        <v>202.4</v>
      </c>
      <c r="M886" s="155" t="s">
        <v>1753</v>
      </c>
      <c r="N886" s="154" t="s">
        <v>307</v>
      </c>
      <c r="O886" s="154" t="s">
        <v>1754</v>
      </c>
      <c r="S886" s="167">
        <v>0.5</v>
      </c>
      <c r="T886" s="165" t="s">
        <v>576</v>
      </c>
      <c r="U886" s="154" t="s">
        <v>1745</v>
      </c>
      <c r="V886" s="167">
        <f t="shared" si="106"/>
        <v>404.8</v>
      </c>
      <c r="W886" s="154" t="s">
        <v>576</v>
      </c>
      <c r="X886" s="167">
        <f t="shared" si="108"/>
        <v>202.4</v>
      </c>
      <c r="AE886" s="172" t="str">
        <f t="shared" si="105"/>
        <v>|</v>
      </c>
      <c r="AG886" s="154" t="s">
        <v>1158</v>
      </c>
    </row>
    <row r="887" spans="6:33" ht="24" customHeight="1">
      <c r="G887" s="165" t="s">
        <v>589</v>
      </c>
      <c r="H887" s="154" t="s">
        <v>1746</v>
      </c>
      <c r="J887" s="154" t="s">
        <v>589</v>
      </c>
      <c r="K887" s="167">
        <v>1.98</v>
      </c>
      <c r="O887" s="154" t="s">
        <v>1755</v>
      </c>
      <c r="S887" s="76"/>
      <c r="T887" s="165" t="s">
        <v>589</v>
      </c>
      <c r="U887" s="154" t="s">
        <v>1746</v>
      </c>
      <c r="W887" s="154" t="s">
        <v>589</v>
      </c>
      <c r="X887" s="167">
        <v>0.27</v>
      </c>
      <c r="AE887" s="172" t="str">
        <f t="shared" si="105"/>
        <v>|</v>
      </c>
      <c r="AG887" s="154" t="s">
        <v>1158</v>
      </c>
    </row>
    <row r="888" spans="6:33" ht="24" customHeight="1">
      <c r="K888" s="162" t="s">
        <v>534</v>
      </c>
      <c r="O888" s="162" t="s">
        <v>534</v>
      </c>
      <c r="P888" s="162" t="s">
        <v>534</v>
      </c>
      <c r="S888" s="76"/>
      <c r="T888" s="156"/>
      <c r="W888" s="158"/>
      <c r="X888" s="162" t="s">
        <v>534</v>
      </c>
      <c r="AE888" s="172" t="str">
        <f t="shared" si="105"/>
        <v>|</v>
      </c>
      <c r="AG888" s="154" t="s">
        <v>1158</v>
      </c>
    </row>
    <row r="889" spans="6:33" ht="24" customHeight="1">
      <c r="H889" s="169" t="s">
        <v>1747</v>
      </c>
      <c r="K889" s="166">
        <f>SUM(K877:K887)</f>
        <v>2087.5460869359999</v>
      </c>
      <c r="L889" s="76">
        <f>K889-1729</f>
        <v>358.54608693599994</v>
      </c>
      <c r="O889" s="154" t="s">
        <v>1756</v>
      </c>
      <c r="S889" s="76"/>
      <c r="T889" s="156"/>
      <c r="U889" s="169" t="s">
        <v>1747</v>
      </c>
      <c r="W889" s="158"/>
      <c r="X889" s="166">
        <f>SUM(X877:X887)</f>
        <v>2289.3307683940002</v>
      </c>
      <c r="AE889" s="172" t="str">
        <f t="shared" si="105"/>
        <v>|</v>
      </c>
      <c r="AG889" s="154" t="s">
        <v>1158</v>
      </c>
    </row>
    <row r="890" spans="6:33" ht="24" customHeight="1">
      <c r="K890" s="162" t="s">
        <v>534</v>
      </c>
      <c r="M890" s="167">
        <v>0.5</v>
      </c>
      <c r="N890" s="155" t="s">
        <v>680</v>
      </c>
      <c r="O890" s="154" t="s">
        <v>631</v>
      </c>
      <c r="P890" s="167">
        <f>C16</f>
        <v>701.80000000000007</v>
      </c>
      <c r="Q890" s="155" t="s">
        <v>1549</v>
      </c>
      <c r="R890" s="167">
        <f>(M890*P890)</f>
        <v>350.90000000000003</v>
      </c>
      <c r="AE890" s="172" t="str">
        <f t="shared" si="105"/>
        <v>|</v>
      </c>
      <c r="AG890" s="154" t="s">
        <v>1158</v>
      </c>
    </row>
    <row r="891" spans="6:33" ht="24" customHeight="1">
      <c r="F891" s="155"/>
      <c r="G891" s="165" t="s">
        <v>1530</v>
      </c>
      <c r="H891" s="155" t="s">
        <v>1757</v>
      </c>
      <c r="K891" s="76">
        <f>K889-1800.2</f>
        <v>287.34608693599989</v>
      </c>
      <c r="M891" s="167">
        <v>0.25</v>
      </c>
      <c r="N891" s="155" t="s">
        <v>680</v>
      </c>
      <c r="O891" s="154" t="s">
        <v>587</v>
      </c>
      <c r="P891" s="167">
        <f>C12</f>
        <v>468.6</v>
      </c>
      <c r="Q891" s="155" t="s">
        <v>1549</v>
      </c>
      <c r="R891" s="167">
        <f>(M891*P891)</f>
        <v>117.15</v>
      </c>
      <c r="S891" s="76"/>
      <c r="T891" s="165" t="s">
        <v>1563</v>
      </c>
      <c r="U891" s="155" t="s">
        <v>1758</v>
      </c>
      <c r="W891" s="158"/>
      <c r="AE891" s="172" t="str">
        <f t="shared" si="105"/>
        <v>|</v>
      </c>
      <c r="AG891" s="154" t="s">
        <v>1158</v>
      </c>
    </row>
    <row r="892" spans="6:33" ht="24" customHeight="1">
      <c r="H892" s="155" t="s">
        <v>1741</v>
      </c>
      <c r="R892" s="162" t="s">
        <v>534</v>
      </c>
      <c r="S892" s="76"/>
      <c r="T892" s="156"/>
      <c r="U892" s="155" t="s">
        <v>1741</v>
      </c>
      <c r="W892" s="158"/>
      <c r="AE892" s="172" t="str">
        <f t="shared" si="105"/>
        <v>|</v>
      </c>
      <c r="AG892" s="154" t="s">
        <v>1158</v>
      </c>
    </row>
    <row r="893" spans="6:33" ht="24" customHeight="1">
      <c r="F893" s="232">
        <v>3.5299999999999998E-2</v>
      </c>
      <c r="G893" s="165" t="s">
        <v>577</v>
      </c>
      <c r="H893" s="154" t="s">
        <v>1731</v>
      </c>
      <c r="I893" s="167">
        <f t="shared" ref="I893:I898" si="109">I877</f>
        <v>6523.4590200000011</v>
      </c>
      <c r="J893" s="154" t="s">
        <v>577</v>
      </c>
      <c r="K893" s="167">
        <f>F893*I893</f>
        <v>230.27810340600001</v>
      </c>
      <c r="O893" s="155" t="s">
        <v>1759</v>
      </c>
      <c r="R893" s="167">
        <f>SUM(R890:R891)</f>
        <v>468.05000000000007</v>
      </c>
      <c r="S893" s="232">
        <v>5.91E-2</v>
      </c>
      <c r="T893" s="165" t="s">
        <v>577</v>
      </c>
      <c r="U893" s="154" t="s">
        <v>1731</v>
      </c>
      <c r="V893" s="167">
        <f>V877</f>
        <v>6523.4590200000011</v>
      </c>
      <c r="W893" s="154" t="s">
        <v>577</v>
      </c>
      <c r="X893" s="167">
        <f>S893*V893</f>
        <v>385.53642808200004</v>
      </c>
      <c r="AE893" s="172" t="str">
        <f t="shared" si="105"/>
        <v>|</v>
      </c>
      <c r="AG893" s="154" t="s">
        <v>1158</v>
      </c>
    </row>
    <row r="894" spans="6:33" ht="24" customHeight="1">
      <c r="F894" s="167">
        <v>4.59</v>
      </c>
      <c r="G894" s="165" t="s">
        <v>420</v>
      </c>
      <c r="H894" s="154" t="s">
        <v>1733</v>
      </c>
      <c r="I894" s="167">
        <f t="shared" si="109"/>
        <v>67228.5</v>
      </c>
      <c r="J894" s="154" t="s">
        <v>567</v>
      </c>
      <c r="K894" s="167">
        <f>F894*I894/1000</f>
        <v>308.57881500000002</v>
      </c>
      <c r="R894" s="162" t="s">
        <v>534</v>
      </c>
      <c r="S894" s="277">
        <v>6.58</v>
      </c>
      <c r="T894" s="165" t="s">
        <v>420</v>
      </c>
      <c r="U894" s="154" t="s">
        <v>1733</v>
      </c>
      <c r="V894" s="167">
        <f t="shared" ref="V894:V902" si="110">V878</f>
        <v>67228.5</v>
      </c>
      <c r="W894" s="154" t="s">
        <v>567</v>
      </c>
      <c r="X894" s="167">
        <f>S894*V894/1000</f>
        <v>442.36353000000003</v>
      </c>
      <c r="AE894" s="172" t="str">
        <f t="shared" si="105"/>
        <v>|</v>
      </c>
      <c r="AG894" s="154" t="s">
        <v>1158</v>
      </c>
    </row>
    <row r="895" spans="6:33" ht="24" customHeight="1">
      <c r="F895" s="167">
        <v>3</v>
      </c>
      <c r="G895" s="165" t="s">
        <v>576</v>
      </c>
      <c r="H895" s="154" t="s">
        <v>1735</v>
      </c>
      <c r="I895" s="274">
        <f t="shared" si="109"/>
        <v>14.8</v>
      </c>
      <c r="J895" s="154" t="s">
        <v>576</v>
      </c>
      <c r="K895" s="167">
        <f t="shared" ref="K895:K902" si="111">F895*I895</f>
        <v>44.400000000000006</v>
      </c>
      <c r="O895" s="155" t="s">
        <v>1760</v>
      </c>
      <c r="R895" s="167">
        <f>R893/0.0283</f>
        <v>16538.869257950533</v>
      </c>
      <c r="S895" s="167">
        <v>3</v>
      </c>
      <c r="T895" s="165" t="s">
        <v>576</v>
      </c>
      <c r="U895" s="154" t="s">
        <v>1735</v>
      </c>
      <c r="V895" s="167">
        <f t="shared" si="110"/>
        <v>14.8</v>
      </c>
      <c r="W895" s="154" t="s">
        <v>576</v>
      </c>
      <c r="X895" s="167">
        <f t="shared" ref="X895:X902" si="112">S895*V895</f>
        <v>44.400000000000006</v>
      </c>
      <c r="AE895" s="172" t="str">
        <f t="shared" si="105"/>
        <v>|</v>
      </c>
      <c r="AG895" s="154" t="s">
        <v>1158</v>
      </c>
    </row>
    <row r="896" spans="6:33" ht="24" customHeight="1">
      <c r="F896" s="167">
        <v>12</v>
      </c>
      <c r="G896" s="165" t="s">
        <v>576</v>
      </c>
      <c r="H896" s="154" t="s">
        <v>1736</v>
      </c>
      <c r="I896" s="274">
        <f t="shared" si="109"/>
        <v>2</v>
      </c>
      <c r="J896" s="154" t="s">
        <v>576</v>
      </c>
      <c r="K896" s="167">
        <f t="shared" si="111"/>
        <v>24</v>
      </c>
      <c r="R896" s="162" t="s">
        <v>534</v>
      </c>
      <c r="S896" s="167">
        <v>12</v>
      </c>
      <c r="T896" s="165" t="s">
        <v>576</v>
      </c>
      <c r="U896" s="154" t="s">
        <v>1736</v>
      </c>
      <c r="V896" s="167">
        <f t="shared" si="110"/>
        <v>2</v>
      </c>
      <c r="W896" s="154" t="s">
        <v>576</v>
      </c>
      <c r="X896" s="167">
        <f t="shared" si="112"/>
        <v>24</v>
      </c>
      <c r="AE896" s="172" t="str">
        <f t="shared" si="105"/>
        <v>|</v>
      </c>
      <c r="AG896" s="154" t="s">
        <v>1158</v>
      </c>
    </row>
    <row r="897" spans="6:33" ht="24" customHeight="1">
      <c r="F897" s="167">
        <v>2</v>
      </c>
      <c r="G897" s="165" t="s">
        <v>576</v>
      </c>
      <c r="H897" s="167" t="str">
        <f>H881</f>
        <v>TOWER BOLT RECEIVER</v>
      </c>
      <c r="I897" s="274">
        <f t="shared" si="109"/>
        <v>4.9000000000000004</v>
      </c>
      <c r="J897" s="154" t="s">
        <v>576</v>
      </c>
      <c r="K897" s="167">
        <f t="shared" si="111"/>
        <v>9.8000000000000007</v>
      </c>
      <c r="S897" s="167">
        <v>2</v>
      </c>
      <c r="T897" s="165" t="s">
        <v>576</v>
      </c>
      <c r="U897" s="154" t="s">
        <v>1737</v>
      </c>
      <c r="V897" s="167">
        <f t="shared" si="110"/>
        <v>4.9000000000000004</v>
      </c>
      <c r="W897" s="154" t="s">
        <v>576</v>
      </c>
      <c r="X897" s="167">
        <f t="shared" si="112"/>
        <v>9.8000000000000007</v>
      </c>
      <c r="AE897" s="172" t="str">
        <f t="shared" si="105"/>
        <v>|</v>
      </c>
      <c r="AG897" s="154" t="s">
        <v>1158</v>
      </c>
    </row>
    <row r="898" spans="6:33" ht="24" customHeight="1">
      <c r="F898" s="167">
        <v>6</v>
      </c>
      <c r="G898" s="165" t="s">
        <v>576</v>
      </c>
      <c r="H898" s="154" t="s">
        <v>1739</v>
      </c>
      <c r="I898" s="274">
        <f t="shared" si="109"/>
        <v>4.45</v>
      </c>
      <c r="J898" s="154" t="s">
        <v>576</v>
      </c>
      <c r="K898" s="167">
        <f t="shared" si="111"/>
        <v>26.700000000000003</v>
      </c>
      <c r="S898" s="167">
        <v>6</v>
      </c>
      <c r="T898" s="165" t="s">
        <v>576</v>
      </c>
      <c r="U898" s="154" t="s">
        <v>1739</v>
      </c>
      <c r="V898" s="167">
        <f t="shared" si="110"/>
        <v>4.45</v>
      </c>
      <c r="W898" s="154" t="s">
        <v>576</v>
      </c>
      <c r="X898" s="167">
        <f t="shared" si="112"/>
        <v>26.700000000000003</v>
      </c>
      <c r="AE898" s="172" t="str">
        <f t="shared" si="105"/>
        <v>|</v>
      </c>
      <c r="AG898" s="154" t="s">
        <v>1158</v>
      </c>
    </row>
    <row r="899" spans="6:33" ht="24" customHeight="1">
      <c r="F899" s="167">
        <v>1</v>
      </c>
      <c r="G899" s="165" t="s">
        <v>576</v>
      </c>
      <c r="H899" s="154" t="s">
        <v>1742</v>
      </c>
      <c r="I899" s="167">
        <f>C10</f>
        <v>717.2</v>
      </c>
      <c r="J899" s="154" t="s">
        <v>576</v>
      </c>
      <c r="K899" s="167">
        <f t="shared" si="111"/>
        <v>717.2</v>
      </c>
      <c r="S899" s="167">
        <v>1</v>
      </c>
      <c r="T899" s="165" t="s">
        <v>576</v>
      </c>
      <c r="U899" s="154" t="s">
        <v>1742</v>
      </c>
      <c r="V899" s="167">
        <f t="shared" si="110"/>
        <v>717.2</v>
      </c>
      <c r="W899" s="154" t="s">
        <v>576</v>
      </c>
      <c r="X899" s="167">
        <f t="shared" si="112"/>
        <v>717.2</v>
      </c>
      <c r="AE899" s="172" t="str">
        <f t="shared" si="105"/>
        <v>|</v>
      </c>
      <c r="AG899" s="154" t="s">
        <v>1158</v>
      </c>
    </row>
    <row r="900" spans="6:33" ht="24" customHeight="1">
      <c r="F900" s="167">
        <v>1</v>
      </c>
      <c r="G900" s="165" t="s">
        <v>576</v>
      </c>
      <c r="H900" s="154" t="s">
        <v>1743</v>
      </c>
      <c r="I900" s="167">
        <f>C12</f>
        <v>468.6</v>
      </c>
      <c r="J900" s="154" t="s">
        <v>576</v>
      </c>
      <c r="K900" s="167">
        <f t="shared" si="111"/>
        <v>468.6</v>
      </c>
      <c r="S900" s="167">
        <v>1</v>
      </c>
      <c r="T900" s="165" t="s">
        <v>576</v>
      </c>
      <c r="U900" s="154" t="s">
        <v>1743</v>
      </c>
      <c r="V900" s="167">
        <f t="shared" si="110"/>
        <v>468.6</v>
      </c>
      <c r="W900" s="154" t="s">
        <v>576</v>
      </c>
      <c r="X900" s="167">
        <f t="shared" si="112"/>
        <v>468.6</v>
      </c>
      <c r="AE900" s="172" t="str">
        <f t="shared" si="105"/>
        <v>|</v>
      </c>
      <c r="AG900" s="154" t="s">
        <v>1158</v>
      </c>
    </row>
    <row r="901" spans="6:33" ht="101.25" customHeight="1">
      <c r="F901" s="167">
        <v>1</v>
      </c>
      <c r="G901" s="165" t="s">
        <v>576</v>
      </c>
      <c r="H901" s="167" t="str">
        <f>H885</f>
        <v>MOULDING CHARGES</v>
      </c>
      <c r="I901" s="230">
        <v>25</v>
      </c>
      <c r="J901" s="154" t="s">
        <v>576</v>
      </c>
      <c r="K901" s="167">
        <f t="shared" si="111"/>
        <v>25</v>
      </c>
      <c r="S901" s="167">
        <v>1</v>
      </c>
      <c r="T901" s="165" t="s">
        <v>576</v>
      </c>
      <c r="U901" s="154" t="s">
        <v>1744</v>
      </c>
      <c r="V901" s="167">
        <f t="shared" si="110"/>
        <v>25</v>
      </c>
      <c r="W901" s="154" t="s">
        <v>576</v>
      </c>
      <c r="X901" s="167">
        <f t="shared" si="112"/>
        <v>25</v>
      </c>
      <c r="AE901" s="172">
        <f t="shared" si="105"/>
        <v>0</v>
      </c>
    </row>
    <row r="902" spans="6:33" ht="24" customHeight="1">
      <c r="F902" s="167">
        <v>0.5</v>
      </c>
      <c r="G902" s="165" t="s">
        <v>576</v>
      </c>
      <c r="H902" s="154" t="s">
        <v>1745</v>
      </c>
      <c r="I902" s="167">
        <f>C13</f>
        <v>404.8</v>
      </c>
      <c r="J902" s="154" t="s">
        <v>576</v>
      </c>
      <c r="K902" s="167">
        <f t="shared" si="111"/>
        <v>202.4</v>
      </c>
      <c r="M902" s="167">
        <v>11.64</v>
      </c>
      <c r="N902" s="154" t="s">
        <v>41</v>
      </c>
      <c r="O902" s="154" t="s">
        <v>1708</v>
      </c>
      <c r="P902" s="167">
        <v>13.66</v>
      </c>
      <c r="R902" s="167">
        <f>(M902*P902)</f>
        <v>159.00240000000002</v>
      </c>
      <c r="S902" s="167">
        <v>0.5</v>
      </c>
      <c r="T902" s="165" t="s">
        <v>576</v>
      </c>
      <c r="U902" s="154" t="s">
        <v>1745</v>
      </c>
      <c r="V902" s="167">
        <f t="shared" si="110"/>
        <v>404.8</v>
      </c>
      <c r="W902" s="154" t="s">
        <v>576</v>
      </c>
      <c r="X902" s="167">
        <f t="shared" si="112"/>
        <v>202.4</v>
      </c>
      <c r="AE902" s="172">
        <f t="shared" si="105"/>
        <v>0</v>
      </c>
    </row>
    <row r="903" spans="6:33" ht="24" customHeight="1">
      <c r="G903" s="165" t="s">
        <v>589</v>
      </c>
      <c r="H903" s="154" t="s">
        <v>1746</v>
      </c>
      <c r="J903" s="154" t="s">
        <v>589</v>
      </c>
      <c r="K903" s="167">
        <v>1.39</v>
      </c>
      <c r="M903" s="233">
        <v>1.62</v>
      </c>
      <c r="N903" s="154" t="s">
        <v>916</v>
      </c>
      <c r="O903" s="154" t="s">
        <v>1710</v>
      </c>
      <c r="P903" s="167">
        <v>25.46</v>
      </c>
      <c r="R903" s="167">
        <f>(M903*P903)</f>
        <v>41.245200000000004</v>
      </c>
      <c r="S903" s="76"/>
      <c r="T903" s="165" t="s">
        <v>589</v>
      </c>
      <c r="U903" s="154" t="s">
        <v>1746</v>
      </c>
      <c r="W903" s="154" t="s">
        <v>589</v>
      </c>
      <c r="X903" s="167">
        <v>0.21</v>
      </c>
      <c r="AE903" s="172">
        <f t="shared" si="105"/>
        <v>0</v>
      </c>
    </row>
    <row r="904" spans="6:33" ht="24" customHeight="1">
      <c r="K904" s="162" t="s">
        <v>534</v>
      </c>
      <c r="M904" s="167">
        <v>48</v>
      </c>
      <c r="N904" s="154" t="s">
        <v>576</v>
      </c>
      <c r="O904" s="154" t="s">
        <v>1711</v>
      </c>
      <c r="P904" s="167">
        <v>0.5</v>
      </c>
      <c r="R904" s="167">
        <f>(M904*P904)</f>
        <v>24</v>
      </c>
      <c r="S904" s="76"/>
      <c r="T904" s="156"/>
      <c r="W904" s="158"/>
      <c r="X904" s="162" t="s">
        <v>534</v>
      </c>
      <c r="AE904" s="172">
        <f t="shared" si="105"/>
        <v>0</v>
      </c>
    </row>
    <row r="905" spans="6:33" ht="24" customHeight="1">
      <c r="H905" s="169" t="s">
        <v>1747</v>
      </c>
      <c r="K905" s="166">
        <f>SUM(K893:K903)</f>
        <v>2058.346918406</v>
      </c>
      <c r="R905" s="167">
        <v>0.23</v>
      </c>
      <c r="S905" s="76"/>
      <c r="T905" s="156"/>
      <c r="U905" s="169" t="s">
        <v>1747</v>
      </c>
      <c r="W905" s="158"/>
      <c r="X905" s="166">
        <f>SUM(X893:X903)</f>
        <v>2346.209958082</v>
      </c>
      <c r="AE905" s="172">
        <f t="shared" si="105"/>
        <v>0</v>
      </c>
    </row>
    <row r="906" spans="6:33" ht="24" customHeight="1">
      <c r="K906" s="162" t="s">
        <v>534</v>
      </c>
      <c r="AE906" s="172">
        <f t="shared" si="105"/>
        <v>0</v>
      </c>
    </row>
    <row r="907" spans="6:33" ht="24" customHeight="1">
      <c r="R907" s="162" t="s">
        <v>534</v>
      </c>
      <c r="AE907" s="172">
        <f t="shared" si="105"/>
        <v>0</v>
      </c>
    </row>
    <row r="908" spans="6:33" ht="55.5" customHeight="1">
      <c r="F908" s="279">
        <v>21.3</v>
      </c>
      <c r="G908" s="165" t="s">
        <v>307</v>
      </c>
      <c r="H908" s="280" t="s">
        <v>1761</v>
      </c>
      <c r="O908" s="155" t="s">
        <v>1712</v>
      </c>
      <c r="R908" s="167">
        <f>SUM(R902:R905)</f>
        <v>224.47760000000002</v>
      </c>
      <c r="AE908" s="172">
        <f t="shared" si="105"/>
        <v>0</v>
      </c>
    </row>
    <row r="909" spans="6:33" ht="24" customHeight="1">
      <c r="H909" s="154" t="s">
        <v>1762</v>
      </c>
      <c r="AE909" s="172">
        <f t="shared" si="105"/>
        <v>0</v>
      </c>
    </row>
    <row r="910" spans="6:33" ht="24" customHeight="1">
      <c r="H910" s="162" t="s">
        <v>534</v>
      </c>
      <c r="J910" s="158" t="s">
        <v>1763</v>
      </c>
      <c r="AE910" s="172">
        <f t="shared" si="105"/>
        <v>0</v>
      </c>
    </row>
    <row r="911" spans="6:33" ht="24" customHeight="1">
      <c r="AE911" s="172">
        <f t="shared" si="105"/>
        <v>0</v>
      </c>
    </row>
    <row r="912" spans="6:33" ht="24" customHeight="1">
      <c r="H912" s="223" t="s">
        <v>1764</v>
      </c>
      <c r="J912" s="154" t="s">
        <v>916</v>
      </c>
      <c r="K912" s="178">
        <v>1900</v>
      </c>
      <c r="AE912" s="172">
        <f t="shared" si="105"/>
        <v>0</v>
      </c>
    </row>
    <row r="913" spans="6:33" ht="24" customHeight="1">
      <c r="F913" s="154" t="s">
        <v>22</v>
      </c>
      <c r="AE913" s="172">
        <f t="shared" si="105"/>
        <v>0</v>
      </c>
    </row>
    <row r="914" spans="6:33" ht="24" customHeight="1">
      <c r="H914" s="155" t="s">
        <v>1765</v>
      </c>
      <c r="K914" s="162" t="s">
        <v>528</v>
      </c>
      <c r="AE914" s="172">
        <f t="shared" si="105"/>
        <v>0</v>
      </c>
    </row>
    <row r="915" spans="6:33" ht="24" customHeight="1">
      <c r="H915" s="155" t="s">
        <v>1766</v>
      </c>
      <c r="AE915" s="172">
        <f t="shared" si="105"/>
        <v>0</v>
      </c>
    </row>
    <row r="916" spans="6:33" ht="24" customHeight="1">
      <c r="F916" s="257">
        <v>21.2</v>
      </c>
      <c r="H916" s="199" t="s">
        <v>1767</v>
      </c>
      <c r="AE916" s="172">
        <f t="shared" si="105"/>
        <v>0</v>
      </c>
    </row>
    <row r="917" spans="6:33" ht="24" customHeight="1">
      <c r="F917" s="257"/>
      <c r="H917" s="162" t="s">
        <v>534</v>
      </c>
      <c r="AE917" s="172" t="str">
        <f t="shared" si="105"/>
        <v>|</v>
      </c>
      <c r="AG917" s="154" t="s">
        <v>1158</v>
      </c>
    </row>
    <row r="918" spans="6:33" ht="24" customHeight="1">
      <c r="G918" s="165" t="s">
        <v>1118</v>
      </c>
      <c r="H918" s="154" t="s">
        <v>1768</v>
      </c>
      <c r="K918" s="154" t="s">
        <v>22</v>
      </c>
      <c r="AE918" s="172" t="str">
        <f t="shared" si="105"/>
        <v>|</v>
      </c>
      <c r="AG918" s="154" t="s">
        <v>1158</v>
      </c>
    </row>
    <row r="919" spans="6:33" ht="24" customHeight="1">
      <c r="H919" s="162" t="s">
        <v>534</v>
      </c>
      <c r="K919" s="154" t="s">
        <v>22</v>
      </c>
      <c r="AE919" s="172" t="str">
        <f t="shared" si="105"/>
        <v>|</v>
      </c>
      <c r="AG919" s="154" t="s">
        <v>1158</v>
      </c>
    </row>
    <row r="920" spans="6:33" ht="24" customHeight="1">
      <c r="F920" s="167">
        <v>1</v>
      </c>
      <c r="G920" s="165" t="s">
        <v>577</v>
      </c>
      <c r="H920" s="154" t="s">
        <v>1769</v>
      </c>
      <c r="I920" s="167">
        <f>C30</f>
        <v>9828.5</v>
      </c>
      <c r="J920" s="154" t="s">
        <v>577</v>
      </c>
      <c r="K920" s="167">
        <f>(F920*I920)</f>
        <v>9828.5</v>
      </c>
      <c r="AE920" s="172" t="str">
        <f t="shared" si="105"/>
        <v>|</v>
      </c>
      <c r="AG920" s="154" t="s">
        <v>1158</v>
      </c>
    </row>
    <row r="921" spans="6:33" ht="24" customHeight="1">
      <c r="F921" s="167">
        <v>1</v>
      </c>
      <c r="G921" s="165" t="s">
        <v>577</v>
      </c>
      <c r="H921" s="154" t="s">
        <v>1768</v>
      </c>
      <c r="I921" s="167">
        <f>C88</f>
        <v>111600</v>
      </c>
      <c r="J921" s="154" t="s">
        <v>577</v>
      </c>
      <c r="K921" s="167">
        <f>(F921*I921)</f>
        <v>111600</v>
      </c>
      <c r="AE921" s="172" t="str">
        <f t="shared" si="105"/>
        <v>|</v>
      </c>
      <c r="AG921" s="154" t="s">
        <v>1158</v>
      </c>
    </row>
    <row r="922" spans="6:33" ht="24" customHeight="1">
      <c r="K922" s="162" t="s">
        <v>528</v>
      </c>
      <c r="AE922" s="172">
        <f t="shared" si="105"/>
        <v>0</v>
      </c>
    </row>
    <row r="923" spans="6:33" ht="24" customHeight="1">
      <c r="H923" s="154" t="s">
        <v>1770</v>
      </c>
      <c r="K923" s="166">
        <f>SUM(K920:K921)</f>
        <v>121428.5</v>
      </c>
      <c r="AE923" s="172" t="str">
        <f t="shared" si="105"/>
        <v>|</v>
      </c>
      <c r="AG923" s="154" t="s">
        <v>1158</v>
      </c>
    </row>
    <row r="924" spans="6:33" ht="24" customHeight="1">
      <c r="K924" s="162" t="s">
        <v>528</v>
      </c>
      <c r="AE924" s="172" t="str">
        <f t="shared" si="105"/>
        <v>|</v>
      </c>
      <c r="AG924" s="154" t="s">
        <v>1158</v>
      </c>
    </row>
    <row r="925" spans="6:33" ht="24" customHeight="1">
      <c r="G925" s="165" t="s">
        <v>7</v>
      </c>
      <c r="H925" s="154" t="s">
        <v>1771</v>
      </c>
      <c r="K925" s="154" t="s">
        <v>22</v>
      </c>
      <c r="AE925" s="172" t="str">
        <f t="shared" si="105"/>
        <v>|</v>
      </c>
      <c r="AG925" s="154" t="s">
        <v>1158</v>
      </c>
    </row>
    <row r="926" spans="6:33" ht="24" customHeight="1">
      <c r="H926" s="162" t="s">
        <v>534</v>
      </c>
      <c r="M926" s="155" t="s">
        <v>1772</v>
      </c>
      <c r="N926" s="165" t="s">
        <v>307</v>
      </c>
      <c r="O926" s="154" t="s">
        <v>1773</v>
      </c>
      <c r="Q926" s="158"/>
      <c r="AE926" s="172">
        <f t="shared" si="105"/>
        <v>0</v>
      </c>
      <c r="AG926" s="154"/>
    </row>
    <row r="927" spans="6:33" ht="24" customHeight="1">
      <c r="F927" s="167">
        <v>1</v>
      </c>
      <c r="G927" s="165" t="s">
        <v>577</v>
      </c>
      <c r="H927" s="154" t="s">
        <v>1769</v>
      </c>
      <c r="I927" s="167">
        <f>C30</f>
        <v>9828.5</v>
      </c>
      <c r="J927" s="154" t="s">
        <v>577</v>
      </c>
      <c r="K927" s="167">
        <f>(F927*I927)</f>
        <v>9828.5</v>
      </c>
      <c r="N927" s="156"/>
      <c r="O927" s="154" t="s">
        <v>1774</v>
      </c>
      <c r="Q927" s="158"/>
      <c r="AE927" s="172" t="str">
        <f t="shared" si="105"/>
        <v>|</v>
      </c>
      <c r="AG927" s="154" t="s">
        <v>1158</v>
      </c>
    </row>
    <row r="928" spans="6:33" ht="24" customHeight="1">
      <c r="F928" s="167">
        <v>1</v>
      </c>
      <c r="G928" s="165" t="s">
        <v>577</v>
      </c>
      <c r="H928" s="154" t="s">
        <v>1768</v>
      </c>
      <c r="I928" s="167">
        <f>C89</f>
        <v>99400</v>
      </c>
      <c r="J928" s="154" t="s">
        <v>577</v>
      </c>
      <c r="K928" s="167">
        <f>(F928*I928)</f>
        <v>99400</v>
      </c>
      <c r="N928" s="156"/>
      <c r="O928" s="154" t="s">
        <v>1775</v>
      </c>
      <c r="Q928" s="158"/>
      <c r="AE928" s="172" t="str">
        <f t="shared" si="105"/>
        <v>|</v>
      </c>
      <c r="AG928" s="154" t="s">
        <v>1158</v>
      </c>
    </row>
    <row r="929" spans="6:33" ht="24" customHeight="1">
      <c r="K929" s="162" t="s">
        <v>528</v>
      </c>
      <c r="N929" s="156"/>
      <c r="O929" s="162" t="s">
        <v>534</v>
      </c>
      <c r="Q929" s="158"/>
      <c r="AE929" s="172" t="str">
        <f t="shared" si="105"/>
        <v>|</v>
      </c>
      <c r="AG929" s="154" t="s">
        <v>1158</v>
      </c>
    </row>
    <row r="930" spans="6:33" ht="24" customHeight="1">
      <c r="H930" s="154" t="s">
        <v>1776</v>
      </c>
      <c r="K930" s="166">
        <f>SUM(K927:K928)</f>
        <v>109228.5</v>
      </c>
      <c r="N930" s="156"/>
      <c r="O930" s="154" t="s">
        <v>1777</v>
      </c>
      <c r="Q930" s="158"/>
      <c r="AE930" s="172" t="str">
        <f t="shared" si="105"/>
        <v>|</v>
      </c>
      <c r="AG930" s="154" t="s">
        <v>1158</v>
      </c>
    </row>
    <row r="931" spans="6:33" ht="24" customHeight="1">
      <c r="K931" s="162" t="s">
        <v>528</v>
      </c>
      <c r="N931" s="156"/>
      <c r="O931" s="154" t="s">
        <v>1778</v>
      </c>
      <c r="Q931" s="158"/>
      <c r="AE931" s="172" t="str">
        <f t="shared" si="105"/>
        <v>|</v>
      </c>
      <c r="AG931" s="154" t="s">
        <v>1158</v>
      </c>
    </row>
    <row r="932" spans="6:33" ht="24" customHeight="1">
      <c r="N932" s="156"/>
      <c r="Q932" s="154" t="s">
        <v>534</v>
      </c>
      <c r="AE932" s="172" t="str">
        <f t="shared" si="105"/>
        <v>|</v>
      </c>
      <c r="AG932" s="154" t="s">
        <v>1158</v>
      </c>
    </row>
    <row r="933" spans="6:33" ht="24" customHeight="1">
      <c r="F933" s="155" t="s">
        <v>1772</v>
      </c>
      <c r="G933" s="165" t="s">
        <v>307</v>
      </c>
      <c r="H933" s="154" t="s">
        <v>1779</v>
      </c>
      <c r="N933" s="156"/>
      <c r="O933" s="154" t="s">
        <v>1780</v>
      </c>
      <c r="Q933" s="158"/>
      <c r="AE933" s="172" t="str">
        <f t="shared" si="105"/>
        <v>|</v>
      </c>
      <c r="AG933" s="154" t="s">
        <v>1158</v>
      </c>
    </row>
    <row r="934" spans="6:33" ht="24" customHeight="1">
      <c r="H934" s="154" t="s">
        <v>1774</v>
      </c>
      <c r="N934" s="156"/>
      <c r="O934" s="154" t="s">
        <v>1781</v>
      </c>
      <c r="Q934" s="158"/>
      <c r="R934" s="232">
        <v>2.4299999999999999E-2</v>
      </c>
      <c r="AE934" s="172" t="str">
        <f t="shared" si="105"/>
        <v>|</v>
      </c>
      <c r="AG934" s="154" t="s">
        <v>1158</v>
      </c>
    </row>
    <row r="935" spans="6:33" ht="24" customHeight="1">
      <c r="H935" s="154" t="s">
        <v>1775</v>
      </c>
      <c r="N935" s="156"/>
      <c r="Q935" s="154" t="s">
        <v>22</v>
      </c>
      <c r="R935" s="162" t="s">
        <v>534</v>
      </c>
      <c r="AE935" s="172" t="str">
        <f t="shared" si="105"/>
        <v>|</v>
      </c>
      <c r="AG935" s="154" t="s">
        <v>1158</v>
      </c>
    </row>
    <row r="936" spans="6:33" ht="24" customHeight="1">
      <c r="H936" s="162" t="s">
        <v>534</v>
      </c>
      <c r="N936" s="156"/>
      <c r="O936" s="154" t="s">
        <v>1782</v>
      </c>
      <c r="Q936" s="281" t="s">
        <v>22</v>
      </c>
      <c r="R936" s="232">
        <v>1.47E-2</v>
      </c>
      <c r="AE936" s="172" t="str">
        <f t="shared" si="105"/>
        <v>|</v>
      </c>
      <c r="AG936" s="154" t="s">
        <v>1158</v>
      </c>
    </row>
    <row r="937" spans="6:33" ht="24" customHeight="1">
      <c r="H937" s="154" t="s">
        <v>1777</v>
      </c>
      <c r="N937" s="156"/>
      <c r="O937" s="154" t="s">
        <v>1783</v>
      </c>
      <c r="Q937" s="154" t="s">
        <v>22</v>
      </c>
      <c r="R937" s="232">
        <v>4.5999999999999999E-3</v>
      </c>
      <c r="AE937" s="172" t="str">
        <f t="shared" si="105"/>
        <v>|</v>
      </c>
      <c r="AG937" s="154" t="s">
        <v>1158</v>
      </c>
    </row>
    <row r="938" spans="6:33" ht="24" customHeight="1">
      <c r="H938" s="154" t="s">
        <v>1778</v>
      </c>
      <c r="N938" s="156"/>
      <c r="Q938" s="158"/>
      <c r="R938" s="162" t="s">
        <v>534</v>
      </c>
      <c r="AE938" s="172" t="str">
        <f t="shared" si="105"/>
        <v>|</v>
      </c>
      <c r="AG938" s="154" t="s">
        <v>1158</v>
      </c>
    </row>
    <row r="939" spans="6:33" ht="24" customHeight="1">
      <c r="J939" s="154" t="s">
        <v>534</v>
      </c>
      <c r="N939" s="156"/>
      <c r="Q939" s="158"/>
      <c r="R939" s="232">
        <v>1.9300000000000001E-2</v>
      </c>
      <c r="AE939" s="172" t="str">
        <f t="shared" si="105"/>
        <v>|</v>
      </c>
      <c r="AG939" s="154" t="s">
        <v>1158</v>
      </c>
    </row>
    <row r="940" spans="6:33" ht="24" customHeight="1">
      <c r="H940" s="154" t="s">
        <v>1780</v>
      </c>
      <c r="N940" s="156"/>
      <c r="Q940" s="158"/>
      <c r="R940" s="162" t="s">
        <v>534</v>
      </c>
      <c r="AE940" s="172" t="str">
        <f t="shared" si="105"/>
        <v>|</v>
      </c>
      <c r="AG940" s="154" t="s">
        <v>1158</v>
      </c>
    </row>
    <row r="941" spans="6:33" ht="24" customHeight="1">
      <c r="H941" s="154" t="s">
        <v>1781</v>
      </c>
      <c r="K941" s="232">
        <v>2.4299999999999999E-2</v>
      </c>
      <c r="N941" s="156"/>
      <c r="Q941" s="158"/>
      <c r="AE941" s="172" t="str">
        <f t="shared" si="105"/>
        <v>|</v>
      </c>
      <c r="AG941" s="154" t="s">
        <v>1158</v>
      </c>
    </row>
    <row r="942" spans="6:33" ht="24" customHeight="1">
      <c r="J942" s="154" t="s">
        <v>22</v>
      </c>
      <c r="K942" s="162" t="s">
        <v>534</v>
      </c>
      <c r="N942" s="156"/>
      <c r="Q942" s="158"/>
      <c r="AE942" s="172" t="str">
        <f t="shared" si="105"/>
        <v>|</v>
      </c>
      <c r="AG942" s="154" t="s">
        <v>1158</v>
      </c>
    </row>
    <row r="943" spans="6:33" ht="24" customHeight="1">
      <c r="H943" s="154" t="s">
        <v>1782</v>
      </c>
      <c r="J943" s="281" t="s">
        <v>22</v>
      </c>
      <c r="K943" s="232">
        <v>1.47E-2</v>
      </c>
      <c r="M943" s="232">
        <v>1.14E-2</v>
      </c>
      <c r="N943" s="165" t="s">
        <v>577</v>
      </c>
      <c r="O943" s="154" t="s">
        <v>1784</v>
      </c>
      <c r="P943" s="167">
        <f>C86</f>
        <v>34300</v>
      </c>
      <c r="Q943" s="154" t="s">
        <v>577</v>
      </c>
      <c r="R943" s="167">
        <f>(M943*P943)</f>
        <v>391.02000000000004</v>
      </c>
      <c r="AE943" s="172" t="str">
        <f t="shared" si="105"/>
        <v>|</v>
      </c>
      <c r="AG943" s="154" t="s">
        <v>1158</v>
      </c>
    </row>
    <row r="944" spans="6:33" ht="24" customHeight="1">
      <c r="H944" s="154" t="s">
        <v>1783</v>
      </c>
      <c r="J944" s="154" t="s">
        <v>22</v>
      </c>
      <c r="K944" s="232">
        <v>4.5999999999999999E-3</v>
      </c>
      <c r="M944" s="232">
        <v>2.4299999999999999E-2</v>
      </c>
      <c r="N944" s="165" t="s">
        <v>577</v>
      </c>
      <c r="O944" s="154" t="s">
        <v>1785</v>
      </c>
      <c r="P944" s="167">
        <f>P943</f>
        <v>34300</v>
      </c>
      <c r="Q944" s="154" t="s">
        <v>577</v>
      </c>
      <c r="R944" s="167">
        <f>(M944*P944)</f>
        <v>833.49</v>
      </c>
      <c r="AE944" s="172" t="str">
        <f t="shared" si="105"/>
        <v>|</v>
      </c>
      <c r="AG944" s="154" t="s">
        <v>1158</v>
      </c>
    </row>
    <row r="945" spans="6:33" ht="24" customHeight="1">
      <c r="K945" s="162" t="s">
        <v>534</v>
      </c>
      <c r="M945" s="232">
        <v>1.9300000000000001E-2</v>
      </c>
      <c r="N945" s="165" t="s">
        <v>577</v>
      </c>
      <c r="O945" s="154" t="s">
        <v>1786</v>
      </c>
      <c r="P945" s="167">
        <f>C87</f>
        <v>39400</v>
      </c>
      <c r="Q945" s="154" t="s">
        <v>577</v>
      </c>
      <c r="R945" s="167">
        <f>(M945*P945)</f>
        <v>760.42000000000007</v>
      </c>
      <c r="AE945" s="172" t="str">
        <f t="shared" si="105"/>
        <v>|</v>
      </c>
      <c r="AG945" s="154" t="s">
        <v>1158</v>
      </c>
    </row>
    <row r="946" spans="6:33" ht="24" customHeight="1">
      <c r="K946" s="232">
        <v>1.9300000000000001E-2</v>
      </c>
      <c r="M946" s="233"/>
      <c r="N946" s="156"/>
      <c r="O946" s="154"/>
      <c r="P946" s="154" t="s">
        <v>22</v>
      </c>
      <c r="Q946" s="158"/>
      <c r="R946" s="154" t="s">
        <v>22</v>
      </c>
      <c r="AE946" s="172">
        <f t="shared" si="105"/>
        <v>0</v>
      </c>
    </row>
    <row r="947" spans="6:33" ht="24" customHeight="1">
      <c r="K947" s="162" t="s">
        <v>534</v>
      </c>
      <c r="M947" s="233">
        <v>1.823</v>
      </c>
      <c r="N947" s="165" t="s">
        <v>916</v>
      </c>
      <c r="O947" s="154" t="s">
        <v>1787</v>
      </c>
      <c r="P947" s="167">
        <f>I954</f>
        <v>1105.5</v>
      </c>
      <c r="Q947" s="154" t="s">
        <v>916</v>
      </c>
      <c r="R947" s="167">
        <f t="shared" ref="R947:R953" si="113">(M947*P947)</f>
        <v>2015.3264999999999</v>
      </c>
      <c r="AE947" s="172">
        <f t="shared" si="105"/>
        <v>0</v>
      </c>
    </row>
    <row r="948" spans="6:33" ht="24" customHeight="1">
      <c r="M948" s="167">
        <v>1</v>
      </c>
      <c r="N948" s="165" t="s">
        <v>680</v>
      </c>
      <c r="O948" s="154" t="s">
        <v>1788</v>
      </c>
      <c r="P948" s="167">
        <f t="shared" ref="P948:P953" si="114">I955</f>
        <v>50.4</v>
      </c>
      <c r="Q948" s="154" t="s">
        <v>576</v>
      </c>
      <c r="R948" s="167">
        <f t="shared" si="113"/>
        <v>50.4</v>
      </c>
      <c r="AE948" s="172">
        <f t="shared" si="105"/>
        <v>0</v>
      </c>
    </row>
    <row r="949" spans="6:33" ht="24" customHeight="1">
      <c r="M949" s="167">
        <v>3</v>
      </c>
      <c r="N949" s="165" t="s">
        <v>576</v>
      </c>
      <c r="O949" s="154" t="s">
        <v>1789</v>
      </c>
      <c r="P949" s="167">
        <f t="shared" si="114"/>
        <v>78.400000000000006</v>
      </c>
      <c r="Q949" s="154" t="s">
        <v>576</v>
      </c>
      <c r="R949" s="167">
        <f t="shared" si="113"/>
        <v>235.20000000000002</v>
      </c>
      <c r="AE949" s="172">
        <f t="shared" si="105"/>
        <v>0</v>
      </c>
    </row>
    <row r="950" spans="6:33" ht="24" customHeight="1">
      <c r="F950" s="232">
        <v>1.14E-2</v>
      </c>
      <c r="G950" s="165" t="s">
        <v>577</v>
      </c>
      <c r="H950" s="154" t="s">
        <v>1790</v>
      </c>
      <c r="I950" s="167">
        <f>C88</f>
        <v>111600</v>
      </c>
      <c r="J950" s="154" t="s">
        <v>577</v>
      </c>
      <c r="K950" s="167">
        <f>(F950*I950)</f>
        <v>1272.24</v>
      </c>
      <c r="M950" s="167">
        <v>2</v>
      </c>
      <c r="N950" s="165" t="s">
        <v>576</v>
      </c>
      <c r="O950" s="154" t="s">
        <v>1791</v>
      </c>
      <c r="P950" s="167">
        <f t="shared" si="114"/>
        <v>56.7</v>
      </c>
      <c r="Q950" s="154" t="s">
        <v>576</v>
      </c>
      <c r="R950" s="167">
        <f t="shared" si="113"/>
        <v>113.4</v>
      </c>
      <c r="AE950" s="172">
        <f t="shared" ref="AE950:AE1013" si="115">AG950</f>
        <v>0</v>
      </c>
    </row>
    <row r="951" spans="6:33" ht="24" customHeight="1">
      <c r="F951" s="232">
        <v>2.4299999999999999E-2</v>
      </c>
      <c r="G951" s="165" t="s">
        <v>577</v>
      </c>
      <c r="H951" s="154" t="s">
        <v>1792</v>
      </c>
      <c r="I951" s="167">
        <f>C89</f>
        <v>99400</v>
      </c>
      <c r="J951" s="154" t="s">
        <v>577</v>
      </c>
      <c r="K951" s="167">
        <f>(F951*I951)</f>
        <v>2415.42</v>
      </c>
      <c r="M951" s="167">
        <v>1</v>
      </c>
      <c r="N951" s="165" t="s">
        <v>576</v>
      </c>
      <c r="O951" s="154" t="s">
        <v>1793</v>
      </c>
      <c r="P951" s="167">
        <f t="shared" si="114"/>
        <v>158.19999999999999</v>
      </c>
      <c r="Q951" s="154" t="s">
        <v>576</v>
      </c>
      <c r="R951" s="167">
        <f t="shared" si="113"/>
        <v>158.19999999999999</v>
      </c>
      <c r="AE951" s="172">
        <f t="shared" si="115"/>
        <v>0</v>
      </c>
    </row>
    <row r="952" spans="6:33" ht="24" customHeight="1">
      <c r="F952" s="232">
        <v>1.9300000000000001E-2</v>
      </c>
      <c r="G952" s="165" t="s">
        <v>577</v>
      </c>
      <c r="H952" s="154" t="s">
        <v>1794</v>
      </c>
      <c r="I952" s="167">
        <f>C90</f>
        <v>95000</v>
      </c>
      <c r="J952" s="154" t="s">
        <v>577</v>
      </c>
      <c r="K952" s="167">
        <f>(F952*I952)</f>
        <v>1833.5</v>
      </c>
      <c r="M952" s="167">
        <v>1</v>
      </c>
      <c r="N952" s="165" t="s">
        <v>576</v>
      </c>
      <c r="O952" s="154" t="s">
        <v>1795</v>
      </c>
      <c r="P952" s="167">
        <f t="shared" si="114"/>
        <v>7.3</v>
      </c>
      <c r="Q952" s="154" t="s">
        <v>576</v>
      </c>
      <c r="R952" s="167">
        <f t="shared" si="113"/>
        <v>7.3</v>
      </c>
      <c r="AE952" s="172">
        <f t="shared" si="115"/>
        <v>0</v>
      </c>
    </row>
    <row r="953" spans="6:33" ht="24" customHeight="1">
      <c r="F953" s="233"/>
      <c r="H953" s="154" t="s">
        <v>1796</v>
      </c>
      <c r="I953" s="154" t="s">
        <v>22</v>
      </c>
      <c r="K953" s="154" t="s">
        <v>22</v>
      </c>
      <c r="M953" s="167">
        <v>1</v>
      </c>
      <c r="N953" s="165" t="s">
        <v>576</v>
      </c>
      <c r="O953" s="154" t="s">
        <v>941</v>
      </c>
      <c r="P953" s="167">
        <f t="shared" si="114"/>
        <v>43.8</v>
      </c>
      <c r="Q953" s="154" t="s">
        <v>576</v>
      </c>
      <c r="R953" s="167">
        <f t="shared" si="113"/>
        <v>43.8</v>
      </c>
      <c r="AE953" s="172">
        <f t="shared" si="115"/>
        <v>0</v>
      </c>
    </row>
    <row r="954" spans="6:33" ht="24" customHeight="1">
      <c r="F954" s="233">
        <v>1.823</v>
      </c>
      <c r="G954" s="165" t="s">
        <v>916</v>
      </c>
      <c r="H954" s="154" t="s">
        <v>1787</v>
      </c>
      <c r="I954" s="167">
        <f>C31</f>
        <v>1105.5</v>
      </c>
      <c r="J954" s="154" t="s">
        <v>916</v>
      </c>
      <c r="K954" s="167">
        <f t="shared" ref="K954:K961" si="116">(F954*I954)</f>
        <v>2015.3264999999999</v>
      </c>
      <c r="N954" s="156"/>
      <c r="Q954" s="158"/>
      <c r="R954" s="162" t="s">
        <v>534</v>
      </c>
      <c r="AE954" s="172">
        <f t="shared" si="115"/>
        <v>0</v>
      </c>
    </row>
    <row r="955" spans="6:33" ht="24" customHeight="1">
      <c r="F955" s="167">
        <v>1</v>
      </c>
      <c r="G955" s="165" t="s">
        <v>680</v>
      </c>
      <c r="H955" s="154" t="s">
        <v>1797</v>
      </c>
      <c r="I955" s="167">
        <f>C598</f>
        <v>50.4</v>
      </c>
      <c r="J955" s="154" t="s">
        <v>576</v>
      </c>
      <c r="K955" s="167">
        <f t="shared" si="116"/>
        <v>50.4</v>
      </c>
      <c r="N955" s="156"/>
      <c r="O955" s="154" t="s">
        <v>1798</v>
      </c>
      <c r="Q955" s="158"/>
      <c r="R955" s="167">
        <f>SUM(R943:R953)</f>
        <v>4608.5564999999997</v>
      </c>
      <c r="AE955" s="172">
        <f t="shared" si="115"/>
        <v>0</v>
      </c>
    </row>
    <row r="956" spans="6:33" ht="24" customHeight="1">
      <c r="F956" s="167">
        <v>3</v>
      </c>
      <c r="G956" s="165" t="s">
        <v>576</v>
      </c>
      <c r="H956" s="154" t="s">
        <v>1789</v>
      </c>
      <c r="I956" s="167">
        <f>C279</f>
        <v>78.400000000000006</v>
      </c>
      <c r="J956" s="154" t="s">
        <v>576</v>
      </c>
      <c r="K956" s="167">
        <f t="shared" si="116"/>
        <v>235.20000000000002</v>
      </c>
      <c r="N956" s="156"/>
      <c r="Q956" s="158"/>
      <c r="R956" s="162" t="s">
        <v>534</v>
      </c>
      <c r="AE956" s="172">
        <f t="shared" si="115"/>
        <v>0</v>
      </c>
    </row>
    <row r="957" spans="6:33" ht="24" customHeight="1">
      <c r="F957" s="167">
        <v>2</v>
      </c>
      <c r="G957" s="165" t="s">
        <v>576</v>
      </c>
      <c r="H957" s="154" t="s">
        <v>1791</v>
      </c>
      <c r="I957" s="167">
        <f>C284</f>
        <v>56.7</v>
      </c>
      <c r="J957" s="154" t="s">
        <v>576</v>
      </c>
      <c r="K957" s="167">
        <f t="shared" si="116"/>
        <v>113.4</v>
      </c>
      <c r="N957" s="156"/>
      <c r="O957" s="169" t="s">
        <v>881</v>
      </c>
      <c r="Q957" s="158"/>
      <c r="R957" s="166">
        <f>R955/M947</f>
        <v>2528.0068568294018</v>
      </c>
      <c r="AE957" s="172">
        <f t="shared" si="115"/>
        <v>0</v>
      </c>
    </row>
    <row r="958" spans="6:33" ht="24" customHeight="1">
      <c r="F958" s="167">
        <v>1</v>
      </c>
      <c r="G958" s="165" t="s">
        <v>576</v>
      </c>
      <c r="H958" s="154" t="s">
        <v>1793</v>
      </c>
      <c r="I958" s="167">
        <f>C286</f>
        <v>158.19999999999999</v>
      </c>
      <c r="J958" s="154" t="s">
        <v>576</v>
      </c>
      <c r="K958" s="167">
        <f t="shared" si="116"/>
        <v>158.19999999999999</v>
      </c>
      <c r="M958" s="154" t="s">
        <v>22</v>
      </c>
      <c r="N958" s="156"/>
      <c r="Q958" s="158"/>
      <c r="AE958" s="172">
        <f t="shared" si="115"/>
        <v>0</v>
      </c>
    </row>
    <row r="959" spans="6:33" ht="24" customHeight="1">
      <c r="F959" s="167">
        <v>1</v>
      </c>
      <c r="G959" s="165" t="s">
        <v>576</v>
      </c>
      <c r="H959" s="154" t="s">
        <v>1795</v>
      </c>
      <c r="I959" s="167">
        <f>C288</f>
        <v>7.3</v>
      </c>
      <c r="J959" s="154" t="s">
        <v>576</v>
      </c>
      <c r="K959" s="167">
        <f t="shared" si="116"/>
        <v>7.3</v>
      </c>
      <c r="N959" s="156"/>
      <c r="Q959" s="158"/>
      <c r="R959" s="162" t="s">
        <v>528</v>
      </c>
      <c r="AE959" s="172" t="str">
        <f t="shared" si="115"/>
        <v>|</v>
      </c>
      <c r="AG959" s="154" t="s">
        <v>1158</v>
      </c>
    </row>
    <row r="960" spans="6:33" ht="24" customHeight="1">
      <c r="F960" s="167">
        <v>1</v>
      </c>
      <c r="G960" s="165" t="s">
        <v>576</v>
      </c>
      <c r="H960" s="154" t="s">
        <v>941</v>
      </c>
      <c r="I960" s="167">
        <f>D598</f>
        <v>43.8</v>
      </c>
      <c r="J960" s="154" t="s">
        <v>576</v>
      </c>
      <c r="K960" s="167">
        <f t="shared" si="116"/>
        <v>43.8</v>
      </c>
      <c r="AE960" s="172" t="str">
        <f t="shared" si="115"/>
        <v>|</v>
      </c>
      <c r="AG960" s="154" t="s">
        <v>1158</v>
      </c>
    </row>
    <row r="961" spans="6:33" ht="24" customHeight="1">
      <c r="F961" s="167">
        <v>10</v>
      </c>
      <c r="G961" s="165" t="s">
        <v>1799</v>
      </c>
      <c r="H961" s="223" t="s">
        <v>1800</v>
      </c>
      <c r="I961" s="231">
        <v>2.35</v>
      </c>
      <c r="J961" s="158" t="s">
        <v>1801</v>
      </c>
      <c r="K961" s="167">
        <f t="shared" si="116"/>
        <v>23.5</v>
      </c>
      <c r="AE961" s="172" t="str">
        <f t="shared" si="115"/>
        <v>|</v>
      </c>
      <c r="AG961" s="154" t="s">
        <v>1158</v>
      </c>
    </row>
    <row r="962" spans="6:33" ht="24" customHeight="1">
      <c r="H962" s="154" t="s">
        <v>1798</v>
      </c>
      <c r="K962" s="167">
        <f>SUM(K950:K961)</f>
        <v>8168.2864999999993</v>
      </c>
      <c r="AE962" s="172" t="str">
        <f t="shared" si="115"/>
        <v>|</v>
      </c>
      <c r="AG962" s="154" t="s">
        <v>1158</v>
      </c>
    </row>
    <row r="963" spans="6:33" ht="24" customHeight="1">
      <c r="K963" s="162" t="s">
        <v>534</v>
      </c>
      <c r="AE963" s="172" t="str">
        <f t="shared" si="115"/>
        <v>|</v>
      </c>
      <c r="AG963" s="154" t="s">
        <v>1158</v>
      </c>
    </row>
    <row r="964" spans="6:33" ht="24" customHeight="1">
      <c r="H964" s="169" t="s">
        <v>881</v>
      </c>
      <c r="K964" s="166">
        <f>K962/F954</f>
        <v>4480.6837630279751</v>
      </c>
      <c r="AE964" s="172" t="str">
        <f t="shared" si="115"/>
        <v>|</v>
      </c>
      <c r="AG964" s="154" t="s">
        <v>1158</v>
      </c>
    </row>
    <row r="965" spans="6:33" ht="24" customHeight="1">
      <c r="F965" s="154" t="s">
        <v>22</v>
      </c>
      <c r="AE965" s="172" t="str">
        <f t="shared" si="115"/>
        <v>|</v>
      </c>
      <c r="AG965" s="154" t="s">
        <v>1158</v>
      </c>
    </row>
    <row r="966" spans="6:33" ht="24" customHeight="1">
      <c r="K966" s="162" t="s">
        <v>528</v>
      </c>
      <c r="AE966" s="172" t="str">
        <f t="shared" si="115"/>
        <v>|</v>
      </c>
      <c r="AG966" s="154" t="s">
        <v>1158</v>
      </c>
    </row>
    <row r="967" spans="6:33" ht="24" customHeight="1">
      <c r="AE967" s="172" t="str">
        <f t="shared" si="115"/>
        <v>|</v>
      </c>
      <c r="AG967" s="154" t="s">
        <v>1158</v>
      </c>
    </row>
    <row r="968" spans="6:33" ht="24" customHeight="1">
      <c r="AE968" s="172" t="str">
        <f t="shared" si="115"/>
        <v>|</v>
      </c>
      <c r="AG968" s="154" t="s">
        <v>1158</v>
      </c>
    </row>
    <row r="969" spans="6:33" ht="24" customHeight="1">
      <c r="F969" s="155" t="s">
        <v>1802</v>
      </c>
      <c r="G969" s="165" t="s">
        <v>307</v>
      </c>
      <c r="H969" s="154" t="s">
        <v>1779</v>
      </c>
      <c r="AE969" s="172" t="str">
        <f t="shared" si="115"/>
        <v>|</v>
      </c>
      <c r="AG969" s="154" t="s">
        <v>1158</v>
      </c>
    </row>
    <row r="970" spans="6:33" ht="24" customHeight="1">
      <c r="H970" s="154" t="s">
        <v>1774</v>
      </c>
      <c r="AE970" s="172" t="str">
        <f t="shared" si="115"/>
        <v>|</v>
      </c>
      <c r="AG970" s="154" t="s">
        <v>1158</v>
      </c>
    </row>
    <row r="971" spans="6:33" ht="24" customHeight="1">
      <c r="H971" s="154" t="s">
        <v>1803</v>
      </c>
      <c r="AE971" s="172" t="str">
        <f t="shared" si="115"/>
        <v>|</v>
      </c>
      <c r="AG971" s="154" t="s">
        <v>1158</v>
      </c>
    </row>
    <row r="972" spans="6:33" ht="24" customHeight="1">
      <c r="H972" s="162" t="s">
        <v>534</v>
      </c>
      <c r="AE972" s="172" t="str">
        <f t="shared" si="115"/>
        <v>|</v>
      </c>
      <c r="AG972" s="154" t="s">
        <v>1158</v>
      </c>
    </row>
    <row r="973" spans="6:33" ht="24" customHeight="1">
      <c r="AE973" s="172" t="str">
        <f t="shared" si="115"/>
        <v>|</v>
      </c>
      <c r="AG973" s="154" t="s">
        <v>1158</v>
      </c>
    </row>
    <row r="974" spans="6:33" ht="24" customHeight="1">
      <c r="H974" s="154" t="s">
        <v>1804</v>
      </c>
      <c r="AE974" s="172">
        <f t="shared" si="115"/>
        <v>0</v>
      </c>
    </row>
    <row r="975" spans="6:33" ht="24" customHeight="1">
      <c r="H975" s="154" t="s">
        <v>1805</v>
      </c>
      <c r="AE975" s="172" t="str">
        <f t="shared" si="115"/>
        <v>|</v>
      </c>
      <c r="AG975" s="154" t="s">
        <v>1158</v>
      </c>
    </row>
    <row r="976" spans="6:33" ht="24" customHeight="1">
      <c r="J976" s="154" t="s">
        <v>534</v>
      </c>
      <c r="AE976" s="172">
        <f t="shared" si="115"/>
        <v>0</v>
      </c>
    </row>
    <row r="977" spans="6:33" ht="24" customHeight="1">
      <c r="H977" s="154" t="s">
        <v>1806</v>
      </c>
      <c r="AE977" s="172">
        <f t="shared" si="115"/>
        <v>0</v>
      </c>
    </row>
    <row r="978" spans="6:33" ht="24" customHeight="1">
      <c r="H978" s="154" t="s">
        <v>1807</v>
      </c>
      <c r="K978" s="232">
        <v>2.1999999999999999E-2</v>
      </c>
      <c r="AE978" s="172" t="str">
        <f t="shared" si="115"/>
        <v>|</v>
      </c>
      <c r="AG978" s="154" t="s">
        <v>1158</v>
      </c>
    </row>
    <row r="979" spans="6:33" ht="24" customHeight="1">
      <c r="J979" s="154" t="s">
        <v>22</v>
      </c>
      <c r="K979" s="162" t="s">
        <v>534</v>
      </c>
      <c r="AE979" s="172" t="str">
        <f t="shared" si="115"/>
        <v>|</v>
      </c>
      <c r="AG979" s="154" t="s">
        <v>1158</v>
      </c>
    </row>
    <row r="980" spans="6:33" ht="24" customHeight="1">
      <c r="H980" s="154" t="s">
        <v>1808</v>
      </c>
      <c r="J980" s="281" t="s">
        <v>22</v>
      </c>
      <c r="K980" s="232">
        <v>1.3100000000000001E-2</v>
      </c>
      <c r="AE980" s="172" t="str">
        <f t="shared" si="115"/>
        <v>|</v>
      </c>
      <c r="AG980" s="154" t="s">
        <v>1158</v>
      </c>
    </row>
    <row r="981" spans="6:33" ht="24" customHeight="1">
      <c r="H981" s="154" t="s">
        <v>1809</v>
      </c>
      <c r="J981" s="154" t="s">
        <v>22</v>
      </c>
      <c r="K981" s="232">
        <v>3.3999999999999998E-3</v>
      </c>
      <c r="AE981" s="172" t="str">
        <f t="shared" si="115"/>
        <v>|</v>
      </c>
      <c r="AG981" s="154" t="s">
        <v>1158</v>
      </c>
    </row>
    <row r="982" spans="6:33" ht="24" customHeight="1">
      <c r="K982" s="162" t="s">
        <v>534</v>
      </c>
      <c r="AE982" s="172">
        <f t="shared" si="115"/>
        <v>0</v>
      </c>
    </row>
    <row r="983" spans="6:33" ht="24" customHeight="1">
      <c r="K983" s="232">
        <v>1.6500000000000001E-2</v>
      </c>
      <c r="AE983" s="172">
        <f t="shared" si="115"/>
        <v>0</v>
      </c>
    </row>
    <row r="984" spans="6:33" ht="24" customHeight="1">
      <c r="K984" s="162" t="s">
        <v>534</v>
      </c>
      <c r="O984" s="76" t="s">
        <v>1810</v>
      </c>
      <c r="AE984" s="172">
        <f t="shared" si="115"/>
        <v>0</v>
      </c>
    </row>
    <row r="985" spans="6:33" ht="24" customHeight="1">
      <c r="F985" s="232">
        <v>1.15E-2</v>
      </c>
      <c r="G985" s="165" t="s">
        <v>577</v>
      </c>
      <c r="H985" s="154" t="s">
        <v>1790</v>
      </c>
      <c r="I985" s="167">
        <f>C88</f>
        <v>111600</v>
      </c>
      <c r="J985" s="154" t="s">
        <v>577</v>
      </c>
      <c r="K985" s="167">
        <f>(F985*I985)</f>
        <v>1283.4000000000001</v>
      </c>
      <c r="M985" s="155" t="s">
        <v>1811</v>
      </c>
      <c r="N985" s="165"/>
      <c r="O985" s="154" t="s">
        <v>1812</v>
      </c>
      <c r="Q985" s="158"/>
      <c r="R985" s="154" t="s">
        <v>22</v>
      </c>
      <c r="AE985" s="172">
        <f t="shared" si="115"/>
        <v>0</v>
      </c>
    </row>
    <row r="986" spans="6:33" ht="24" customHeight="1">
      <c r="F986" s="232">
        <v>2.1999999999999999E-2</v>
      </c>
      <c r="G986" s="165" t="s">
        <v>577</v>
      </c>
      <c r="H986" s="154" t="s">
        <v>1792</v>
      </c>
      <c r="I986" s="167">
        <f>C89</f>
        <v>99400</v>
      </c>
      <c r="J986" s="154" t="s">
        <v>577</v>
      </c>
      <c r="K986" s="167">
        <f>(F986*I986)</f>
        <v>2186.7999999999997</v>
      </c>
      <c r="N986" s="156"/>
      <c r="O986" s="162" t="s">
        <v>534</v>
      </c>
      <c r="Q986" s="158"/>
      <c r="AE986" s="172">
        <f t="shared" si="115"/>
        <v>0</v>
      </c>
    </row>
    <row r="987" spans="6:33" ht="24" customHeight="1">
      <c r="F987" s="232">
        <v>1.6500000000000001E-2</v>
      </c>
      <c r="G987" s="165" t="s">
        <v>577</v>
      </c>
      <c r="H987" s="154" t="s">
        <v>1794</v>
      </c>
      <c r="I987" s="167">
        <f>C90</f>
        <v>95000</v>
      </c>
      <c r="J987" s="154" t="s">
        <v>577</v>
      </c>
      <c r="K987" s="167">
        <f>(F987*I987)</f>
        <v>1567.5</v>
      </c>
      <c r="M987" s="282">
        <v>1.153E-2</v>
      </c>
      <c r="N987" s="283" t="s">
        <v>577</v>
      </c>
      <c r="O987" s="284" t="s">
        <v>932</v>
      </c>
      <c r="P987" s="285">
        <f t="shared" ref="P987:P997" si="117">I1053</f>
        <v>111600</v>
      </c>
      <c r="Q987" s="284" t="s">
        <v>577</v>
      </c>
      <c r="R987" s="285">
        <f t="shared" ref="R987:R997" si="118">(M987*P987)</f>
        <v>1286.748</v>
      </c>
      <c r="AE987" s="172">
        <f t="shared" si="115"/>
        <v>0</v>
      </c>
    </row>
    <row r="988" spans="6:33" ht="24" customHeight="1">
      <c r="F988" s="232"/>
      <c r="H988" s="154" t="s">
        <v>1796</v>
      </c>
      <c r="I988" s="154" t="s">
        <v>22</v>
      </c>
      <c r="K988" s="154" t="s">
        <v>22</v>
      </c>
      <c r="M988" s="286">
        <v>1.013E-2</v>
      </c>
      <c r="N988" s="165" t="s">
        <v>577</v>
      </c>
      <c r="O988" s="154" t="s">
        <v>933</v>
      </c>
      <c r="P988" s="285">
        <f t="shared" si="117"/>
        <v>99400</v>
      </c>
      <c r="Q988" s="154" t="s">
        <v>577</v>
      </c>
      <c r="R988" s="167">
        <f t="shared" si="118"/>
        <v>1006.922</v>
      </c>
      <c r="AE988" s="172">
        <f t="shared" si="115"/>
        <v>0</v>
      </c>
    </row>
    <row r="989" spans="6:33" ht="24" customHeight="1">
      <c r="F989" s="232">
        <v>1.64</v>
      </c>
      <c r="G989" s="165" t="s">
        <v>916</v>
      </c>
      <c r="H989" s="154" t="s">
        <v>1787</v>
      </c>
      <c r="I989" s="167">
        <f>C31</f>
        <v>1105.5</v>
      </c>
      <c r="J989" s="154" t="s">
        <v>916</v>
      </c>
      <c r="K989" s="167">
        <f t="shared" ref="K989:K996" si="119">(F989*I989)</f>
        <v>1813.02</v>
      </c>
      <c r="M989" s="286">
        <v>0.77780000000000005</v>
      </c>
      <c r="N989" s="165" t="s">
        <v>916</v>
      </c>
      <c r="O989" s="154" t="s">
        <v>934</v>
      </c>
      <c r="P989" s="285">
        <f t="shared" si="117"/>
        <v>387.4</v>
      </c>
      <c r="Q989" s="154" t="s">
        <v>916</v>
      </c>
      <c r="R989" s="167">
        <f t="shared" si="118"/>
        <v>301.31972000000002</v>
      </c>
      <c r="AE989" s="172">
        <f t="shared" si="115"/>
        <v>0</v>
      </c>
    </row>
    <row r="990" spans="6:33" ht="24" customHeight="1">
      <c r="F990" s="167">
        <v>1</v>
      </c>
      <c r="G990" s="165" t="s">
        <v>680</v>
      </c>
      <c r="H990" s="154" t="s">
        <v>1797</v>
      </c>
      <c r="I990" s="167">
        <f>C598</f>
        <v>50.4</v>
      </c>
      <c r="J990" s="154" t="s">
        <v>576</v>
      </c>
      <c r="K990" s="167">
        <f t="shared" si="119"/>
        <v>50.4</v>
      </c>
      <c r="M990" s="286">
        <v>1.23</v>
      </c>
      <c r="N990" s="165" t="s">
        <v>916</v>
      </c>
      <c r="O990" s="154" t="s">
        <v>935</v>
      </c>
      <c r="P990" s="285">
        <f t="shared" si="117"/>
        <v>921.80000000000007</v>
      </c>
      <c r="Q990" s="154" t="s">
        <v>916</v>
      </c>
      <c r="R990" s="167">
        <f t="shared" si="118"/>
        <v>1133.8140000000001</v>
      </c>
      <c r="AE990" s="172">
        <f t="shared" si="115"/>
        <v>0</v>
      </c>
    </row>
    <row r="991" spans="6:33" ht="24" customHeight="1">
      <c r="F991" s="167">
        <v>3</v>
      </c>
      <c r="G991" s="165" t="s">
        <v>576</v>
      </c>
      <c r="H991" s="154" t="s">
        <v>1789</v>
      </c>
      <c r="I991" s="167">
        <f>C279</f>
        <v>78.400000000000006</v>
      </c>
      <c r="J991" s="154" t="s">
        <v>576</v>
      </c>
      <c r="K991" s="167">
        <f t="shared" si="119"/>
        <v>235.20000000000002</v>
      </c>
      <c r="M991" s="167">
        <v>2</v>
      </c>
      <c r="N991" s="165" t="s">
        <v>576</v>
      </c>
      <c r="O991" s="154" t="s">
        <v>936</v>
      </c>
      <c r="P991" s="285">
        <f t="shared" si="117"/>
        <v>56.7</v>
      </c>
      <c r="Q991" s="154" t="s">
        <v>576</v>
      </c>
      <c r="R991" s="167">
        <f t="shared" si="118"/>
        <v>113.4</v>
      </c>
      <c r="AE991" s="172">
        <f t="shared" si="115"/>
        <v>0</v>
      </c>
    </row>
    <row r="992" spans="6:33" ht="24" customHeight="1">
      <c r="F992" s="167">
        <v>2</v>
      </c>
      <c r="G992" s="165" t="s">
        <v>576</v>
      </c>
      <c r="H992" s="154" t="s">
        <v>1791</v>
      </c>
      <c r="I992" s="167">
        <f>C284</f>
        <v>56.7</v>
      </c>
      <c r="J992" s="154" t="s">
        <v>576</v>
      </c>
      <c r="K992" s="167">
        <f t="shared" si="119"/>
        <v>113.4</v>
      </c>
      <c r="M992" s="167">
        <v>3</v>
      </c>
      <c r="N992" s="165" t="s">
        <v>576</v>
      </c>
      <c r="O992" s="154" t="s">
        <v>1813</v>
      </c>
      <c r="P992" s="285">
        <f t="shared" si="117"/>
        <v>78.400000000000006</v>
      </c>
      <c r="Q992" s="154" t="s">
        <v>576</v>
      </c>
      <c r="R992" s="167">
        <f t="shared" si="118"/>
        <v>235.20000000000002</v>
      </c>
      <c r="AE992" s="172">
        <f t="shared" si="115"/>
        <v>0</v>
      </c>
    </row>
    <row r="993" spans="6:33" ht="24" customHeight="1">
      <c r="F993" s="167">
        <v>1</v>
      </c>
      <c r="G993" s="165" t="s">
        <v>576</v>
      </c>
      <c r="H993" s="154" t="s">
        <v>1793</v>
      </c>
      <c r="I993" s="167">
        <f>C286</f>
        <v>158.19999999999999</v>
      </c>
      <c r="J993" s="154" t="s">
        <v>576</v>
      </c>
      <c r="K993" s="167">
        <f t="shared" si="119"/>
        <v>158.19999999999999</v>
      </c>
      <c r="M993" s="167">
        <v>1</v>
      </c>
      <c r="N993" s="165" t="s">
        <v>576</v>
      </c>
      <c r="O993" s="154" t="s">
        <v>938</v>
      </c>
      <c r="P993" s="285">
        <f t="shared" si="117"/>
        <v>158.19999999999999</v>
      </c>
      <c r="Q993" s="154" t="s">
        <v>576</v>
      </c>
      <c r="R993" s="167">
        <f t="shared" si="118"/>
        <v>158.19999999999999</v>
      </c>
      <c r="AE993" s="172">
        <f t="shared" si="115"/>
        <v>0</v>
      </c>
    </row>
    <row r="994" spans="6:33" ht="24" customHeight="1">
      <c r="F994" s="167">
        <v>1</v>
      </c>
      <c r="G994" s="165" t="s">
        <v>576</v>
      </c>
      <c r="H994" s="154" t="s">
        <v>1795</v>
      </c>
      <c r="I994" s="167">
        <f>C288</f>
        <v>7.3</v>
      </c>
      <c r="J994" s="154" t="s">
        <v>576</v>
      </c>
      <c r="K994" s="167">
        <f t="shared" si="119"/>
        <v>7.3</v>
      </c>
      <c r="M994" s="167">
        <v>1</v>
      </c>
      <c r="N994" s="165" t="s">
        <v>576</v>
      </c>
      <c r="O994" s="154" t="s">
        <v>939</v>
      </c>
      <c r="P994" s="285">
        <f t="shared" si="117"/>
        <v>7.3</v>
      </c>
      <c r="Q994" s="154" t="s">
        <v>576</v>
      </c>
      <c r="R994" s="167">
        <f t="shared" si="118"/>
        <v>7.3</v>
      </c>
      <c r="AE994" s="172" t="str">
        <f t="shared" si="115"/>
        <v>|</v>
      </c>
      <c r="AG994" s="154" t="s">
        <v>1158</v>
      </c>
    </row>
    <row r="995" spans="6:33" ht="24" customHeight="1">
      <c r="F995" s="167">
        <v>1</v>
      </c>
      <c r="G995" s="165" t="s">
        <v>576</v>
      </c>
      <c r="H995" s="154" t="s">
        <v>941</v>
      </c>
      <c r="I995" s="167">
        <f>D598</f>
        <v>43.8</v>
      </c>
      <c r="J995" s="154" t="s">
        <v>576</v>
      </c>
      <c r="K995" s="167">
        <f t="shared" si="119"/>
        <v>43.8</v>
      </c>
      <c r="M995" s="167">
        <v>1</v>
      </c>
      <c r="N995" s="165" t="s">
        <v>576</v>
      </c>
      <c r="O995" s="154" t="s">
        <v>1814</v>
      </c>
      <c r="P995" s="285">
        <f t="shared" si="117"/>
        <v>50.4</v>
      </c>
      <c r="Q995" s="154" t="s">
        <v>576</v>
      </c>
      <c r="R995" s="167">
        <f t="shared" si="118"/>
        <v>50.4</v>
      </c>
      <c r="AE995" s="172" t="str">
        <f t="shared" si="115"/>
        <v>|</v>
      </c>
      <c r="AG995" s="154" t="s">
        <v>1158</v>
      </c>
    </row>
    <row r="996" spans="6:33" ht="24" customHeight="1">
      <c r="F996" s="167">
        <v>10</v>
      </c>
      <c r="G996" s="165" t="s">
        <v>1799</v>
      </c>
      <c r="H996" s="154" t="s">
        <v>1815</v>
      </c>
      <c r="I996" s="167">
        <f>I961</f>
        <v>2.35</v>
      </c>
      <c r="J996" s="154" t="s">
        <v>576</v>
      </c>
      <c r="K996" s="167">
        <f t="shared" si="119"/>
        <v>23.5</v>
      </c>
      <c r="M996" s="167">
        <v>1</v>
      </c>
      <c r="N996" s="165" t="s">
        <v>576</v>
      </c>
      <c r="O996" s="154" t="s">
        <v>941</v>
      </c>
      <c r="P996" s="285">
        <f t="shared" si="117"/>
        <v>43.8</v>
      </c>
      <c r="Q996" s="154" t="s">
        <v>576</v>
      </c>
      <c r="R996" s="167">
        <f t="shared" si="118"/>
        <v>43.8</v>
      </c>
      <c r="AE996" s="172" t="str">
        <f t="shared" si="115"/>
        <v>|</v>
      </c>
      <c r="AG996" s="154" t="s">
        <v>1158</v>
      </c>
    </row>
    <row r="997" spans="6:33" ht="24" customHeight="1">
      <c r="K997" s="162" t="s">
        <v>534</v>
      </c>
      <c r="M997" s="167">
        <v>58</v>
      </c>
      <c r="N997" s="156"/>
      <c r="O997" s="154" t="s">
        <v>1816</v>
      </c>
      <c r="P997" s="285">
        <f t="shared" si="117"/>
        <v>2.35</v>
      </c>
      <c r="Q997" s="158"/>
      <c r="R997" s="167">
        <f t="shared" si="118"/>
        <v>136.30000000000001</v>
      </c>
      <c r="AE997" s="172" t="str">
        <f t="shared" si="115"/>
        <v>|</v>
      </c>
      <c r="AG997" s="154" t="s">
        <v>1158</v>
      </c>
    </row>
    <row r="998" spans="6:33" ht="24" customHeight="1">
      <c r="H998" s="154" t="s">
        <v>1817</v>
      </c>
      <c r="K998" s="167">
        <f>SUM(K985:K996)</f>
        <v>7482.5199999999986</v>
      </c>
      <c r="N998" s="156"/>
      <c r="O998" s="155" t="s">
        <v>942</v>
      </c>
      <c r="Q998" s="158"/>
      <c r="R998" s="167">
        <f>SUM(R987:R997)</f>
        <v>4473.4037200000002</v>
      </c>
      <c r="AE998" s="172" t="str">
        <f t="shared" si="115"/>
        <v>|</v>
      </c>
      <c r="AG998" s="154" t="s">
        <v>1158</v>
      </c>
    </row>
    <row r="999" spans="6:33" ht="24" customHeight="1">
      <c r="K999" s="162" t="s">
        <v>534</v>
      </c>
      <c r="N999" s="165" t="s">
        <v>22</v>
      </c>
      <c r="Q999" s="158"/>
      <c r="R999" s="162" t="s">
        <v>534</v>
      </c>
      <c r="AE999" s="172" t="str">
        <f t="shared" si="115"/>
        <v>|</v>
      </c>
      <c r="AG999" s="154" t="s">
        <v>1158</v>
      </c>
    </row>
    <row r="1000" spans="6:33" ht="24" customHeight="1">
      <c r="H1000" s="169" t="s">
        <v>881</v>
      </c>
      <c r="K1000" s="166">
        <f>K998/F989</f>
        <v>4562.5121951219508</v>
      </c>
      <c r="N1000" s="156"/>
      <c r="O1000" s="169" t="s">
        <v>881</v>
      </c>
      <c r="Q1000" s="158"/>
      <c r="R1000" s="166">
        <f>R998/M990</f>
        <v>3636.9135934959354</v>
      </c>
      <c r="AE1000" s="172" t="str">
        <f t="shared" si="115"/>
        <v>|</v>
      </c>
      <c r="AG1000" s="154" t="s">
        <v>1158</v>
      </c>
    </row>
    <row r="1001" spans="6:33" ht="24" customHeight="1">
      <c r="K1001" s="162" t="s">
        <v>528</v>
      </c>
      <c r="N1001" s="156"/>
      <c r="Q1001" s="158"/>
      <c r="R1001" s="162" t="s">
        <v>528</v>
      </c>
      <c r="AE1001" s="172" t="str">
        <f t="shared" si="115"/>
        <v>|::</v>
      </c>
      <c r="AG1001" s="154" t="s">
        <v>947</v>
      </c>
    </row>
    <row r="1002" spans="6:33" ht="24" customHeight="1">
      <c r="F1002" s="155" t="s">
        <v>1818</v>
      </c>
      <c r="G1002" s="165" t="s">
        <v>307</v>
      </c>
      <c r="H1002" s="154" t="s">
        <v>1779</v>
      </c>
      <c r="AE1002" s="172">
        <f t="shared" si="115"/>
        <v>0</v>
      </c>
    </row>
    <row r="1003" spans="6:33" ht="24" customHeight="1">
      <c r="H1003" s="154" t="s">
        <v>1774</v>
      </c>
      <c r="AE1003" s="172">
        <f t="shared" si="115"/>
        <v>0</v>
      </c>
    </row>
    <row r="1004" spans="6:33" ht="24" customHeight="1">
      <c r="H1004" s="154" t="s">
        <v>1819</v>
      </c>
      <c r="AE1004" s="172" t="str">
        <f t="shared" si="115"/>
        <v>|</v>
      </c>
      <c r="AG1004" s="154" t="s">
        <v>1158</v>
      </c>
    </row>
    <row r="1005" spans="6:33" ht="24" customHeight="1">
      <c r="H1005" s="162" t="s">
        <v>534</v>
      </c>
      <c r="AE1005" s="172"/>
      <c r="AG1005" s="154"/>
    </row>
    <row r="1006" spans="6:33" ht="24" customHeight="1">
      <c r="H1006" s="154" t="s">
        <v>1820</v>
      </c>
      <c r="AE1006" s="172" t="str">
        <f t="shared" si="115"/>
        <v>|</v>
      </c>
      <c r="AG1006" s="154" t="s">
        <v>1158</v>
      </c>
    </row>
    <row r="1007" spans="6:33" ht="24" customHeight="1">
      <c r="H1007" s="154" t="s">
        <v>1778</v>
      </c>
      <c r="AE1007" s="172" t="str">
        <f t="shared" si="115"/>
        <v>|</v>
      </c>
      <c r="AG1007" s="154" t="s">
        <v>1158</v>
      </c>
    </row>
    <row r="1008" spans="6:33" ht="24" customHeight="1">
      <c r="J1008" s="154" t="s">
        <v>534</v>
      </c>
      <c r="AE1008" s="172" t="str">
        <f t="shared" si="115"/>
        <v>|</v>
      </c>
      <c r="AG1008" s="154" t="s">
        <v>1158</v>
      </c>
    </row>
    <row r="1009" spans="6:33" ht="24" customHeight="1">
      <c r="H1009" s="154" t="s">
        <v>1821</v>
      </c>
      <c r="AE1009" s="172" t="str">
        <f t="shared" si="115"/>
        <v>|</v>
      </c>
      <c r="AG1009" s="154" t="s">
        <v>1158</v>
      </c>
    </row>
    <row r="1010" spans="6:33" ht="24" customHeight="1">
      <c r="H1010" s="154" t="s">
        <v>1822</v>
      </c>
      <c r="K1010" s="232">
        <v>1.1900000000000001E-2</v>
      </c>
      <c r="AE1010" s="172" t="str">
        <f t="shared" si="115"/>
        <v>|</v>
      </c>
      <c r="AG1010" s="154" t="s">
        <v>1158</v>
      </c>
    </row>
    <row r="1011" spans="6:33" ht="24" customHeight="1">
      <c r="J1011" s="154" t="s">
        <v>22</v>
      </c>
      <c r="K1011" s="162" t="s">
        <v>534</v>
      </c>
      <c r="AE1011" s="172">
        <f t="shared" si="115"/>
        <v>0</v>
      </c>
    </row>
    <row r="1012" spans="6:33" ht="24" customHeight="1">
      <c r="H1012" s="154" t="s">
        <v>1823</v>
      </c>
      <c r="J1012" s="281" t="s">
        <v>22</v>
      </c>
      <c r="K1012" s="232">
        <v>1.18E-2</v>
      </c>
      <c r="AE1012" s="172">
        <f t="shared" si="115"/>
        <v>0</v>
      </c>
    </row>
    <row r="1013" spans="6:33" ht="24" customHeight="1">
      <c r="H1013" s="154" t="s">
        <v>535</v>
      </c>
      <c r="J1013" s="154" t="s">
        <v>22</v>
      </c>
      <c r="K1013" s="287" t="s">
        <v>534</v>
      </c>
      <c r="AE1013" s="172">
        <f t="shared" si="115"/>
        <v>0</v>
      </c>
    </row>
    <row r="1014" spans="6:33" ht="24" customHeight="1">
      <c r="AE1014" s="172">
        <f t="shared" ref="AE1014:AE1034" si="120">AG1014</f>
        <v>0</v>
      </c>
    </row>
    <row r="1015" spans="6:33" ht="24" customHeight="1">
      <c r="F1015" s="232">
        <v>1.14E-2</v>
      </c>
      <c r="G1015" s="165" t="s">
        <v>577</v>
      </c>
      <c r="H1015" s="154" t="s">
        <v>1790</v>
      </c>
      <c r="I1015" s="167">
        <f>C88</f>
        <v>111600</v>
      </c>
      <c r="J1015" s="154" t="s">
        <v>577</v>
      </c>
      <c r="K1015" s="167">
        <f>(F1015*I1015)</f>
        <v>1272.24</v>
      </c>
      <c r="AE1015" s="172">
        <f t="shared" si="120"/>
        <v>0</v>
      </c>
    </row>
    <row r="1016" spans="6:33" ht="24" customHeight="1">
      <c r="F1016" s="232">
        <v>1.1900000000000001E-2</v>
      </c>
      <c r="G1016" s="165" t="s">
        <v>577</v>
      </c>
      <c r="H1016" s="154" t="s">
        <v>1792</v>
      </c>
      <c r="I1016" s="167">
        <f>C89</f>
        <v>99400</v>
      </c>
      <c r="J1016" s="154" t="s">
        <v>577</v>
      </c>
      <c r="K1016" s="167">
        <f>(F1016*I1016)</f>
        <v>1182.8600000000001</v>
      </c>
      <c r="AE1016" s="172">
        <f t="shared" si="120"/>
        <v>0</v>
      </c>
    </row>
    <row r="1017" spans="6:33" ht="24" customHeight="1">
      <c r="F1017" s="232">
        <v>1.18E-2</v>
      </c>
      <c r="G1017" s="165" t="s">
        <v>577</v>
      </c>
      <c r="H1017" s="154" t="s">
        <v>1794</v>
      </c>
      <c r="I1017" s="167">
        <f>C90</f>
        <v>95000</v>
      </c>
      <c r="J1017" s="154" t="s">
        <v>577</v>
      </c>
      <c r="K1017" s="167">
        <f>(F1017*I1017)</f>
        <v>1121</v>
      </c>
      <c r="AE1017" s="172">
        <f t="shared" si="120"/>
        <v>0</v>
      </c>
    </row>
    <row r="1018" spans="6:33" ht="24" customHeight="1">
      <c r="F1018" s="232"/>
      <c r="H1018" s="154" t="s">
        <v>1796</v>
      </c>
      <c r="I1018" s="154" t="s">
        <v>22</v>
      </c>
      <c r="K1018" s="154" t="s">
        <v>22</v>
      </c>
      <c r="AE1018" s="172">
        <f t="shared" si="120"/>
        <v>0</v>
      </c>
    </row>
    <row r="1019" spans="6:33" ht="24" customHeight="1">
      <c r="F1019" s="232">
        <v>1.2150000000000001</v>
      </c>
      <c r="G1019" s="165" t="s">
        <v>916</v>
      </c>
      <c r="H1019" s="154" t="s">
        <v>1787</v>
      </c>
      <c r="I1019" s="167">
        <f>C31</f>
        <v>1105.5</v>
      </c>
      <c r="J1019" s="154" t="s">
        <v>916</v>
      </c>
      <c r="K1019" s="167">
        <f t="shared" ref="K1019:K1026" si="121">(F1019*I1019)</f>
        <v>1343.1825000000001</v>
      </c>
      <c r="AE1019" s="172">
        <f t="shared" si="120"/>
        <v>0</v>
      </c>
    </row>
    <row r="1020" spans="6:33" ht="24" customHeight="1">
      <c r="F1020" s="167">
        <v>1</v>
      </c>
      <c r="G1020" s="165" t="s">
        <v>680</v>
      </c>
      <c r="H1020" s="154" t="s">
        <v>1797</v>
      </c>
      <c r="I1020" s="167">
        <f>C598</f>
        <v>50.4</v>
      </c>
      <c r="J1020" s="154" t="s">
        <v>576</v>
      </c>
      <c r="K1020" s="167">
        <f t="shared" si="121"/>
        <v>50.4</v>
      </c>
      <c r="AE1020" s="172">
        <f t="shared" si="120"/>
        <v>0</v>
      </c>
    </row>
    <row r="1021" spans="6:33" ht="24" customHeight="1">
      <c r="F1021" s="167">
        <v>3</v>
      </c>
      <c r="G1021" s="165" t="s">
        <v>576</v>
      </c>
      <c r="H1021" s="154" t="s">
        <v>1789</v>
      </c>
      <c r="I1021" s="167">
        <f>C279</f>
        <v>78.400000000000006</v>
      </c>
      <c r="J1021" s="154" t="s">
        <v>576</v>
      </c>
      <c r="K1021" s="167">
        <f t="shared" si="121"/>
        <v>235.20000000000002</v>
      </c>
      <c r="AE1021" s="172">
        <f t="shared" si="120"/>
        <v>0</v>
      </c>
    </row>
    <row r="1022" spans="6:33" ht="24" customHeight="1">
      <c r="F1022" s="167">
        <v>2</v>
      </c>
      <c r="G1022" s="165" t="s">
        <v>576</v>
      </c>
      <c r="H1022" s="154" t="s">
        <v>1791</v>
      </c>
      <c r="I1022" s="167">
        <f>C284</f>
        <v>56.7</v>
      </c>
      <c r="J1022" s="154" t="s">
        <v>576</v>
      </c>
      <c r="K1022" s="167">
        <f t="shared" si="121"/>
        <v>113.4</v>
      </c>
      <c r="AE1022" s="172">
        <f t="shared" si="120"/>
        <v>0</v>
      </c>
    </row>
    <row r="1023" spans="6:33" ht="24" customHeight="1">
      <c r="F1023" s="167">
        <v>1</v>
      </c>
      <c r="G1023" s="165" t="s">
        <v>576</v>
      </c>
      <c r="H1023" s="154" t="s">
        <v>1793</v>
      </c>
      <c r="I1023" s="167">
        <f>C286</f>
        <v>158.19999999999999</v>
      </c>
      <c r="J1023" s="154" t="s">
        <v>576</v>
      </c>
      <c r="K1023" s="167">
        <f t="shared" si="121"/>
        <v>158.19999999999999</v>
      </c>
      <c r="AE1023" s="172">
        <f t="shared" si="120"/>
        <v>0</v>
      </c>
    </row>
    <row r="1024" spans="6:33" ht="24" customHeight="1">
      <c r="F1024" s="167">
        <v>1</v>
      </c>
      <c r="G1024" s="165" t="s">
        <v>576</v>
      </c>
      <c r="H1024" s="154" t="s">
        <v>1795</v>
      </c>
      <c r="I1024" s="167">
        <f>C288</f>
        <v>7.3</v>
      </c>
      <c r="J1024" s="154" t="s">
        <v>576</v>
      </c>
      <c r="K1024" s="167">
        <f t="shared" si="121"/>
        <v>7.3</v>
      </c>
      <c r="AE1024" s="172">
        <f t="shared" si="120"/>
        <v>0</v>
      </c>
    </row>
    <row r="1025" spans="6:31" ht="24" customHeight="1">
      <c r="F1025" s="167">
        <v>1</v>
      </c>
      <c r="G1025" s="165" t="s">
        <v>576</v>
      </c>
      <c r="H1025" s="154" t="s">
        <v>941</v>
      </c>
      <c r="I1025" s="167">
        <f>D598</f>
        <v>43.8</v>
      </c>
      <c r="J1025" s="154" t="s">
        <v>576</v>
      </c>
      <c r="K1025" s="167">
        <f t="shared" si="121"/>
        <v>43.8</v>
      </c>
      <c r="AE1025" s="172">
        <f t="shared" si="120"/>
        <v>0</v>
      </c>
    </row>
    <row r="1026" spans="6:31" ht="24" customHeight="1">
      <c r="F1026" s="167">
        <v>10</v>
      </c>
      <c r="G1026" s="165" t="s">
        <v>1799</v>
      </c>
      <c r="H1026" s="154" t="s">
        <v>1815</v>
      </c>
      <c r="I1026" s="167">
        <f>I996</f>
        <v>2.35</v>
      </c>
      <c r="J1026" s="154" t="s">
        <v>576</v>
      </c>
      <c r="K1026" s="167">
        <f t="shared" si="121"/>
        <v>23.5</v>
      </c>
      <c r="M1026" s="155" t="s">
        <v>1824</v>
      </c>
      <c r="N1026" s="165" t="s">
        <v>307</v>
      </c>
      <c r="O1026" s="154" t="s">
        <v>1825</v>
      </c>
      <c r="Q1026" s="158"/>
      <c r="AE1026" s="172">
        <f t="shared" si="120"/>
        <v>0</v>
      </c>
    </row>
    <row r="1027" spans="6:31" ht="24" customHeight="1">
      <c r="K1027" s="162" t="s">
        <v>534</v>
      </c>
      <c r="N1027" s="156"/>
      <c r="O1027" s="154" t="s">
        <v>1826</v>
      </c>
      <c r="Q1027" s="158"/>
      <c r="AE1027" s="172">
        <f t="shared" si="120"/>
        <v>0</v>
      </c>
    </row>
    <row r="1028" spans="6:31" ht="24" customHeight="1">
      <c r="H1028" s="154" t="s">
        <v>1827</v>
      </c>
      <c r="K1028" s="167">
        <f>SUM(K1015:K1026)</f>
        <v>5551.0824999999995</v>
      </c>
      <c r="N1028" s="156"/>
      <c r="O1028" s="154" t="s">
        <v>1828</v>
      </c>
      <c r="Q1028" s="158"/>
      <c r="AE1028" s="172">
        <f t="shared" si="120"/>
        <v>0</v>
      </c>
    </row>
    <row r="1029" spans="6:31" ht="24" customHeight="1">
      <c r="K1029" s="162" t="s">
        <v>534</v>
      </c>
      <c r="N1029" s="156"/>
      <c r="O1029" s="154" t="s">
        <v>1829</v>
      </c>
      <c r="Q1029" s="158"/>
      <c r="AE1029" s="172">
        <f t="shared" si="120"/>
        <v>0</v>
      </c>
    </row>
    <row r="1030" spans="6:31" ht="24" customHeight="1">
      <c r="H1030" s="169" t="s">
        <v>881</v>
      </c>
      <c r="K1030" s="166">
        <f>K1028/F1019</f>
        <v>4568.7921810699581</v>
      </c>
      <c r="N1030" s="156"/>
      <c r="O1030" s="154" t="s">
        <v>1830</v>
      </c>
      <c r="Q1030" s="158"/>
      <c r="AE1030" s="172">
        <f t="shared" si="120"/>
        <v>0</v>
      </c>
    </row>
    <row r="1031" spans="6:31" ht="24" customHeight="1">
      <c r="K1031" s="162" t="s">
        <v>528</v>
      </c>
      <c r="N1031" s="156"/>
      <c r="O1031" s="154" t="s">
        <v>1831</v>
      </c>
      <c r="Q1031" s="158"/>
      <c r="AE1031" s="172">
        <f t="shared" si="120"/>
        <v>0</v>
      </c>
    </row>
    <row r="1032" spans="6:31" ht="24" customHeight="1">
      <c r="H1032" s="288" t="s">
        <v>1832</v>
      </c>
      <c r="I1032" s="289"/>
      <c r="J1032" s="290"/>
      <c r="K1032" s="288">
        <v>2190</v>
      </c>
      <c r="N1032" s="156"/>
      <c r="O1032" s="162" t="s">
        <v>534</v>
      </c>
      <c r="Q1032" s="158"/>
      <c r="AE1032" s="172">
        <f t="shared" si="120"/>
        <v>0</v>
      </c>
    </row>
    <row r="1033" spans="6:31" ht="24" customHeight="1">
      <c r="F1033" s="155" t="s">
        <v>1824</v>
      </c>
      <c r="G1033" s="165" t="s">
        <v>307</v>
      </c>
      <c r="H1033" s="154" t="s">
        <v>1825</v>
      </c>
      <c r="N1033" s="156"/>
      <c r="O1033" s="154" t="s">
        <v>1804</v>
      </c>
      <c r="Q1033" s="158"/>
      <c r="AE1033" s="172">
        <f t="shared" si="120"/>
        <v>0</v>
      </c>
    </row>
    <row r="1034" spans="6:31" ht="24" customHeight="1">
      <c r="H1034" s="154" t="s">
        <v>1826</v>
      </c>
      <c r="N1034" s="156"/>
      <c r="O1034" s="154" t="s">
        <v>1833</v>
      </c>
      <c r="Q1034" s="158"/>
      <c r="AE1034" s="172">
        <f t="shared" si="120"/>
        <v>0</v>
      </c>
    </row>
    <row r="1035" spans="6:31" ht="24" customHeight="1">
      <c r="H1035" s="154" t="s">
        <v>1828</v>
      </c>
      <c r="N1035" s="156"/>
      <c r="Q1035" s="154" t="s">
        <v>534</v>
      </c>
      <c r="AE1035" s="172"/>
    </row>
    <row r="1036" spans="6:31" ht="24" customHeight="1">
      <c r="H1036" s="154" t="s">
        <v>1829</v>
      </c>
      <c r="N1036" s="156"/>
      <c r="O1036" s="154" t="s">
        <v>1834</v>
      </c>
      <c r="Q1036" s="158"/>
      <c r="AE1036" s="172">
        <f t="shared" ref="AE1036:AE1041" si="122">AG1036</f>
        <v>0</v>
      </c>
    </row>
    <row r="1037" spans="6:31" ht="24" customHeight="1">
      <c r="H1037" s="154" t="s">
        <v>1830</v>
      </c>
      <c r="N1037" s="156"/>
      <c r="O1037" s="154" t="s">
        <v>22</v>
      </c>
      <c r="P1037" s="154" t="s">
        <v>22</v>
      </c>
      <c r="Q1037" s="158"/>
      <c r="R1037" s="281" t="s">
        <v>22</v>
      </c>
      <c r="AE1037" s="172">
        <f t="shared" si="122"/>
        <v>0</v>
      </c>
    </row>
    <row r="1038" spans="6:31" ht="24" customHeight="1">
      <c r="H1038" s="154" t="s">
        <v>1831</v>
      </c>
      <c r="N1038" s="156"/>
      <c r="Q1038" s="154" t="s">
        <v>22</v>
      </c>
      <c r="R1038" s="154" t="s">
        <v>22</v>
      </c>
      <c r="AE1038" s="172">
        <f t="shared" si="122"/>
        <v>0</v>
      </c>
    </row>
    <row r="1039" spans="6:31" ht="24" customHeight="1">
      <c r="H1039" s="162" t="s">
        <v>534</v>
      </c>
      <c r="N1039" s="156"/>
      <c r="O1039" s="154" t="s">
        <v>1835</v>
      </c>
      <c r="Q1039" s="281" t="s">
        <v>22</v>
      </c>
      <c r="R1039" s="281" t="s">
        <v>22</v>
      </c>
      <c r="AE1039" s="172">
        <f t="shared" si="122"/>
        <v>0</v>
      </c>
    </row>
    <row r="1040" spans="6:31" ht="24" customHeight="1">
      <c r="H1040" s="154" t="s">
        <v>1804</v>
      </c>
      <c r="N1040" s="156"/>
      <c r="O1040" s="154" t="s">
        <v>1836</v>
      </c>
      <c r="Q1040" s="158"/>
      <c r="R1040" s="281" t="s">
        <v>1837</v>
      </c>
      <c r="AE1040" s="172">
        <f t="shared" si="122"/>
        <v>0</v>
      </c>
    </row>
    <row r="1041" spans="6:33" ht="24" customHeight="1">
      <c r="H1041" s="154" t="s">
        <v>1833</v>
      </c>
      <c r="N1041" s="156"/>
      <c r="Q1041" s="158"/>
      <c r="R1041" s="154" t="s">
        <v>22</v>
      </c>
      <c r="AE1041" s="172">
        <f t="shared" si="122"/>
        <v>0</v>
      </c>
    </row>
    <row r="1042" spans="6:33" ht="24" customHeight="1">
      <c r="J1042" s="154" t="s">
        <v>534</v>
      </c>
      <c r="N1042" s="156"/>
      <c r="Q1042" s="158"/>
      <c r="R1042" s="281" t="s">
        <v>22</v>
      </c>
      <c r="AB1042" s="155" t="s">
        <v>1824</v>
      </c>
      <c r="AC1042" s="165" t="s">
        <v>307</v>
      </c>
      <c r="AD1042" s="154" t="s">
        <v>1838</v>
      </c>
      <c r="AF1042" s="158"/>
    </row>
    <row r="1043" spans="6:33" ht="24" customHeight="1">
      <c r="H1043" s="154" t="s">
        <v>1834</v>
      </c>
      <c r="N1043" s="156"/>
      <c r="Q1043" s="158"/>
      <c r="R1043" s="154" t="s">
        <v>22</v>
      </c>
      <c r="AC1043" s="156"/>
      <c r="AD1043" s="154" t="s">
        <v>1826</v>
      </c>
      <c r="AF1043" s="158"/>
    </row>
    <row r="1044" spans="6:33" ht="24" customHeight="1">
      <c r="H1044" s="154" t="s">
        <v>22</v>
      </c>
      <c r="I1044" s="154" t="s">
        <v>22</v>
      </c>
      <c r="K1044" s="281" t="s">
        <v>22</v>
      </c>
      <c r="M1044" s="155" t="s">
        <v>1811</v>
      </c>
      <c r="N1044" s="165"/>
      <c r="O1044" s="154" t="s">
        <v>1839</v>
      </c>
      <c r="Q1044" s="158"/>
      <c r="R1044" s="154" t="s">
        <v>22</v>
      </c>
      <c r="AC1044" s="156"/>
      <c r="AD1044" s="154" t="s">
        <v>1828</v>
      </c>
      <c r="AF1044" s="158"/>
    </row>
    <row r="1045" spans="6:33" ht="24" customHeight="1">
      <c r="J1045" s="154" t="s">
        <v>22</v>
      </c>
      <c r="K1045" s="154" t="s">
        <v>22</v>
      </c>
      <c r="N1045" s="156"/>
      <c r="O1045" s="162" t="s">
        <v>534</v>
      </c>
      <c r="Q1045" s="158"/>
      <c r="AC1045" s="156"/>
      <c r="AD1045" s="154" t="s">
        <v>1829</v>
      </c>
      <c r="AF1045" s="158"/>
    </row>
    <row r="1046" spans="6:33" s="291" customFormat="1" ht="24" customHeight="1">
      <c r="F1046" s="76"/>
      <c r="G1046" s="156"/>
      <c r="H1046" s="154" t="s">
        <v>1835</v>
      </c>
      <c r="I1046" s="76"/>
      <c r="J1046" s="281" t="s">
        <v>22</v>
      </c>
      <c r="K1046" s="281" t="s">
        <v>22</v>
      </c>
      <c r="M1046" s="282">
        <v>1.153E-2</v>
      </c>
      <c r="N1046" s="283" t="s">
        <v>577</v>
      </c>
      <c r="O1046" s="284" t="s">
        <v>1840</v>
      </c>
      <c r="P1046" s="285">
        <f>C86</f>
        <v>34300</v>
      </c>
      <c r="Q1046" s="284" t="s">
        <v>577</v>
      </c>
      <c r="R1046" s="285">
        <f t="shared" ref="R1046:R1055" si="123">(M1046*P1046)</f>
        <v>395.47899999999998</v>
      </c>
      <c r="S1046" s="292"/>
      <c r="AB1046" s="76"/>
      <c r="AC1046" s="156"/>
      <c r="AD1046" s="154" t="s">
        <v>1830</v>
      </c>
      <c r="AE1046" s="76"/>
      <c r="AF1046" s="158"/>
      <c r="AG1046" s="76"/>
    </row>
    <row r="1047" spans="6:33" ht="24" customHeight="1">
      <c r="H1047" s="154" t="s">
        <v>1836</v>
      </c>
      <c r="K1047" s="281" t="s">
        <v>1837</v>
      </c>
      <c r="M1047" s="286">
        <v>1.35E-2</v>
      </c>
      <c r="N1047" s="165" t="s">
        <v>577</v>
      </c>
      <c r="O1047" s="154" t="s">
        <v>1840</v>
      </c>
      <c r="P1047" s="167">
        <f>P1046</f>
        <v>34300</v>
      </c>
      <c r="Q1047" s="154" t="s">
        <v>577</v>
      </c>
      <c r="R1047" s="167">
        <f t="shared" si="123"/>
        <v>463.05</v>
      </c>
      <c r="S1047" s="198"/>
      <c r="AC1047" s="156"/>
      <c r="AD1047" s="154" t="s">
        <v>1841</v>
      </c>
      <c r="AF1047" s="158"/>
    </row>
    <row r="1048" spans="6:33" ht="24" customHeight="1">
      <c r="K1048" s="154" t="s">
        <v>22</v>
      </c>
      <c r="M1048" s="286">
        <v>1.016</v>
      </c>
      <c r="N1048" s="165" t="s">
        <v>916</v>
      </c>
      <c r="O1048" s="154" t="s">
        <v>934</v>
      </c>
      <c r="P1048" s="167">
        <f>I1055</f>
        <v>387.4</v>
      </c>
      <c r="Q1048" s="154" t="s">
        <v>916</v>
      </c>
      <c r="R1048" s="167">
        <f t="shared" si="123"/>
        <v>393.59839999999997</v>
      </c>
      <c r="S1048" s="198"/>
      <c r="AC1048" s="156"/>
      <c r="AD1048" s="162" t="s">
        <v>534</v>
      </c>
      <c r="AF1048" s="158"/>
    </row>
    <row r="1049" spans="6:33" ht="24" customHeight="1">
      <c r="K1049" s="281" t="s">
        <v>22</v>
      </c>
      <c r="M1049" s="286">
        <v>1.64</v>
      </c>
      <c r="N1049" s="165" t="s">
        <v>916</v>
      </c>
      <c r="O1049" s="154" t="s">
        <v>935</v>
      </c>
      <c r="P1049" s="167">
        <f t="shared" ref="P1049:P1054" si="124">I1056</f>
        <v>921.80000000000007</v>
      </c>
      <c r="Q1049" s="154" t="s">
        <v>916</v>
      </c>
      <c r="R1049" s="167">
        <f t="shared" si="123"/>
        <v>1511.752</v>
      </c>
      <c r="S1049" s="198"/>
      <c r="AC1049" s="156"/>
      <c r="AD1049" s="154" t="s">
        <v>1842</v>
      </c>
      <c r="AF1049" s="158"/>
    </row>
    <row r="1050" spans="6:33" ht="24" customHeight="1">
      <c r="K1050" s="154" t="s">
        <v>22</v>
      </c>
      <c r="M1050" s="167">
        <v>2</v>
      </c>
      <c r="N1050" s="165" t="s">
        <v>576</v>
      </c>
      <c r="O1050" s="154" t="s">
        <v>936</v>
      </c>
      <c r="P1050" s="167">
        <f t="shared" si="124"/>
        <v>56.7</v>
      </c>
      <c r="Q1050" s="154" t="s">
        <v>576</v>
      </c>
      <c r="R1050" s="167">
        <f t="shared" si="123"/>
        <v>113.4</v>
      </c>
      <c r="S1050" s="198"/>
      <c r="AC1050" s="156"/>
      <c r="AD1050" s="154" t="s">
        <v>1843</v>
      </c>
      <c r="AF1050" s="158"/>
    </row>
    <row r="1051" spans="6:33" ht="24" customHeight="1">
      <c r="F1051" s="155" t="s">
        <v>1811</v>
      </c>
      <c r="G1051" s="165"/>
      <c r="H1051" s="154" t="s">
        <v>1839</v>
      </c>
      <c r="K1051" s="154" t="s">
        <v>22</v>
      </c>
      <c r="M1051" s="167">
        <v>3</v>
      </c>
      <c r="N1051" s="165" t="s">
        <v>576</v>
      </c>
      <c r="O1051" s="154" t="s">
        <v>1813</v>
      </c>
      <c r="P1051" s="167">
        <f t="shared" si="124"/>
        <v>78.400000000000006</v>
      </c>
      <c r="Q1051" s="154" t="s">
        <v>576</v>
      </c>
      <c r="R1051" s="167">
        <f t="shared" si="123"/>
        <v>235.20000000000002</v>
      </c>
      <c r="S1051" s="198"/>
      <c r="AC1051" s="156"/>
      <c r="AF1051" s="154" t="s">
        <v>534</v>
      </c>
    </row>
    <row r="1052" spans="6:33" ht="24" customHeight="1">
      <c r="H1052" s="162" t="s">
        <v>534</v>
      </c>
      <c r="M1052" s="167">
        <v>1</v>
      </c>
      <c r="N1052" s="165" t="s">
        <v>576</v>
      </c>
      <c r="O1052" s="154" t="s">
        <v>938</v>
      </c>
      <c r="P1052" s="167">
        <f t="shared" si="124"/>
        <v>158.19999999999999</v>
      </c>
      <c r="Q1052" s="154" t="s">
        <v>576</v>
      </c>
      <c r="R1052" s="167">
        <f t="shared" si="123"/>
        <v>158.19999999999999</v>
      </c>
      <c r="S1052" s="198"/>
      <c r="AC1052" s="156"/>
      <c r="AD1052" s="154" t="s">
        <v>1844</v>
      </c>
      <c r="AF1052" s="158"/>
    </row>
    <row r="1053" spans="6:33" ht="24" customHeight="1">
      <c r="F1053" s="282">
        <v>1.153E-2</v>
      </c>
      <c r="G1053" s="283" t="s">
        <v>577</v>
      </c>
      <c r="H1053" s="284" t="s">
        <v>932</v>
      </c>
      <c r="I1053" s="285">
        <f>C88</f>
        <v>111600</v>
      </c>
      <c r="J1053" s="284" t="s">
        <v>577</v>
      </c>
      <c r="K1053" s="285">
        <f t="shared" ref="K1053:K1063" si="125">(F1053*I1053)</f>
        <v>1286.748</v>
      </c>
      <c r="M1053" s="167">
        <v>1</v>
      </c>
      <c r="N1053" s="165" t="s">
        <v>576</v>
      </c>
      <c r="O1053" s="154" t="s">
        <v>939</v>
      </c>
      <c r="P1053" s="167">
        <f t="shared" si="124"/>
        <v>7.3</v>
      </c>
      <c r="Q1053" s="154" t="s">
        <v>576</v>
      </c>
      <c r="R1053" s="167">
        <f t="shared" si="123"/>
        <v>7.3</v>
      </c>
      <c r="S1053" s="198"/>
      <c r="AC1053" s="156"/>
      <c r="AD1053" s="154" t="s">
        <v>22</v>
      </c>
      <c r="AE1053" s="154" t="s">
        <v>22</v>
      </c>
      <c r="AF1053" s="158"/>
      <c r="AG1053" s="281" t="s">
        <v>22</v>
      </c>
    </row>
    <row r="1054" spans="6:33" ht="24" customHeight="1">
      <c r="F1054" s="286">
        <v>1.35E-2</v>
      </c>
      <c r="G1054" s="165" t="s">
        <v>577</v>
      </c>
      <c r="H1054" s="154" t="s">
        <v>933</v>
      </c>
      <c r="I1054" s="167">
        <f>C89</f>
        <v>99400</v>
      </c>
      <c r="J1054" s="154" t="s">
        <v>577</v>
      </c>
      <c r="K1054" s="167">
        <f t="shared" si="125"/>
        <v>1341.9</v>
      </c>
      <c r="M1054" s="167">
        <v>1</v>
      </c>
      <c r="N1054" s="165" t="s">
        <v>576</v>
      </c>
      <c r="O1054" s="154" t="s">
        <v>1845</v>
      </c>
      <c r="P1054" s="167">
        <f t="shared" si="124"/>
        <v>50.4</v>
      </c>
      <c r="Q1054" s="154" t="s">
        <v>576</v>
      </c>
      <c r="R1054" s="167">
        <f t="shared" si="123"/>
        <v>50.4</v>
      </c>
      <c r="S1054" s="198"/>
      <c r="AC1054" s="156"/>
      <c r="AF1054" s="154" t="s">
        <v>22</v>
      </c>
      <c r="AG1054" s="154" t="s">
        <v>22</v>
      </c>
    </row>
    <row r="1055" spans="6:33" ht="24" customHeight="1">
      <c r="F1055" s="286">
        <v>1.016</v>
      </c>
      <c r="G1055" s="165" t="s">
        <v>916</v>
      </c>
      <c r="H1055" s="154" t="s">
        <v>934</v>
      </c>
      <c r="I1055" s="167">
        <f>C783</f>
        <v>387.4</v>
      </c>
      <c r="J1055" s="154" t="s">
        <v>916</v>
      </c>
      <c r="K1055" s="167">
        <f t="shared" si="125"/>
        <v>393.59839999999997</v>
      </c>
      <c r="M1055" s="167">
        <v>1</v>
      </c>
      <c r="N1055" s="165" t="s">
        <v>576</v>
      </c>
      <c r="O1055" s="154" t="s">
        <v>941</v>
      </c>
      <c r="P1055" s="167">
        <f>P953</f>
        <v>43.8</v>
      </c>
      <c r="Q1055" s="154" t="s">
        <v>576</v>
      </c>
      <c r="R1055" s="167">
        <f t="shared" si="123"/>
        <v>43.8</v>
      </c>
      <c r="S1055" s="198"/>
      <c r="AC1055" s="156"/>
      <c r="AD1055" s="154" t="s">
        <v>1846</v>
      </c>
      <c r="AF1055" s="281" t="s">
        <v>22</v>
      </c>
      <c r="AG1055" s="281" t="s">
        <v>22</v>
      </c>
    </row>
    <row r="1056" spans="6:33" ht="24" customHeight="1">
      <c r="F1056" s="286">
        <v>1.64</v>
      </c>
      <c r="G1056" s="165" t="s">
        <v>916</v>
      </c>
      <c r="H1056" s="154" t="s">
        <v>935</v>
      </c>
      <c r="I1056" s="167">
        <f>D30</f>
        <v>921.80000000000007</v>
      </c>
      <c r="J1056" s="154" t="s">
        <v>916</v>
      </c>
      <c r="K1056" s="167">
        <f t="shared" si="125"/>
        <v>1511.752</v>
      </c>
      <c r="N1056" s="156"/>
      <c r="Q1056" s="158"/>
      <c r="R1056" s="162" t="s">
        <v>534</v>
      </c>
      <c r="S1056" s="293"/>
      <c r="AC1056" s="156"/>
      <c r="AD1056" s="154" t="s">
        <v>1847</v>
      </c>
      <c r="AF1056" s="158"/>
      <c r="AG1056" s="281" t="s">
        <v>1848</v>
      </c>
    </row>
    <row r="1057" spans="6:33" ht="24" customHeight="1">
      <c r="F1057" s="167">
        <v>2</v>
      </c>
      <c r="G1057" s="165" t="s">
        <v>576</v>
      </c>
      <c r="H1057" s="154" t="s">
        <v>936</v>
      </c>
      <c r="I1057" s="167">
        <f>C284</f>
        <v>56.7</v>
      </c>
      <c r="J1057" s="154" t="s">
        <v>576</v>
      </c>
      <c r="K1057" s="167">
        <f t="shared" si="125"/>
        <v>113.4</v>
      </c>
      <c r="N1057" s="156"/>
      <c r="O1057" s="155" t="s">
        <v>1849</v>
      </c>
      <c r="Q1057" s="158"/>
      <c r="R1057" s="167">
        <f>SUM(R1046:R1055)</f>
        <v>3372.1794</v>
      </c>
      <c r="S1057" s="198"/>
      <c r="AC1057" s="156"/>
      <c r="AF1057" s="158"/>
      <c r="AG1057" s="154" t="s">
        <v>22</v>
      </c>
    </row>
    <row r="1058" spans="6:33" ht="24" customHeight="1">
      <c r="F1058" s="167">
        <v>3</v>
      </c>
      <c r="G1058" s="165" t="s">
        <v>576</v>
      </c>
      <c r="H1058" s="154" t="s">
        <v>1813</v>
      </c>
      <c r="I1058" s="167">
        <f>C279</f>
        <v>78.400000000000006</v>
      </c>
      <c r="J1058" s="154" t="s">
        <v>576</v>
      </c>
      <c r="K1058" s="167">
        <f t="shared" si="125"/>
        <v>235.20000000000002</v>
      </c>
      <c r="N1058" s="165" t="s">
        <v>22</v>
      </c>
      <c r="Q1058" s="158"/>
      <c r="R1058" s="162" t="s">
        <v>534</v>
      </c>
      <c r="S1058" s="293"/>
      <c r="AC1058" s="156"/>
      <c r="AF1058" s="158"/>
      <c r="AG1058" s="281" t="s">
        <v>22</v>
      </c>
    </row>
    <row r="1059" spans="6:33" ht="24" customHeight="1">
      <c r="F1059" s="167">
        <v>1</v>
      </c>
      <c r="G1059" s="165" t="s">
        <v>576</v>
      </c>
      <c r="H1059" s="154" t="s">
        <v>938</v>
      </c>
      <c r="I1059" s="167">
        <f>C286</f>
        <v>158.19999999999999</v>
      </c>
      <c r="J1059" s="154" t="s">
        <v>576</v>
      </c>
      <c r="K1059" s="167">
        <f t="shared" si="125"/>
        <v>158.19999999999999</v>
      </c>
      <c r="N1059" s="156"/>
      <c r="O1059" s="169" t="s">
        <v>881</v>
      </c>
      <c r="Q1059" s="158"/>
      <c r="R1059" s="166">
        <f>R1057/M1049</f>
        <v>2056.2069512195121</v>
      </c>
      <c r="S1059" s="198"/>
      <c r="AC1059" s="156"/>
      <c r="AF1059" s="158"/>
      <c r="AG1059" s="154" t="s">
        <v>22</v>
      </c>
    </row>
    <row r="1060" spans="6:33" ht="24" customHeight="1">
      <c r="F1060" s="167">
        <v>1</v>
      </c>
      <c r="G1060" s="165" t="s">
        <v>576</v>
      </c>
      <c r="H1060" s="154" t="s">
        <v>939</v>
      </c>
      <c r="I1060" s="167">
        <f>C288</f>
        <v>7.3</v>
      </c>
      <c r="J1060" s="154" t="s">
        <v>576</v>
      </c>
      <c r="K1060" s="167">
        <f t="shared" si="125"/>
        <v>7.3</v>
      </c>
      <c r="N1060" s="156"/>
      <c r="Q1060" s="158"/>
      <c r="R1060" s="162" t="s">
        <v>528</v>
      </c>
      <c r="S1060" s="293" t="s">
        <v>528</v>
      </c>
      <c r="AB1060" s="155" t="s">
        <v>1811</v>
      </c>
      <c r="AC1060" s="165"/>
      <c r="AD1060" s="154" t="s">
        <v>1850</v>
      </c>
      <c r="AF1060" s="158"/>
      <c r="AG1060" s="154" t="s">
        <v>22</v>
      </c>
    </row>
    <row r="1061" spans="6:33" ht="24" customHeight="1">
      <c r="F1061" s="167">
        <v>1</v>
      </c>
      <c r="G1061" s="165" t="s">
        <v>576</v>
      </c>
      <c r="H1061" s="154" t="s">
        <v>1814</v>
      </c>
      <c r="I1061" s="167">
        <f>C598</f>
        <v>50.4</v>
      </c>
      <c r="J1061" s="154" t="s">
        <v>576</v>
      </c>
      <c r="K1061" s="167">
        <f t="shared" si="125"/>
        <v>50.4</v>
      </c>
      <c r="M1061" s="155"/>
      <c r="N1061" s="165"/>
      <c r="O1061" s="154"/>
      <c r="Q1061" s="158"/>
      <c r="R1061" s="154" t="s">
        <v>22</v>
      </c>
      <c r="AC1061" s="156"/>
      <c r="AD1061" s="162" t="s">
        <v>534</v>
      </c>
      <c r="AF1061" s="158"/>
    </row>
    <row r="1062" spans="6:33" ht="24" customHeight="1">
      <c r="F1062" s="167">
        <v>1</v>
      </c>
      <c r="G1062" s="165" t="s">
        <v>576</v>
      </c>
      <c r="H1062" s="154" t="s">
        <v>941</v>
      </c>
      <c r="I1062" s="167">
        <f>D598</f>
        <v>43.8</v>
      </c>
      <c r="J1062" s="154" t="s">
        <v>576</v>
      </c>
      <c r="K1062" s="167">
        <f t="shared" si="125"/>
        <v>43.8</v>
      </c>
      <c r="M1062" s="155" t="s">
        <v>1811</v>
      </c>
      <c r="N1062" s="165"/>
      <c r="O1062" s="154" t="s">
        <v>1851</v>
      </c>
      <c r="Q1062" s="158"/>
      <c r="R1062" s="154" t="s">
        <v>22</v>
      </c>
      <c r="AB1062" s="282">
        <v>2.3060000000000001E-2</v>
      </c>
      <c r="AC1062" s="283" t="s">
        <v>577</v>
      </c>
      <c r="AD1062" s="284" t="s">
        <v>932</v>
      </c>
      <c r="AE1062" s="285">
        <f>I1053</f>
        <v>111600</v>
      </c>
      <c r="AF1062" s="284" t="s">
        <v>577</v>
      </c>
      <c r="AG1062" s="285">
        <f t="shared" ref="AG1062:AG1072" si="126">(AB1062*AE1062)</f>
        <v>2573.4960000000001</v>
      </c>
    </row>
    <row r="1063" spans="6:33" ht="24" customHeight="1">
      <c r="F1063" s="167">
        <v>58</v>
      </c>
      <c r="G1063" s="165" t="s">
        <v>1799</v>
      </c>
      <c r="H1063" s="154" t="s">
        <v>1815</v>
      </c>
      <c r="I1063" s="76">
        <f>I1026</f>
        <v>2.35</v>
      </c>
      <c r="J1063" s="154" t="s">
        <v>576</v>
      </c>
      <c r="K1063" s="167">
        <f t="shared" si="125"/>
        <v>136.30000000000001</v>
      </c>
      <c r="N1063" s="156"/>
      <c r="O1063" s="162" t="s">
        <v>534</v>
      </c>
      <c r="Q1063" s="158"/>
      <c r="AB1063" s="286">
        <v>1.856E-2</v>
      </c>
      <c r="AC1063" s="165" t="s">
        <v>577</v>
      </c>
      <c r="AD1063" s="154" t="s">
        <v>933</v>
      </c>
      <c r="AE1063" s="285">
        <f t="shared" ref="AE1063:AE1071" si="127">I1054</f>
        <v>99400</v>
      </c>
      <c r="AF1063" s="154" t="s">
        <v>577</v>
      </c>
      <c r="AG1063" s="167">
        <f t="shared" si="126"/>
        <v>1844.864</v>
      </c>
    </row>
    <row r="1064" spans="6:33" ht="24" customHeight="1">
      <c r="H1064" s="155" t="s">
        <v>1849</v>
      </c>
      <c r="K1064" s="167">
        <f>SUM(K1053:K1063)</f>
        <v>5278.5983999999999</v>
      </c>
      <c r="M1064" s="282">
        <v>1.153E-2</v>
      </c>
      <c r="N1064" s="283" t="s">
        <v>577</v>
      </c>
      <c r="O1064" s="284" t="s">
        <v>932</v>
      </c>
      <c r="P1064" s="285">
        <f>I1053</f>
        <v>111600</v>
      </c>
      <c r="Q1064" s="284" t="s">
        <v>577</v>
      </c>
      <c r="R1064" s="285">
        <f t="shared" ref="R1064:R1074" si="128">(M1064*P1064)</f>
        <v>1286.748</v>
      </c>
      <c r="AB1064" s="286">
        <v>1.4</v>
      </c>
      <c r="AC1064" s="165" t="s">
        <v>916</v>
      </c>
      <c r="AD1064" s="154" t="s">
        <v>934</v>
      </c>
      <c r="AE1064" s="285">
        <f t="shared" si="127"/>
        <v>387.4</v>
      </c>
      <c r="AF1064" s="154" t="s">
        <v>916</v>
      </c>
      <c r="AG1064" s="167">
        <f t="shared" si="126"/>
        <v>542.3599999999999</v>
      </c>
    </row>
    <row r="1065" spans="6:33" ht="24" customHeight="1">
      <c r="G1065" s="165" t="s">
        <v>22</v>
      </c>
      <c r="K1065" s="162" t="s">
        <v>534</v>
      </c>
      <c r="M1065" s="286">
        <v>1.52E-2</v>
      </c>
      <c r="N1065" s="165" t="s">
        <v>577</v>
      </c>
      <c r="O1065" s="154" t="s">
        <v>933</v>
      </c>
      <c r="P1065" s="285">
        <f t="shared" ref="P1065:P1073" si="129">I1054</f>
        <v>99400</v>
      </c>
      <c r="Q1065" s="154" t="s">
        <v>577</v>
      </c>
      <c r="R1065" s="167">
        <f t="shared" si="128"/>
        <v>1510.88</v>
      </c>
      <c r="AB1065" s="286">
        <v>2.2549999999999999</v>
      </c>
      <c r="AC1065" s="165" t="s">
        <v>916</v>
      </c>
      <c r="AD1065" s="154" t="s">
        <v>935</v>
      </c>
      <c r="AE1065" s="285">
        <f t="shared" si="127"/>
        <v>921.80000000000007</v>
      </c>
      <c r="AF1065" s="154" t="s">
        <v>916</v>
      </c>
      <c r="AG1065" s="167">
        <f t="shared" si="126"/>
        <v>2078.6590000000001</v>
      </c>
    </row>
    <row r="1066" spans="6:33" ht="24" customHeight="1">
      <c r="H1066" s="169" t="s">
        <v>881</v>
      </c>
      <c r="K1066" s="166">
        <f>K1064/F1056</f>
        <v>3218.6575609756101</v>
      </c>
      <c r="M1066" s="286">
        <v>1.26</v>
      </c>
      <c r="N1066" s="165" t="s">
        <v>916</v>
      </c>
      <c r="O1066" s="154" t="s">
        <v>934</v>
      </c>
      <c r="P1066" s="285">
        <f t="shared" si="129"/>
        <v>387.4</v>
      </c>
      <c r="Q1066" s="154" t="s">
        <v>916</v>
      </c>
      <c r="R1066" s="167">
        <f t="shared" si="128"/>
        <v>488.12399999999997</v>
      </c>
      <c r="AB1066" s="167">
        <v>4</v>
      </c>
      <c r="AC1066" s="165" t="s">
        <v>576</v>
      </c>
      <c r="AD1066" s="154" t="s">
        <v>936</v>
      </c>
      <c r="AE1066" s="285">
        <f t="shared" si="127"/>
        <v>56.7</v>
      </c>
      <c r="AF1066" s="154" t="s">
        <v>576</v>
      </c>
      <c r="AG1066" s="167">
        <f t="shared" si="126"/>
        <v>226.8</v>
      </c>
    </row>
    <row r="1067" spans="6:33" ht="24" customHeight="1">
      <c r="K1067" s="162" t="s">
        <v>528</v>
      </c>
      <c r="M1067" s="286">
        <v>1.845</v>
      </c>
      <c r="N1067" s="165" t="s">
        <v>916</v>
      </c>
      <c r="O1067" s="154" t="s">
        <v>935</v>
      </c>
      <c r="P1067" s="285">
        <f t="shared" si="129"/>
        <v>921.80000000000007</v>
      </c>
      <c r="Q1067" s="154" t="s">
        <v>916</v>
      </c>
      <c r="R1067" s="167">
        <f t="shared" si="128"/>
        <v>1700.721</v>
      </c>
      <c r="AB1067" s="167">
        <v>6</v>
      </c>
      <c r="AC1067" s="165" t="s">
        <v>576</v>
      </c>
      <c r="AD1067" s="154" t="s">
        <v>1813</v>
      </c>
      <c r="AE1067" s="285">
        <f t="shared" si="127"/>
        <v>78.400000000000006</v>
      </c>
      <c r="AF1067" s="154" t="s">
        <v>576</v>
      </c>
      <c r="AG1067" s="167">
        <f t="shared" si="126"/>
        <v>470.40000000000003</v>
      </c>
    </row>
    <row r="1068" spans="6:33" ht="24" customHeight="1">
      <c r="F1068" s="155" t="s">
        <v>1852</v>
      </c>
      <c r="H1068" s="154" t="s">
        <v>1853</v>
      </c>
      <c r="M1068" s="167">
        <v>2</v>
      </c>
      <c r="N1068" s="165" t="s">
        <v>576</v>
      </c>
      <c r="O1068" s="154" t="s">
        <v>936</v>
      </c>
      <c r="P1068" s="285">
        <f t="shared" si="129"/>
        <v>56.7</v>
      </c>
      <c r="Q1068" s="154" t="s">
        <v>576</v>
      </c>
      <c r="R1068" s="167">
        <f t="shared" si="128"/>
        <v>113.4</v>
      </c>
      <c r="AB1068" s="167">
        <v>1</v>
      </c>
      <c r="AC1068" s="165" t="s">
        <v>576</v>
      </c>
      <c r="AD1068" s="154" t="s">
        <v>938</v>
      </c>
      <c r="AE1068" s="285">
        <f t="shared" si="127"/>
        <v>158.19999999999999</v>
      </c>
      <c r="AF1068" s="154" t="s">
        <v>576</v>
      </c>
      <c r="AG1068" s="167">
        <f t="shared" si="126"/>
        <v>158.19999999999999</v>
      </c>
    </row>
    <row r="1069" spans="6:33" ht="24" customHeight="1">
      <c r="H1069" s="154" t="s">
        <v>1854</v>
      </c>
      <c r="M1069" s="167">
        <v>3</v>
      </c>
      <c r="N1069" s="165" t="s">
        <v>576</v>
      </c>
      <c r="O1069" s="154" t="s">
        <v>1813</v>
      </c>
      <c r="P1069" s="285">
        <f t="shared" si="129"/>
        <v>78.400000000000006</v>
      </c>
      <c r="Q1069" s="154" t="s">
        <v>576</v>
      </c>
      <c r="R1069" s="167">
        <f t="shared" si="128"/>
        <v>235.20000000000002</v>
      </c>
      <c r="AB1069" s="167">
        <v>2</v>
      </c>
      <c r="AC1069" s="165" t="s">
        <v>576</v>
      </c>
      <c r="AD1069" s="154" t="s">
        <v>939</v>
      </c>
      <c r="AE1069" s="285">
        <f t="shared" si="127"/>
        <v>7.3</v>
      </c>
      <c r="AF1069" s="154" t="s">
        <v>576</v>
      </c>
      <c r="AG1069" s="167">
        <f t="shared" si="126"/>
        <v>14.6</v>
      </c>
    </row>
    <row r="1070" spans="6:33" ht="24" customHeight="1">
      <c r="H1070" s="162" t="s">
        <v>534</v>
      </c>
      <c r="M1070" s="167">
        <v>1</v>
      </c>
      <c r="N1070" s="165" t="s">
        <v>576</v>
      </c>
      <c r="O1070" s="154" t="s">
        <v>938</v>
      </c>
      <c r="P1070" s="285">
        <f t="shared" si="129"/>
        <v>158.19999999999999</v>
      </c>
      <c r="Q1070" s="154" t="s">
        <v>576</v>
      </c>
      <c r="R1070" s="167">
        <f t="shared" si="128"/>
        <v>158.19999999999999</v>
      </c>
      <c r="AB1070" s="167">
        <v>2</v>
      </c>
      <c r="AC1070" s="165" t="s">
        <v>576</v>
      </c>
      <c r="AD1070" s="154" t="s">
        <v>1814</v>
      </c>
      <c r="AE1070" s="285">
        <f t="shared" si="127"/>
        <v>50.4</v>
      </c>
      <c r="AF1070" s="154" t="s">
        <v>576</v>
      </c>
      <c r="AG1070" s="167">
        <f t="shared" si="126"/>
        <v>100.8</v>
      </c>
    </row>
    <row r="1071" spans="6:33" ht="24" customHeight="1">
      <c r="F1071" s="286">
        <v>6.6499999999999997E-3</v>
      </c>
      <c r="G1071" s="165" t="s">
        <v>421</v>
      </c>
      <c r="H1071" s="154" t="s">
        <v>1855</v>
      </c>
      <c r="I1071" s="167">
        <f>C89</f>
        <v>99400</v>
      </c>
      <c r="J1071" s="154" t="s">
        <v>577</v>
      </c>
      <c r="K1071" s="167">
        <f t="shared" ref="K1071:K1078" si="130">(F1071*I1071)</f>
        <v>661.01</v>
      </c>
      <c r="M1071" s="167">
        <v>1</v>
      </c>
      <c r="N1071" s="165" t="s">
        <v>576</v>
      </c>
      <c r="O1071" s="154" t="s">
        <v>939</v>
      </c>
      <c r="P1071" s="285">
        <f t="shared" si="129"/>
        <v>7.3</v>
      </c>
      <c r="Q1071" s="154" t="s">
        <v>576</v>
      </c>
      <c r="R1071" s="167">
        <f t="shared" si="128"/>
        <v>7.3</v>
      </c>
      <c r="AB1071" s="167">
        <v>2</v>
      </c>
      <c r="AC1071" s="165" t="s">
        <v>576</v>
      </c>
      <c r="AD1071" s="154" t="s">
        <v>941</v>
      </c>
      <c r="AE1071" s="285">
        <f t="shared" si="127"/>
        <v>43.8</v>
      </c>
      <c r="AF1071" s="154" t="s">
        <v>576</v>
      </c>
      <c r="AG1071" s="167">
        <f t="shared" si="126"/>
        <v>87.6</v>
      </c>
    </row>
    <row r="1072" spans="6:33" ht="24" customHeight="1">
      <c r="F1072" s="286">
        <v>0.32346000000000003</v>
      </c>
      <c r="G1072" s="165" t="s">
        <v>916</v>
      </c>
      <c r="H1072" s="154" t="s">
        <v>1856</v>
      </c>
      <c r="I1072" s="236">
        <v>208.8</v>
      </c>
      <c r="J1072" s="154" t="s">
        <v>577</v>
      </c>
      <c r="K1072" s="167">
        <f t="shared" si="130"/>
        <v>67.538448000000002</v>
      </c>
      <c r="M1072" s="167">
        <v>1</v>
      </c>
      <c r="N1072" s="165" t="s">
        <v>576</v>
      </c>
      <c r="O1072" s="154" t="s">
        <v>1814</v>
      </c>
      <c r="P1072" s="285">
        <f t="shared" si="129"/>
        <v>50.4</v>
      </c>
      <c r="Q1072" s="154" t="s">
        <v>576</v>
      </c>
      <c r="R1072" s="167">
        <f t="shared" si="128"/>
        <v>50.4</v>
      </c>
      <c r="AB1072" s="167">
        <v>118</v>
      </c>
      <c r="AC1072" s="165" t="s">
        <v>576</v>
      </c>
      <c r="AD1072" s="154" t="s">
        <v>1815</v>
      </c>
      <c r="AE1072" s="285">
        <f>I1063</f>
        <v>2.35</v>
      </c>
      <c r="AF1072" s="158"/>
      <c r="AG1072" s="167">
        <f t="shared" si="126"/>
        <v>277.3</v>
      </c>
    </row>
    <row r="1073" spans="6:33" ht="24" customHeight="1">
      <c r="F1073" s="286">
        <v>0.47660000000000002</v>
      </c>
      <c r="G1073" s="165" t="s">
        <v>916</v>
      </c>
      <c r="H1073" s="154" t="s">
        <v>935</v>
      </c>
      <c r="I1073" s="167">
        <f>D31</f>
        <v>1031.8000000000002</v>
      </c>
      <c r="J1073" s="154" t="s">
        <v>916</v>
      </c>
      <c r="K1073" s="167">
        <f t="shared" si="130"/>
        <v>491.7558800000001</v>
      </c>
      <c r="M1073" s="167">
        <v>1</v>
      </c>
      <c r="N1073" s="165" t="s">
        <v>576</v>
      </c>
      <c r="O1073" s="154" t="s">
        <v>941</v>
      </c>
      <c r="P1073" s="285">
        <f t="shared" si="129"/>
        <v>43.8</v>
      </c>
      <c r="Q1073" s="154" t="s">
        <v>576</v>
      </c>
      <c r="R1073" s="167">
        <f t="shared" si="128"/>
        <v>43.8</v>
      </c>
      <c r="AC1073" s="156"/>
      <c r="AD1073" s="155" t="s">
        <v>1857</v>
      </c>
      <c r="AF1073" s="158"/>
      <c r="AG1073" s="167">
        <f>SUM(AG1062:AG1072)</f>
        <v>8375.0790000000015</v>
      </c>
    </row>
    <row r="1074" spans="6:33" ht="24" customHeight="1">
      <c r="F1074" s="167">
        <v>3</v>
      </c>
      <c r="G1074" s="165" t="s">
        <v>576</v>
      </c>
      <c r="H1074" s="154" t="s">
        <v>1858</v>
      </c>
      <c r="I1074" s="167">
        <f>C282</f>
        <v>43.2</v>
      </c>
      <c r="J1074" s="154" t="s">
        <v>576</v>
      </c>
      <c r="K1074" s="167">
        <f t="shared" si="130"/>
        <v>129.60000000000002</v>
      </c>
      <c r="M1074" s="167">
        <v>58</v>
      </c>
      <c r="N1074" s="156"/>
      <c r="O1074" s="154" t="s">
        <v>1816</v>
      </c>
      <c r="P1074" s="285">
        <f>I1078</f>
        <v>2.35</v>
      </c>
      <c r="Q1074" s="158"/>
      <c r="R1074" s="167">
        <f t="shared" si="128"/>
        <v>136.30000000000001</v>
      </c>
      <c r="AC1074" s="165" t="s">
        <v>22</v>
      </c>
      <c r="AF1074" s="158"/>
      <c r="AG1074" s="162" t="s">
        <v>534</v>
      </c>
    </row>
    <row r="1075" spans="6:33" ht="24" customHeight="1">
      <c r="F1075" s="167">
        <v>2</v>
      </c>
      <c r="G1075" s="165" t="s">
        <v>576</v>
      </c>
      <c r="H1075" s="154" t="s">
        <v>1859</v>
      </c>
      <c r="I1075" s="167">
        <f>C285</f>
        <v>34.799999999999997</v>
      </c>
      <c r="J1075" s="154" t="s">
        <v>576</v>
      </c>
      <c r="K1075" s="167">
        <f t="shared" si="130"/>
        <v>69.599999999999994</v>
      </c>
      <c r="N1075" s="156"/>
      <c r="O1075" s="155" t="s">
        <v>1860</v>
      </c>
      <c r="Q1075" s="158"/>
      <c r="R1075" s="167">
        <f>SUM(R1064:R1074)</f>
        <v>5731.0729999999994</v>
      </c>
      <c r="AC1075" s="156"/>
      <c r="AD1075" s="169" t="s">
        <v>881</v>
      </c>
      <c r="AF1075" s="158"/>
      <c r="AG1075" s="166">
        <f>AG1073/AB1065</f>
        <v>3714.0039911308213</v>
      </c>
    </row>
    <row r="1076" spans="6:33" ht="24" customHeight="1">
      <c r="F1076" s="167">
        <v>1</v>
      </c>
      <c r="G1076" s="165" t="s">
        <v>576</v>
      </c>
      <c r="H1076" s="154" t="s">
        <v>1861</v>
      </c>
      <c r="I1076" s="274">
        <f>I1060</f>
        <v>7.3</v>
      </c>
      <c r="J1076" s="154" t="s">
        <v>576</v>
      </c>
      <c r="K1076" s="167">
        <f t="shared" si="130"/>
        <v>7.3</v>
      </c>
      <c r="N1076" s="165" t="s">
        <v>22</v>
      </c>
      <c r="Q1076" s="158"/>
      <c r="R1076" s="162" t="s">
        <v>534</v>
      </c>
      <c r="AC1076" s="156"/>
      <c r="AF1076" s="158"/>
      <c r="AG1076" s="162" t="s">
        <v>528</v>
      </c>
    </row>
    <row r="1077" spans="6:33" ht="24" customHeight="1">
      <c r="F1077" s="167">
        <v>1</v>
      </c>
      <c r="G1077" s="165" t="s">
        <v>576</v>
      </c>
      <c r="H1077" s="154" t="s">
        <v>1862</v>
      </c>
      <c r="I1077" s="167">
        <f>C292</f>
        <v>8.9</v>
      </c>
      <c r="J1077" s="154" t="s">
        <v>576</v>
      </c>
      <c r="K1077" s="167">
        <f t="shared" si="130"/>
        <v>8.9</v>
      </c>
      <c r="N1077" s="156"/>
      <c r="O1077" s="169" t="s">
        <v>881</v>
      </c>
      <c r="Q1077" s="158"/>
      <c r="R1077" s="166">
        <f>R1075/M1067</f>
        <v>3106.2726287262872</v>
      </c>
      <c r="AE1077" s="172">
        <f t="shared" ref="AE1077:AE1140" si="131">AG1077</f>
        <v>0</v>
      </c>
    </row>
    <row r="1078" spans="6:33" ht="24" customHeight="1">
      <c r="F1078" s="167">
        <v>24</v>
      </c>
      <c r="H1078" s="154" t="s">
        <v>1815</v>
      </c>
      <c r="I1078" s="76">
        <f>I1063</f>
        <v>2.35</v>
      </c>
      <c r="J1078" s="154" t="s">
        <v>576</v>
      </c>
      <c r="K1078" s="167">
        <f t="shared" si="130"/>
        <v>56.400000000000006</v>
      </c>
      <c r="N1078" s="156"/>
      <c r="Q1078" s="158"/>
      <c r="R1078" s="162" t="s">
        <v>528</v>
      </c>
      <c r="AE1078" s="172">
        <f t="shared" si="131"/>
        <v>0</v>
      </c>
    </row>
    <row r="1079" spans="6:33" ht="24" customHeight="1">
      <c r="H1079" s="155" t="s">
        <v>1863</v>
      </c>
      <c r="K1079" s="167">
        <f>SUM(K1071:K1078)</f>
        <v>1492.1043280000001</v>
      </c>
      <c r="AE1079" s="172">
        <f t="shared" si="131"/>
        <v>0</v>
      </c>
    </row>
    <row r="1080" spans="6:33" ht="24" customHeight="1">
      <c r="K1080" s="162" t="s">
        <v>534</v>
      </c>
      <c r="AE1080" s="172">
        <f t="shared" si="131"/>
        <v>0</v>
      </c>
    </row>
    <row r="1081" spans="6:33" ht="24" customHeight="1">
      <c r="H1081" s="169" t="s">
        <v>881</v>
      </c>
      <c r="I1081" s="154" t="s">
        <v>22</v>
      </c>
      <c r="K1081" s="166">
        <f>K1079/F1073</f>
        <v>3130.7266638690726</v>
      </c>
      <c r="AE1081" s="172">
        <f t="shared" si="131"/>
        <v>0</v>
      </c>
    </row>
    <row r="1082" spans="6:33" ht="24" customHeight="1">
      <c r="K1082" s="162" t="s">
        <v>528</v>
      </c>
      <c r="AE1082" s="172">
        <f t="shared" si="131"/>
        <v>0</v>
      </c>
    </row>
    <row r="1083" spans="6:33" ht="24" customHeight="1">
      <c r="F1083" s="155" t="s">
        <v>1864</v>
      </c>
      <c r="G1083" s="165" t="s">
        <v>307</v>
      </c>
      <c r="H1083" s="154" t="s">
        <v>1853</v>
      </c>
      <c r="AE1083" s="172">
        <f t="shared" si="131"/>
        <v>0</v>
      </c>
    </row>
    <row r="1084" spans="6:33" ht="24" customHeight="1">
      <c r="H1084" s="154" t="s">
        <v>1865</v>
      </c>
      <c r="N1084" s="154" t="s">
        <v>1779</v>
      </c>
      <c r="AE1084" s="172">
        <f t="shared" si="131"/>
        <v>0</v>
      </c>
    </row>
    <row r="1085" spans="6:33" ht="24" customHeight="1">
      <c r="H1085" s="162" t="s">
        <v>534</v>
      </c>
      <c r="N1085" s="154" t="s">
        <v>1774</v>
      </c>
      <c r="AE1085" s="172">
        <f t="shared" si="131"/>
        <v>0</v>
      </c>
    </row>
    <row r="1086" spans="6:33" ht="24" customHeight="1">
      <c r="F1086" s="286">
        <v>5.4000000000000003E-3</v>
      </c>
      <c r="G1086" s="165" t="s">
        <v>421</v>
      </c>
      <c r="H1086" s="154" t="s">
        <v>1855</v>
      </c>
      <c r="I1086" s="167">
        <f>C89</f>
        <v>99400</v>
      </c>
      <c r="J1086" s="154" t="s">
        <v>577</v>
      </c>
      <c r="K1086" s="167">
        <f t="shared" ref="K1086:K1093" si="132">(F1086*I1086)</f>
        <v>536.76</v>
      </c>
      <c r="N1086" s="154" t="s">
        <v>1866</v>
      </c>
      <c r="AE1086" s="172">
        <f t="shared" si="131"/>
        <v>0</v>
      </c>
    </row>
    <row r="1087" spans="6:33" ht="24" customHeight="1">
      <c r="F1087" s="286">
        <v>0.23871000000000001</v>
      </c>
      <c r="G1087" s="165" t="s">
        <v>916</v>
      </c>
      <c r="H1087" s="223" t="str">
        <f>H1072</f>
        <v>frosted glass 4mmthick</v>
      </c>
      <c r="I1087" s="274">
        <f>I1072</f>
        <v>208.8</v>
      </c>
      <c r="J1087" s="154" t="s">
        <v>577</v>
      </c>
      <c r="K1087" s="167">
        <f t="shared" si="132"/>
        <v>49.842648000000004</v>
      </c>
      <c r="AE1087" s="172">
        <f t="shared" si="131"/>
        <v>0</v>
      </c>
    </row>
    <row r="1088" spans="6:33" ht="24" customHeight="1">
      <c r="F1088" s="286">
        <v>0.36199999999999999</v>
      </c>
      <c r="G1088" s="165" t="s">
        <v>916</v>
      </c>
      <c r="H1088" s="154" t="s">
        <v>935</v>
      </c>
      <c r="I1088" s="167">
        <f>D31</f>
        <v>1031.8000000000002</v>
      </c>
      <c r="J1088" s="154" t="s">
        <v>916</v>
      </c>
      <c r="K1088" s="167">
        <f t="shared" si="132"/>
        <v>373.51160000000004</v>
      </c>
      <c r="AE1088" s="172">
        <f t="shared" si="131"/>
        <v>0</v>
      </c>
    </row>
    <row r="1089" spans="6:31" ht="24" customHeight="1">
      <c r="F1089" s="167">
        <v>3</v>
      </c>
      <c r="G1089" s="165" t="s">
        <v>576</v>
      </c>
      <c r="H1089" s="154" t="s">
        <v>1858</v>
      </c>
      <c r="I1089" s="167">
        <f>C282</f>
        <v>43.2</v>
      </c>
      <c r="J1089" s="154" t="s">
        <v>576</v>
      </c>
      <c r="K1089" s="167">
        <f t="shared" si="132"/>
        <v>129.60000000000002</v>
      </c>
      <c r="M1089" s="232">
        <v>2.2800000000000001E-2</v>
      </c>
      <c r="N1089" s="165" t="s">
        <v>577</v>
      </c>
      <c r="O1089" s="154" t="s">
        <v>1790</v>
      </c>
      <c r="P1089" s="167">
        <f>I1053</f>
        <v>111600</v>
      </c>
      <c r="Q1089" s="154" t="s">
        <v>577</v>
      </c>
      <c r="R1089" s="167">
        <f>P1089*M1089</f>
        <v>2544.48</v>
      </c>
      <c r="AE1089" s="172">
        <f t="shared" si="131"/>
        <v>0</v>
      </c>
    </row>
    <row r="1090" spans="6:31" ht="24" customHeight="1">
      <c r="F1090" s="167">
        <v>2</v>
      </c>
      <c r="G1090" s="165" t="s">
        <v>576</v>
      </c>
      <c r="H1090" s="154" t="s">
        <v>1859</v>
      </c>
      <c r="I1090" s="167">
        <f>C285</f>
        <v>34.799999999999997</v>
      </c>
      <c r="J1090" s="154" t="s">
        <v>576</v>
      </c>
      <c r="K1090" s="167">
        <f t="shared" si="132"/>
        <v>69.599999999999994</v>
      </c>
      <c r="M1090" s="232">
        <v>4.2999999999999997E-2</v>
      </c>
      <c r="N1090" s="165" t="s">
        <v>577</v>
      </c>
      <c r="O1090" s="154" t="s">
        <v>1792</v>
      </c>
      <c r="P1090" s="167">
        <f>I1054</f>
        <v>99400</v>
      </c>
      <c r="Q1090" s="154" t="s">
        <v>577</v>
      </c>
      <c r="R1090" s="167">
        <f t="shared" ref="R1090:R1100" si="133">P1090*M1090</f>
        <v>4274.2</v>
      </c>
      <c r="AE1090" s="172">
        <f t="shared" si="131"/>
        <v>0</v>
      </c>
    </row>
    <row r="1091" spans="6:31" ht="24" customHeight="1">
      <c r="F1091" s="167">
        <v>1</v>
      </c>
      <c r="G1091" s="165" t="s">
        <v>576</v>
      </c>
      <c r="H1091" s="154" t="s">
        <v>1861</v>
      </c>
      <c r="I1091" s="274">
        <f>I1076</f>
        <v>7.3</v>
      </c>
      <c r="J1091" s="154" t="s">
        <v>576</v>
      </c>
      <c r="K1091" s="167">
        <f t="shared" si="132"/>
        <v>7.3</v>
      </c>
      <c r="M1091" s="232">
        <v>4.0800000000000003E-2</v>
      </c>
      <c r="N1091" s="165" t="s">
        <v>577</v>
      </c>
      <c r="O1091" s="154" t="s">
        <v>1794</v>
      </c>
      <c r="P1091" s="167">
        <f>I1017</f>
        <v>95000</v>
      </c>
      <c r="Q1091" s="154" t="s">
        <v>577</v>
      </c>
      <c r="R1091" s="167">
        <f t="shared" si="133"/>
        <v>3876.0000000000005</v>
      </c>
      <c r="AE1091" s="172">
        <f t="shared" si="131"/>
        <v>0</v>
      </c>
    </row>
    <row r="1092" spans="6:31" ht="24" customHeight="1">
      <c r="F1092" s="167">
        <v>1</v>
      </c>
      <c r="G1092" s="165" t="s">
        <v>576</v>
      </c>
      <c r="H1092" s="154" t="s">
        <v>1862</v>
      </c>
      <c r="I1092" s="167">
        <f>C292</f>
        <v>8.9</v>
      </c>
      <c r="J1092" s="154" t="s">
        <v>576</v>
      </c>
      <c r="K1092" s="167">
        <f t="shared" si="132"/>
        <v>8.9</v>
      </c>
      <c r="M1092" s="232"/>
      <c r="N1092" s="156"/>
      <c r="O1092" s="154" t="s">
        <v>1867</v>
      </c>
      <c r="P1092" s="167"/>
      <c r="Q1092" s="158"/>
      <c r="R1092" s="167">
        <f t="shared" si="133"/>
        <v>0</v>
      </c>
      <c r="AE1092" s="172">
        <f t="shared" si="131"/>
        <v>0</v>
      </c>
    </row>
    <row r="1093" spans="6:31" ht="24" customHeight="1">
      <c r="F1093" s="167">
        <v>10</v>
      </c>
      <c r="H1093" s="154" t="s">
        <v>1815</v>
      </c>
      <c r="I1093" s="167">
        <f>I1078</f>
        <v>2.35</v>
      </c>
      <c r="J1093" s="154" t="s">
        <v>576</v>
      </c>
      <c r="K1093" s="167">
        <f t="shared" si="132"/>
        <v>23.5</v>
      </c>
      <c r="M1093" s="232">
        <v>3.4424999999999999</v>
      </c>
      <c r="N1093" s="165" t="s">
        <v>916</v>
      </c>
      <c r="O1093" s="154" t="s">
        <v>1787</v>
      </c>
      <c r="P1093" s="167">
        <f>I1019</f>
        <v>1105.5</v>
      </c>
      <c r="Q1093" s="154" t="s">
        <v>916</v>
      </c>
      <c r="R1093" s="167">
        <f t="shared" si="133"/>
        <v>3805.6837499999997</v>
      </c>
      <c r="AE1093" s="172">
        <f t="shared" si="131"/>
        <v>0</v>
      </c>
    </row>
    <row r="1094" spans="6:31" ht="24" customHeight="1">
      <c r="K1094" s="162" t="s">
        <v>534</v>
      </c>
      <c r="M1094" s="167">
        <v>2</v>
      </c>
      <c r="N1094" s="165" t="s">
        <v>680</v>
      </c>
      <c r="O1094" s="154" t="s">
        <v>1797</v>
      </c>
      <c r="P1094" s="167">
        <f t="shared" ref="P1094:P1099" si="134">I1020</f>
        <v>50.4</v>
      </c>
      <c r="Q1094" s="154" t="s">
        <v>576</v>
      </c>
      <c r="R1094" s="167">
        <f t="shared" si="133"/>
        <v>100.8</v>
      </c>
      <c r="AE1094" s="172">
        <f t="shared" si="131"/>
        <v>0</v>
      </c>
    </row>
    <row r="1095" spans="6:31" ht="24" customHeight="1">
      <c r="H1095" s="155" t="s">
        <v>1868</v>
      </c>
      <c r="K1095" s="167">
        <f>SUM(K1082:K1093)</f>
        <v>1199.0142480000002</v>
      </c>
      <c r="M1095" s="167">
        <v>6</v>
      </c>
      <c r="N1095" s="165" t="s">
        <v>576</v>
      </c>
      <c r="O1095" s="154" t="s">
        <v>1789</v>
      </c>
      <c r="P1095" s="167">
        <f t="shared" si="134"/>
        <v>78.400000000000006</v>
      </c>
      <c r="Q1095" s="154" t="s">
        <v>576</v>
      </c>
      <c r="R1095" s="167">
        <f t="shared" si="133"/>
        <v>470.40000000000003</v>
      </c>
      <c r="AE1095" s="172">
        <f t="shared" si="131"/>
        <v>0</v>
      </c>
    </row>
    <row r="1096" spans="6:31" ht="24" customHeight="1">
      <c r="K1096" s="162" t="s">
        <v>534</v>
      </c>
      <c r="M1096" s="167">
        <v>4</v>
      </c>
      <c r="N1096" s="165" t="s">
        <v>576</v>
      </c>
      <c r="O1096" s="154" t="s">
        <v>1791</v>
      </c>
      <c r="P1096" s="167">
        <f t="shared" si="134"/>
        <v>56.7</v>
      </c>
      <c r="Q1096" s="154" t="s">
        <v>576</v>
      </c>
      <c r="R1096" s="167">
        <f t="shared" si="133"/>
        <v>226.8</v>
      </c>
      <c r="AE1096" s="172">
        <f t="shared" si="131"/>
        <v>0</v>
      </c>
    </row>
    <row r="1097" spans="6:31" ht="24" customHeight="1">
      <c r="H1097" s="169" t="s">
        <v>881</v>
      </c>
      <c r="I1097" s="154" t="s">
        <v>22</v>
      </c>
      <c r="K1097" s="166">
        <f>K1095/F1088</f>
        <v>3312.1940552486194</v>
      </c>
      <c r="M1097" s="167">
        <v>1</v>
      </c>
      <c r="N1097" s="165" t="s">
        <v>576</v>
      </c>
      <c r="O1097" s="154" t="s">
        <v>1793</v>
      </c>
      <c r="P1097" s="167">
        <f t="shared" si="134"/>
        <v>158.19999999999999</v>
      </c>
      <c r="Q1097" s="154" t="s">
        <v>576</v>
      </c>
      <c r="R1097" s="167">
        <f t="shared" si="133"/>
        <v>158.19999999999999</v>
      </c>
      <c r="AE1097" s="172">
        <f t="shared" si="131"/>
        <v>0</v>
      </c>
    </row>
    <row r="1098" spans="6:31" ht="24" customHeight="1">
      <c r="K1098" s="162" t="s">
        <v>528</v>
      </c>
      <c r="M1098" s="167">
        <v>2</v>
      </c>
      <c r="N1098" s="165" t="s">
        <v>576</v>
      </c>
      <c r="O1098" s="154" t="s">
        <v>1795</v>
      </c>
      <c r="P1098" s="167">
        <f t="shared" si="134"/>
        <v>7.3</v>
      </c>
      <c r="Q1098" s="154" t="s">
        <v>576</v>
      </c>
      <c r="R1098" s="167">
        <f t="shared" si="133"/>
        <v>14.6</v>
      </c>
      <c r="AE1098" s="172">
        <f t="shared" si="131"/>
        <v>0</v>
      </c>
    </row>
    <row r="1099" spans="6:31" ht="24" customHeight="1">
      <c r="F1099" s="155" t="s">
        <v>1869</v>
      </c>
      <c r="G1099" s="165" t="s">
        <v>307</v>
      </c>
      <c r="H1099" s="154" t="s">
        <v>1870</v>
      </c>
      <c r="M1099" s="167">
        <v>2</v>
      </c>
      <c r="N1099" s="165" t="s">
        <v>576</v>
      </c>
      <c r="O1099" s="154" t="s">
        <v>941</v>
      </c>
      <c r="P1099" s="167">
        <f t="shared" si="134"/>
        <v>43.8</v>
      </c>
      <c r="Q1099" s="154" t="s">
        <v>576</v>
      </c>
      <c r="R1099" s="167">
        <f t="shared" si="133"/>
        <v>87.6</v>
      </c>
      <c r="AE1099" s="172">
        <f t="shared" si="131"/>
        <v>0</v>
      </c>
    </row>
    <row r="1100" spans="6:31" ht="24" customHeight="1">
      <c r="H1100" s="154" t="s">
        <v>1871</v>
      </c>
      <c r="M1100" s="167">
        <v>10</v>
      </c>
      <c r="N1100" s="156"/>
      <c r="O1100" s="154" t="s">
        <v>1816</v>
      </c>
      <c r="P1100" s="167">
        <f>P1074</f>
        <v>2.35</v>
      </c>
      <c r="Q1100" s="158"/>
      <c r="R1100" s="167">
        <f t="shared" si="133"/>
        <v>23.5</v>
      </c>
      <c r="AE1100" s="172">
        <f t="shared" si="131"/>
        <v>0</v>
      </c>
    </row>
    <row r="1101" spans="6:31" ht="24" customHeight="1">
      <c r="H1101" s="162" t="s">
        <v>534</v>
      </c>
      <c r="N1101" s="156"/>
      <c r="O1101" s="154" t="s">
        <v>1817</v>
      </c>
      <c r="Q1101" s="158"/>
      <c r="R1101" s="167">
        <f>SUM(R1089:R1100)+0.31</f>
        <v>15582.57375</v>
      </c>
      <c r="AE1101" s="172">
        <f t="shared" si="131"/>
        <v>0</v>
      </c>
    </row>
    <row r="1102" spans="6:31" ht="24" customHeight="1">
      <c r="F1102" s="286">
        <v>5.3E-3</v>
      </c>
      <c r="G1102" s="165" t="s">
        <v>421</v>
      </c>
      <c r="H1102" s="154" t="s">
        <v>1855</v>
      </c>
      <c r="I1102" s="167">
        <f>C89</f>
        <v>99400</v>
      </c>
      <c r="J1102" s="154" t="s">
        <v>577</v>
      </c>
      <c r="K1102" s="167">
        <f t="shared" ref="K1102:K1108" si="135">(F1102*I1102)</f>
        <v>526.82000000000005</v>
      </c>
      <c r="N1102" s="156"/>
      <c r="Q1102" s="158"/>
      <c r="R1102" s="162" t="s">
        <v>534</v>
      </c>
      <c r="AE1102" s="172"/>
    </row>
    <row r="1103" spans="6:31" ht="24" customHeight="1">
      <c r="F1103" s="286">
        <v>0.27450000000000002</v>
      </c>
      <c r="G1103" s="165" t="s">
        <v>916</v>
      </c>
      <c r="H1103" s="154" t="str">
        <f>H1087</f>
        <v>frosted glass 4mmthick</v>
      </c>
      <c r="I1103" s="195">
        <f>I1072</f>
        <v>208.8</v>
      </c>
      <c r="J1103" s="154" t="s">
        <v>577</v>
      </c>
      <c r="K1103" s="167">
        <f t="shared" si="135"/>
        <v>57.315600000000011</v>
      </c>
      <c r="N1103" s="156"/>
      <c r="O1103" s="169" t="s">
        <v>881</v>
      </c>
      <c r="Q1103" s="158"/>
      <c r="R1103" s="166">
        <f>R1101/M1093</f>
        <v>4526.5283224400873</v>
      </c>
      <c r="AE1103" s="172">
        <f t="shared" si="131"/>
        <v>0</v>
      </c>
    </row>
    <row r="1104" spans="6:31" ht="24" customHeight="1">
      <c r="F1104" s="286">
        <v>0.4</v>
      </c>
      <c r="G1104" s="165" t="s">
        <v>916</v>
      </c>
      <c r="H1104" s="154" t="s">
        <v>935</v>
      </c>
      <c r="I1104" s="167">
        <f>D32</f>
        <v>862.40000000000009</v>
      </c>
      <c r="J1104" s="154" t="s">
        <v>916</v>
      </c>
      <c r="K1104" s="167">
        <f t="shared" si="135"/>
        <v>344.96000000000004</v>
      </c>
      <c r="N1104" s="156"/>
      <c r="Q1104" s="158"/>
      <c r="R1104" s="162" t="s">
        <v>528</v>
      </c>
      <c r="AE1104" s="172">
        <f t="shared" si="131"/>
        <v>0</v>
      </c>
    </row>
    <row r="1105" spans="6:31" ht="24" customHeight="1">
      <c r="F1105" s="167">
        <v>2</v>
      </c>
      <c r="G1105" s="165" t="s">
        <v>1872</v>
      </c>
      <c r="H1105" s="154" t="s">
        <v>1873</v>
      </c>
      <c r="I1105" s="167">
        <f>C305</f>
        <v>8.5</v>
      </c>
      <c r="J1105" s="154" t="s">
        <v>1872</v>
      </c>
      <c r="K1105" s="167">
        <f t="shared" si="135"/>
        <v>17</v>
      </c>
      <c r="AE1105" s="172">
        <f t="shared" si="131"/>
        <v>0</v>
      </c>
    </row>
    <row r="1106" spans="6:31" ht="24" customHeight="1">
      <c r="F1106" s="167">
        <v>1</v>
      </c>
      <c r="G1106" s="165" t="s">
        <v>576</v>
      </c>
      <c r="H1106" s="154" t="s">
        <v>1874</v>
      </c>
      <c r="I1106" s="167">
        <f>C293</f>
        <v>6.1</v>
      </c>
      <c r="J1106" s="154" t="s">
        <v>576</v>
      </c>
      <c r="K1106" s="167">
        <f t="shared" si="135"/>
        <v>6.1</v>
      </c>
      <c r="AE1106" s="172">
        <f t="shared" si="131"/>
        <v>0</v>
      </c>
    </row>
    <row r="1107" spans="6:31" ht="24" customHeight="1">
      <c r="F1107" s="167">
        <v>1</v>
      </c>
      <c r="G1107" s="165" t="s">
        <v>576</v>
      </c>
      <c r="H1107" s="154" t="s">
        <v>1875</v>
      </c>
      <c r="I1107" s="195">
        <f>C291</f>
        <v>11.8</v>
      </c>
      <c r="J1107" s="154" t="s">
        <v>576</v>
      </c>
      <c r="K1107" s="167">
        <f t="shared" si="135"/>
        <v>11.8</v>
      </c>
      <c r="O1107" s="154" t="s">
        <v>432</v>
      </c>
      <c r="AE1107" s="172">
        <f t="shared" si="131"/>
        <v>0</v>
      </c>
    </row>
    <row r="1108" spans="6:31" ht="24" customHeight="1">
      <c r="F1108" s="167">
        <v>10</v>
      </c>
      <c r="H1108" s="154" t="s">
        <v>1815</v>
      </c>
      <c r="I1108" s="167">
        <f>I1093</f>
        <v>2.35</v>
      </c>
      <c r="J1108" s="154" t="s">
        <v>576</v>
      </c>
      <c r="K1108" s="167">
        <f t="shared" si="135"/>
        <v>23.5</v>
      </c>
      <c r="AE1108" s="172">
        <f t="shared" si="131"/>
        <v>0</v>
      </c>
    </row>
    <row r="1109" spans="6:31" ht="24" customHeight="1">
      <c r="K1109" s="162" t="s">
        <v>534</v>
      </c>
      <c r="AE1109" s="172">
        <f t="shared" si="131"/>
        <v>0</v>
      </c>
    </row>
    <row r="1110" spans="6:31" ht="24" customHeight="1">
      <c r="H1110" s="155" t="s">
        <v>1876</v>
      </c>
      <c r="K1110" s="167">
        <f>SUM(K1098:K1108)</f>
        <v>987.49560000000008</v>
      </c>
      <c r="AE1110" s="172">
        <f t="shared" si="131"/>
        <v>0</v>
      </c>
    </row>
    <row r="1111" spans="6:31" ht="24" customHeight="1">
      <c r="K1111" s="162" t="s">
        <v>534</v>
      </c>
      <c r="M1111" s="294">
        <v>2.2800000000000001E-2</v>
      </c>
      <c r="N1111" s="295" t="s">
        <v>577</v>
      </c>
      <c r="O1111" s="264" t="s">
        <v>1877</v>
      </c>
      <c r="P1111" s="264">
        <f>P1089</f>
        <v>111600</v>
      </c>
      <c r="Q1111" s="296" t="s">
        <v>577</v>
      </c>
      <c r="R1111" s="264">
        <f>P1111*M1111</f>
        <v>2544.48</v>
      </c>
      <c r="AE1111" s="172">
        <f t="shared" si="131"/>
        <v>0</v>
      </c>
    </row>
    <row r="1112" spans="6:31" ht="24" customHeight="1">
      <c r="H1112" s="169" t="s">
        <v>881</v>
      </c>
      <c r="I1112" s="154" t="s">
        <v>22</v>
      </c>
      <c r="K1112" s="166">
        <f>K1110/F1104</f>
        <v>2468.739</v>
      </c>
      <c r="M1112" s="294">
        <v>3.5400000000000001E-2</v>
      </c>
      <c r="N1112" s="295" t="s">
        <v>577</v>
      </c>
      <c r="O1112" s="264" t="s">
        <v>1878</v>
      </c>
      <c r="P1112" s="264">
        <f>P1090</f>
        <v>99400</v>
      </c>
      <c r="Q1112" s="296" t="s">
        <v>577</v>
      </c>
      <c r="R1112" s="264">
        <f t="shared" ref="R1112:R1121" si="136">P1112*M1112</f>
        <v>3518.76</v>
      </c>
      <c r="AE1112" s="172">
        <f t="shared" si="131"/>
        <v>0</v>
      </c>
    </row>
    <row r="1113" spans="6:31" ht="24" customHeight="1">
      <c r="F1113" s="154" t="s">
        <v>22</v>
      </c>
      <c r="M1113" s="297">
        <v>3.2300000000000002E-2</v>
      </c>
      <c r="N1113" s="295" t="s">
        <v>577</v>
      </c>
      <c r="O1113" s="264" t="s">
        <v>1879</v>
      </c>
      <c r="P1113" s="264">
        <f>P1091</f>
        <v>95000</v>
      </c>
      <c r="Q1113" s="296" t="s">
        <v>577</v>
      </c>
      <c r="R1113" s="264">
        <f t="shared" si="136"/>
        <v>3068.5</v>
      </c>
      <c r="AE1113" s="172">
        <f t="shared" si="131"/>
        <v>0</v>
      </c>
    </row>
    <row r="1114" spans="6:31" ht="24" customHeight="1">
      <c r="K1114" s="162" t="s">
        <v>528</v>
      </c>
      <c r="M1114" s="298">
        <v>2.835</v>
      </c>
      <c r="N1114" s="295" t="s">
        <v>916</v>
      </c>
      <c r="O1114" s="264" t="s">
        <v>1880</v>
      </c>
      <c r="P1114" s="264">
        <f t="shared" ref="P1114:P1120" si="137">P1093</f>
        <v>1105.5</v>
      </c>
      <c r="Q1114" s="296" t="s">
        <v>916</v>
      </c>
      <c r="R1114" s="264">
        <f t="shared" si="136"/>
        <v>3134.0924999999997</v>
      </c>
      <c r="AE1114" s="172">
        <f t="shared" si="131"/>
        <v>0</v>
      </c>
    </row>
    <row r="1115" spans="6:31" ht="24" customHeight="1">
      <c r="F1115" s="200">
        <v>22.3</v>
      </c>
      <c r="H1115" s="154" t="s">
        <v>1881</v>
      </c>
      <c r="L1115" s="154" t="s">
        <v>22</v>
      </c>
      <c r="M1115" s="264">
        <v>2</v>
      </c>
      <c r="N1115" s="295" t="s">
        <v>1882</v>
      </c>
      <c r="O1115" s="264" t="s">
        <v>1883</v>
      </c>
      <c r="P1115" s="264">
        <f t="shared" si="137"/>
        <v>50.4</v>
      </c>
      <c r="Q1115" s="296" t="s">
        <v>332</v>
      </c>
      <c r="R1115" s="264">
        <f t="shared" si="136"/>
        <v>100.8</v>
      </c>
      <c r="AE1115" s="172">
        <f t="shared" si="131"/>
        <v>0</v>
      </c>
    </row>
    <row r="1116" spans="6:31" ht="24" customHeight="1">
      <c r="H1116" s="162" t="s">
        <v>534</v>
      </c>
      <c r="I1116" s="162" t="s">
        <v>534</v>
      </c>
      <c r="J1116" s="154" t="s">
        <v>534</v>
      </c>
      <c r="M1116" s="264">
        <v>6</v>
      </c>
      <c r="N1116" s="295" t="s">
        <v>1882</v>
      </c>
      <c r="O1116" s="264" t="s">
        <v>1884</v>
      </c>
      <c r="P1116" s="264">
        <f t="shared" si="137"/>
        <v>78.400000000000006</v>
      </c>
      <c r="Q1116" s="296" t="s">
        <v>332</v>
      </c>
      <c r="R1116" s="264">
        <f t="shared" si="136"/>
        <v>470.40000000000003</v>
      </c>
      <c r="AE1116" s="172">
        <f t="shared" si="131"/>
        <v>0</v>
      </c>
    </row>
    <row r="1117" spans="6:31" ht="24" customHeight="1">
      <c r="M1117" s="264">
        <v>4</v>
      </c>
      <c r="N1117" s="295" t="s">
        <v>1882</v>
      </c>
      <c r="O1117" s="264" t="s">
        <v>1885</v>
      </c>
      <c r="P1117" s="264">
        <f t="shared" si="137"/>
        <v>56.7</v>
      </c>
      <c r="Q1117" s="296" t="s">
        <v>332</v>
      </c>
      <c r="R1117" s="264">
        <f t="shared" si="136"/>
        <v>226.8</v>
      </c>
      <c r="AE1117" s="172"/>
    </row>
    <row r="1118" spans="6:31" ht="24" customHeight="1">
      <c r="H1118" s="154" t="s">
        <v>1886</v>
      </c>
      <c r="M1118" s="264">
        <v>1</v>
      </c>
      <c r="N1118" s="295" t="s">
        <v>1882</v>
      </c>
      <c r="O1118" s="264" t="s">
        <v>1887</v>
      </c>
      <c r="P1118" s="264">
        <f t="shared" si="137"/>
        <v>158.19999999999999</v>
      </c>
      <c r="Q1118" s="296" t="s">
        <v>332</v>
      </c>
      <c r="R1118" s="264">
        <f t="shared" si="136"/>
        <v>158.19999999999999</v>
      </c>
      <c r="AE1118" s="172">
        <f t="shared" si="131"/>
        <v>0</v>
      </c>
    </row>
    <row r="1119" spans="6:31" ht="24" customHeight="1">
      <c r="H1119" s="154" t="s">
        <v>1888</v>
      </c>
      <c r="M1119" s="264">
        <v>2</v>
      </c>
      <c r="N1119" s="295" t="s">
        <v>1882</v>
      </c>
      <c r="O1119" s="264" t="s">
        <v>939</v>
      </c>
      <c r="P1119" s="264">
        <f t="shared" si="137"/>
        <v>7.3</v>
      </c>
      <c r="Q1119" s="296" t="s">
        <v>332</v>
      </c>
      <c r="R1119" s="264">
        <f t="shared" si="136"/>
        <v>14.6</v>
      </c>
      <c r="AE1119" s="172">
        <f t="shared" si="131"/>
        <v>0</v>
      </c>
    </row>
    <row r="1120" spans="6:31" ht="24" customHeight="1">
      <c r="H1120" s="154" t="s">
        <v>1889</v>
      </c>
      <c r="M1120" s="264">
        <v>2</v>
      </c>
      <c r="N1120" s="295" t="s">
        <v>1882</v>
      </c>
      <c r="O1120" s="264" t="s">
        <v>941</v>
      </c>
      <c r="P1120" s="264">
        <f t="shared" si="137"/>
        <v>43.8</v>
      </c>
      <c r="Q1120" s="296" t="s">
        <v>332</v>
      </c>
      <c r="R1120" s="264">
        <f t="shared" si="136"/>
        <v>87.6</v>
      </c>
      <c r="AE1120" s="172">
        <f t="shared" si="131"/>
        <v>0</v>
      </c>
    </row>
    <row r="1121" spans="6:62" ht="24" customHeight="1">
      <c r="H1121" s="154" t="s">
        <v>1890</v>
      </c>
      <c r="M1121" s="167">
        <v>118</v>
      </c>
      <c r="N1121" s="156"/>
      <c r="O1121" s="154" t="s">
        <v>1816</v>
      </c>
      <c r="P1121" s="167">
        <f>P1100</f>
        <v>2.35</v>
      </c>
      <c r="Q1121" s="158"/>
      <c r="R1121" s="167">
        <f t="shared" si="136"/>
        <v>277.3</v>
      </c>
      <c r="AE1121" s="172">
        <f t="shared" si="131"/>
        <v>0</v>
      </c>
    </row>
    <row r="1122" spans="6:62" ht="24" customHeight="1">
      <c r="H1122" s="154" t="s">
        <v>1891</v>
      </c>
      <c r="M1122" s="264"/>
      <c r="N1122" s="227"/>
      <c r="O1122" s="199" t="s">
        <v>881</v>
      </c>
      <c r="P1122" s="264"/>
      <c r="Q1122" s="296"/>
      <c r="R1122" s="199">
        <f>SUM(R1111:R1121)</f>
        <v>13601.532499999999</v>
      </c>
      <c r="AE1122" s="172">
        <f t="shared" si="131"/>
        <v>0</v>
      </c>
    </row>
    <row r="1123" spans="6:62" ht="24" customHeight="1">
      <c r="J1123" s="154" t="s">
        <v>22</v>
      </c>
      <c r="K1123" s="232">
        <v>3.32E-2</v>
      </c>
      <c r="M1123" s="264"/>
      <c r="N1123" s="227"/>
      <c r="O1123" s="199"/>
      <c r="P1123" s="264"/>
      <c r="Q1123" s="296"/>
      <c r="R1123" s="299" t="s">
        <v>1892</v>
      </c>
      <c r="AE1123" s="172">
        <f t="shared" si="131"/>
        <v>0</v>
      </c>
      <c r="BJ1123" s="76" t="s">
        <v>1893</v>
      </c>
    </row>
    <row r="1124" spans="6:62" ht="24" customHeight="1">
      <c r="H1124" s="154" t="s">
        <v>1894</v>
      </c>
      <c r="J1124" s="281" t="s">
        <v>22</v>
      </c>
      <c r="K1124" s="281" t="s">
        <v>22</v>
      </c>
      <c r="M1124" s="264"/>
      <c r="N1124" s="227"/>
      <c r="O1124" s="199" t="s">
        <v>1895</v>
      </c>
      <c r="P1124" s="264"/>
      <c r="Q1124" s="296"/>
      <c r="R1124" s="199">
        <f>R1122/2.835</f>
        <v>4797.7186948853614</v>
      </c>
      <c r="AE1124" s="172">
        <f t="shared" si="131"/>
        <v>0</v>
      </c>
    </row>
    <row r="1125" spans="6:62" ht="24" customHeight="1">
      <c r="H1125" s="154" t="s">
        <v>1896</v>
      </c>
      <c r="K1125" s="281" t="s">
        <v>22</v>
      </c>
      <c r="M1125" s="264"/>
      <c r="N1125" s="227"/>
      <c r="Q1125" s="158"/>
      <c r="R1125" s="202" t="s">
        <v>1892</v>
      </c>
      <c r="AE1125" s="172">
        <f t="shared" si="131"/>
        <v>0</v>
      </c>
    </row>
    <row r="1126" spans="6:62" ht="24" customHeight="1">
      <c r="AE1126" s="172">
        <f t="shared" si="131"/>
        <v>0</v>
      </c>
    </row>
    <row r="1127" spans="6:62" ht="24" customHeight="1">
      <c r="F1127" s="286">
        <v>1.18E-2</v>
      </c>
      <c r="G1127" s="165" t="s">
        <v>577</v>
      </c>
      <c r="H1127" s="154" t="s">
        <v>932</v>
      </c>
      <c r="I1127" s="167">
        <f>C88</f>
        <v>111600</v>
      </c>
      <c r="J1127" s="154" t="s">
        <v>577</v>
      </c>
      <c r="K1127" s="167">
        <f t="shared" ref="K1127:K1136" si="138">(F1127*I1127)</f>
        <v>1316.8799999999999</v>
      </c>
      <c r="AE1127" s="172">
        <f t="shared" si="131"/>
        <v>0</v>
      </c>
    </row>
    <row r="1128" spans="6:62" ht="24" customHeight="1">
      <c r="F1128" s="286">
        <v>3.32E-2</v>
      </c>
      <c r="G1128" s="165" t="s">
        <v>577</v>
      </c>
      <c r="H1128" s="154" t="s">
        <v>933</v>
      </c>
      <c r="I1128" s="167">
        <f>C89</f>
        <v>99400</v>
      </c>
      <c r="J1128" s="154" t="s">
        <v>577</v>
      </c>
      <c r="K1128" s="167">
        <f t="shared" si="138"/>
        <v>3300.08</v>
      </c>
      <c r="AE1128" s="172">
        <f t="shared" si="131"/>
        <v>0</v>
      </c>
    </row>
    <row r="1129" spans="6:62" ht="24" customHeight="1">
      <c r="F1129" s="286">
        <v>1.8550000000000001E-2</v>
      </c>
      <c r="G1129" s="165" t="s">
        <v>577</v>
      </c>
      <c r="H1129" s="154" t="s">
        <v>1897</v>
      </c>
      <c r="I1129" s="167">
        <f>C30</f>
        <v>9828.5</v>
      </c>
      <c r="J1129" s="154" t="s">
        <v>577</v>
      </c>
      <c r="K1129" s="167">
        <f t="shared" si="138"/>
        <v>182.31867500000001</v>
      </c>
      <c r="AE1129" s="172">
        <f t="shared" si="131"/>
        <v>0</v>
      </c>
    </row>
    <row r="1130" spans="6:62" ht="24" customHeight="1">
      <c r="F1130" s="286">
        <v>1.46</v>
      </c>
      <c r="G1130" s="165" t="s">
        <v>916</v>
      </c>
      <c r="H1130" s="154" t="s">
        <v>1898</v>
      </c>
      <c r="I1130" s="300">
        <v>269.10000000000002</v>
      </c>
      <c r="J1130" s="154" t="s">
        <v>916</v>
      </c>
      <c r="K1130" s="167">
        <f t="shared" si="138"/>
        <v>392.88600000000002</v>
      </c>
      <c r="AE1130" s="172">
        <f t="shared" si="131"/>
        <v>0</v>
      </c>
    </row>
    <row r="1131" spans="6:62" ht="24" customHeight="1">
      <c r="F1131" s="286">
        <v>2.0499999999999998</v>
      </c>
      <c r="G1131" s="165" t="s">
        <v>916</v>
      </c>
      <c r="H1131" s="154" t="s">
        <v>1899</v>
      </c>
      <c r="I1131" s="167">
        <f>D30</f>
        <v>921.80000000000007</v>
      </c>
      <c r="J1131" s="154" t="s">
        <v>916</v>
      </c>
      <c r="K1131" s="167">
        <f t="shared" si="138"/>
        <v>1889.69</v>
      </c>
      <c r="AE1131" s="172">
        <f t="shared" si="131"/>
        <v>0</v>
      </c>
    </row>
    <row r="1132" spans="6:62" ht="24" customHeight="1">
      <c r="F1132" s="167">
        <v>2</v>
      </c>
      <c r="G1132" s="165" t="s">
        <v>576</v>
      </c>
      <c r="H1132" s="154" t="s">
        <v>1900</v>
      </c>
      <c r="I1132" s="173">
        <f>C285</f>
        <v>34.799999999999997</v>
      </c>
      <c r="J1132" s="154" t="s">
        <v>576</v>
      </c>
      <c r="K1132" s="167">
        <f t="shared" si="138"/>
        <v>69.599999999999994</v>
      </c>
      <c r="AE1132" s="172">
        <f t="shared" si="131"/>
        <v>0</v>
      </c>
    </row>
    <row r="1133" spans="6:62" ht="24" customHeight="1">
      <c r="F1133" s="167">
        <v>6</v>
      </c>
      <c r="G1133" s="165" t="s">
        <v>576</v>
      </c>
      <c r="H1133" s="154" t="s">
        <v>1858</v>
      </c>
      <c r="I1133" s="167">
        <f>C282</f>
        <v>43.2</v>
      </c>
      <c r="J1133" s="154" t="s">
        <v>576</v>
      </c>
      <c r="K1133" s="167">
        <f t="shared" si="138"/>
        <v>259.20000000000005</v>
      </c>
      <c r="AE1133" s="172">
        <f t="shared" si="131"/>
        <v>0</v>
      </c>
    </row>
    <row r="1134" spans="6:62" ht="24" customHeight="1">
      <c r="F1134" s="167">
        <v>2</v>
      </c>
      <c r="G1134" s="165" t="s">
        <v>576</v>
      </c>
      <c r="H1134" s="154" t="s">
        <v>1901</v>
      </c>
      <c r="I1134" s="174">
        <v>53.3</v>
      </c>
      <c r="J1134" s="154" t="s">
        <v>576</v>
      </c>
      <c r="K1134" s="167">
        <f t="shared" si="138"/>
        <v>106.6</v>
      </c>
      <c r="AE1134" s="172">
        <f t="shared" si="131"/>
        <v>0</v>
      </c>
    </row>
    <row r="1135" spans="6:62" ht="24" customHeight="1">
      <c r="F1135" s="167">
        <v>1</v>
      </c>
      <c r="G1135" s="165" t="s">
        <v>576</v>
      </c>
      <c r="H1135" s="258" t="s">
        <v>1902</v>
      </c>
      <c r="I1135" s="258">
        <v>63.2</v>
      </c>
      <c r="J1135" s="154" t="s">
        <v>576</v>
      </c>
      <c r="K1135" s="167">
        <f t="shared" si="138"/>
        <v>63.2</v>
      </c>
      <c r="AE1135" s="172">
        <f t="shared" si="131"/>
        <v>0</v>
      </c>
    </row>
    <row r="1136" spans="6:62" ht="24" customHeight="1">
      <c r="F1136" s="167">
        <v>2.52</v>
      </c>
      <c r="G1136" s="165" t="s">
        <v>916</v>
      </c>
      <c r="H1136" s="154" t="s">
        <v>1903</v>
      </c>
      <c r="I1136" s="167">
        <f>K1167</f>
        <v>148.78800000000001</v>
      </c>
      <c r="J1136" s="154" t="s">
        <v>916</v>
      </c>
      <c r="K1136" s="167">
        <f t="shared" si="138"/>
        <v>374.94576000000001</v>
      </c>
      <c r="AE1136" s="172">
        <f t="shared" si="131"/>
        <v>0</v>
      </c>
    </row>
    <row r="1137" spans="6:31" ht="24" customHeight="1">
      <c r="H1137" s="154" t="s">
        <v>1904</v>
      </c>
      <c r="I1137" s="155" t="s">
        <v>589</v>
      </c>
      <c r="K1137" s="167">
        <v>0.21</v>
      </c>
      <c r="AE1137" s="172">
        <f t="shared" si="131"/>
        <v>0</v>
      </c>
    </row>
    <row r="1138" spans="6:31" ht="24" customHeight="1">
      <c r="K1138" s="162" t="s">
        <v>534</v>
      </c>
      <c r="AE1138" s="172">
        <f t="shared" si="131"/>
        <v>0</v>
      </c>
    </row>
    <row r="1139" spans="6:31" ht="24" customHeight="1">
      <c r="H1139" s="155" t="s">
        <v>1905</v>
      </c>
      <c r="K1139" s="167">
        <f>SUM(K1127:K1137)</f>
        <v>7955.6104350000005</v>
      </c>
      <c r="M1139" s="226" t="s">
        <v>1906</v>
      </c>
      <c r="N1139" s="226"/>
      <c r="O1139" s="226"/>
      <c r="P1139" s="226"/>
      <c r="Q1139" s="226"/>
      <c r="R1139" s="226"/>
      <c r="S1139" s="226"/>
      <c r="AE1139" s="172">
        <f t="shared" si="131"/>
        <v>0</v>
      </c>
    </row>
    <row r="1140" spans="6:31" ht="24" customHeight="1">
      <c r="G1140" s="165" t="s">
        <v>22</v>
      </c>
      <c r="K1140" s="162" t="s">
        <v>534</v>
      </c>
      <c r="O1140" s="162" t="s">
        <v>534</v>
      </c>
      <c r="Q1140" s="158"/>
      <c r="AE1140" s="172">
        <f t="shared" si="131"/>
        <v>0</v>
      </c>
    </row>
    <row r="1141" spans="6:31" ht="24" customHeight="1">
      <c r="H1141" s="169" t="s">
        <v>881</v>
      </c>
      <c r="K1141" s="166">
        <f>K1139/2.52</f>
        <v>3156.988267857143</v>
      </c>
      <c r="N1141" s="159">
        <v>0.45300000000000001</v>
      </c>
      <c r="O1141" s="154" t="s">
        <v>1688</v>
      </c>
      <c r="P1141" s="167">
        <f>C73</f>
        <v>1500.88</v>
      </c>
      <c r="Q1141" s="154" t="s">
        <v>577</v>
      </c>
      <c r="R1141" s="167">
        <f>P1141*N1141</f>
        <v>679.89864000000011</v>
      </c>
      <c r="AE1141" s="172">
        <f t="shared" ref="AE1141:AE1203" si="139">AG1141</f>
        <v>0</v>
      </c>
    </row>
    <row r="1142" spans="6:31" ht="24" customHeight="1">
      <c r="K1142" s="162" t="s">
        <v>528</v>
      </c>
      <c r="N1142" s="159">
        <v>0.30199999999999999</v>
      </c>
      <c r="O1142" s="154" t="s">
        <v>1907</v>
      </c>
      <c r="P1142" s="167">
        <f>C71</f>
        <v>1067.8800000000001</v>
      </c>
      <c r="Q1142" s="154" t="str">
        <f>Q1141</f>
        <v>CUM</v>
      </c>
      <c r="R1142" s="167">
        <f t="shared" ref="R1142:R1147" si="140">P1142*N1142</f>
        <v>322.49976000000004</v>
      </c>
      <c r="AE1142" s="172">
        <f t="shared" si="139"/>
        <v>0</v>
      </c>
    </row>
    <row r="1143" spans="6:31" ht="24" customHeight="1">
      <c r="G1143" s="165" t="s">
        <v>307</v>
      </c>
      <c r="H1143" s="154" t="s">
        <v>1908</v>
      </c>
      <c r="N1143" s="76">
        <v>0.44</v>
      </c>
      <c r="O1143" s="154" t="s">
        <v>578</v>
      </c>
      <c r="P1143" s="167">
        <f>C78</f>
        <v>1514.4</v>
      </c>
      <c r="Q1143" s="154" t="s">
        <v>577</v>
      </c>
      <c r="R1143" s="167">
        <f t="shared" si="140"/>
        <v>666.33600000000001</v>
      </c>
      <c r="AE1143" s="172">
        <f t="shared" si="139"/>
        <v>0</v>
      </c>
    </row>
    <row r="1144" spans="6:31" ht="24" customHeight="1">
      <c r="H1144" s="162" t="s">
        <v>534</v>
      </c>
      <c r="I1144" s="162" t="s">
        <v>534</v>
      </c>
      <c r="N1144" s="76">
        <v>0.37</v>
      </c>
      <c r="O1144" s="154" t="s">
        <v>1430</v>
      </c>
      <c r="P1144" s="167">
        <f>I808</f>
        <v>5750</v>
      </c>
      <c r="Q1144" s="154" t="s">
        <v>47</v>
      </c>
      <c r="R1144" s="167">
        <f t="shared" si="140"/>
        <v>2127.5</v>
      </c>
      <c r="AE1144" s="172">
        <f t="shared" si="139"/>
        <v>0</v>
      </c>
    </row>
    <row r="1145" spans="6:31" ht="24" customHeight="1">
      <c r="F1145" s="167">
        <v>0.77</v>
      </c>
      <c r="G1145" s="165" t="s">
        <v>1909</v>
      </c>
      <c r="H1145" s="154" t="s">
        <v>1910</v>
      </c>
      <c r="I1145" s="167">
        <f>C194</f>
        <v>264</v>
      </c>
      <c r="J1145" s="154" t="s">
        <v>1909</v>
      </c>
      <c r="K1145" s="167">
        <f>(F1145*I1145)</f>
        <v>203.28</v>
      </c>
      <c r="N1145" s="76">
        <v>0.35</v>
      </c>
      <c r="O1145" s="154" t="s">
        <v>1437</v>
      </c>
      <c r="P1145" s="167">
        <f>C11</f>
        <v>669.90000000000009</v>
      </c>
      <c r="Q1145" s="154" t="s">
        <v>576</v>
      </c>
      <c r="R1145" s="167">
        <f t="shared" si="140"/>
        <v>234.465</v>
      </c>
      <c r="AE1145" s="172">
        <f t="shared" si="139"/>
        <v>0</v>
      </c>
    </row>
    <row r="1146" spans="6:31" ht="24" customHeight="1">
      <c r="F1146" s="167">
        <v>0.61</v>
      </c>
      <c r="G1146" s="165" t="s">
        <v>1909</v>
      </c>
      <c r="H1146" s="154" t="s">
        <v>1911</v>
      </c>
      <c r="I1146" s="167">
        <f>C193</f>
        <v>25</v>
      </c>
      <c r="J1146" s="154" t="s">
        <v>1909</v>
      </c>
      <c r="K1146" s="167">
        <f>(F1146*I1146)</f>
        <v>15.25</v>
      </c>
      <c r="N1146" s="76">
        <v>2.12</v>
      </c>
      <c r="O1146" s="154" t="s">
        <v>1912</v>
      </c>
      <c r="P1146" s="167">
        <f>C12</f>
        <v>468.6</v>
      </c>
      <c r="Q1146" s="154" t="s">
        <v>576</v>
      </c>
      <c r="R1146" s="167">
        <f t="shared" si="140"/>
        <v>993.43200000000013</v>
      </c>
      <c r="AE1146" s="172">
        <f t="shared" si="139"/>
        <v>0</v>
      </c>
    </row>
    <row r="1147" spans="6:31" ht="24" customHeight="1">
      <c r="F1147" s="167">
        <v>0.7</v>
      </c>
      <c r="G1147" s="165" t="s">
        <v>1261</v>
      </c>
      <c r="H1147" s="154" t="s">
        <v>597</v>
      </c>
      <c r="I1147" s="167">
        <f>C14</f>
        <v>574.20000000000005</v>
      </c>
      <c r="J1147" s="154" t="s">
        <v>1549</v>
      </c>
      <c r="K1147" s="167">
        <f>(F1147*I1147)</f>
        <v>401.94</v>
      </c>
      <c r="N1147" s="76">
        <v>3.53</v>
      </c>
      <c r="O1147" s="154" t="s">
        <v>1913</v>
      </c>
      <c r="P1147" s="167">
        <f>C13</f>
        <v>404.8</v>
      </c>
      <c r="Q1147" s="154" t="s">
        <v>576</v>
      </c>
      <c r="R1147" s="167">
        <f t="shared" si="140"/>
        <v>1428.944</v>
      </c>
      <c r="AE1147" s="172">
        <f t="shared" si="139"/>
        <v>0</v>
      </c>
    </row>
    <row r="1148" spans="6:31" ht="24" customHeight="1">
      <c r="F1148" s="167"/>
      <c r="G1148" s="165"/>
      <c r="H1148" s="154"/>
      <c r="I1148" s="167"/>
      <c r="J1148" s="154"/>
      <c r="K1148" s="167"/>
      <c r="O1148" s="154" t="s">
        <v>997</v>
      </c>
      <c r="P1148" s="167"/>
      <c r="Q1148" s="158"/>
      <c r="R1148" s="263">
        <f>K819</f>
        <v>67.650000000000006</v>
      </c>
      <c r="AE1148" s="172"/>
    </row>
    <row r="1149" spans="6:31" ht="24" customHeight="1">
      <c r="F1149" s="167">
        <v>0.7</v>
      </c>
      <c r="G1149" s="165" t="s">
        <v>1261</v>
      </c>
      <c r="H1149" s="154" t="s">
        <v>587</v>
      </c>
      <c r="I1149" s="167">
        <f>C12</f>
        <v>468.6</v>
      </c>
      <c r="J1149" s="154" t="s">
        <v>1549</v>
      </c>
      <c r="K1149" s="167">
        <f>(F1149*I1149)</f>
        <v>328.02</v>
      </c>
      <c r="M1149" s="269" t="s">
        <v>519</v>
      </c>
      <c r="O1149" s="76" t="s">
        <v>1693</v>
      </c>
      <c r="P1149" s="242">
        <f>V1134</f>
        <v>0</v>
      </c>
      <c r="R1149" s="76">
        <v>270</v>
      </c>
      <c r="AE1149" s="172">
        <f t="shared" si="139"/>
        <v>0</v>
      </c>
    </row>
    <row r="1150" spans="6:31" ht="43.5" customHeight="1">
      <c r="G1150" s="165" t="s">
        <v>589</v>
      </c>
      <c r="H1150" s="154" t="s">
        <v>1914</v>
      </c>
      <c r="J1150" s="154" t="s">
        <v>589</v>
      </c>
      <c r="K1150" s="167">
        <v>1.5</v>
      </c>
      <c r="M1150" s="269" t="s">
        <v>519</v>
      </c>
      <c r="O1150" s="76" t="s">
        <v>1696</v>
      </c>
      <c r="P1150" s="242">
        <f>V1135</f>
        <v>0</v>
      </c>
      <c r="R1150" s="76">
        <v>150</v>
      </c>
      <c r="AE1150" s="172">
        <f t="shared" si="139"/>
        <v>0</v>
      </c>
    </row>
    <row r="1151" spans="6:31" ht="24" customHeight="1">
      <c r="K1151" s="162" t="s">
        <v>534</v>
      </c>
      <c r="M1151" s="269" t="s">
        <v>519</v>
      </c>
      <c r="O1151" s="76" t="s">
        <v>1699</v>
      </c>
      <c r="P1151" s="242">
        <f>V1136</f>
        <v>0</v>
      </c>
      <c r="R1151" s="76">
        <v>0.35</v>
      </c>
      <c r="AE1151" s="172">
        <f t="shared" si="139"/>
        <v>0</v>
      </c>
    </row>
    <row r="1152" spans="6:31" ht="24" customHeight="1">
      <c r="H1152" s="155" t="s">
        <v>1915</v>
      </c>
      <c r="K1152" s="167">
        <f>SUM(K1145:K1150)</f>
        <v>949.99</v>
      </c>
      <c r="Q1152" s="158"/>
      <c r="R1152" s="76">
        <f>SUM(R1141:R1151)</f>
        <v>6941.0753999999997</v>
      </c>
      <c r="AE1152" s="172">
        <f t="shared" si="139"/>
        <v>0</v>
      </c>
    </row>
    <row r="1153" spans="6:31" ht="24" customHeight="1">
      <c r="K1153" s="162" t="s">
        <v>534</v>
      </c>
      <c r="X1153" s="199">
        <f>SUM(X1141:X1152)</f>
        <v>0</v>
      </c>
      <c r="AE1153" s="172">
        <f t="shared" si="139"/>
        <v>0</v>
      </c>
    </row>
    <row r="1154" spans="6:31" ht="24" customHeight="1">
      <c r="H1154" s="169" t="s">
        <v>881</v>
      </c>
      <c r="K1154" s="166">
        <f>(K1152/10)</f>
        <v>94.998999999999995</v>
      </c>
      <c r="AE1154" s="172">
        <f t="shared" si="139"/>
        <v>0</v>
      </c>
    </row>
    <row r="1155" spans="6:31" ht="24" customHeight="1">
      <c r="K1155" s="162" t="s">
        <v>528</v>
      </c>
      <c r="Q1155" s="158"/>
      <c r="R1155" s="263"/>
      <c r="AE1155" s="172">
        <f t="shared" si="139"/>
        <v>0</v>
      </c>
    </row>
    <row r="1156" spans="6:31" ht="24" customHeight="1">
      <c r="O1156" s="76" t="s">
        <v>1916</v>
      </c>
      <c r="Q1156" s="158"/>
      <c r="R1156" s="167">
        <f>SUM(R1152:R1155)</f>
        <v>6941.0753999999997</v>
      </c>
      <c r="AE1156" s="172">
        <f t="shared" si="139"/>
        <v>0</v>
      </c>
    </row>
    <row r="1157" spans="6:31" ht="24" customHeight="1">
      <c r="F1157" s="154" t="s">
        <v>22</v>
      </c>
      <c r="G1157" s="165" t="s">
        <v>307</v>
      </c>
      <c r="H1157" s="154" t="s">
        <v>1917</v>
      </c>
      <c r="Q1157" s="158"/>
      <c r="R1157" s="162" t="s">
        <v>534</v>
      </c>
      <c r="AE1157" s="172">
        <f t="shared" si="139"/>
        <v>0</v>
      </c>
    </row>
    <row r="1158" spans="6:31" ht="24" customHeight="1">
      <c r="H1158" s="162" t="s">
        <v>534</v>
      </c>
      <c r="I1158" s="162" t="s">
        <v>534</v>
      </c>
      <c r="O1158" s="154" t="s">
        <v>789</v>
      </c>
      <c r="Q1158" s="158"/>
      <c r="R1158" s="166">
        <f>R1156+C22</f>
        <v>7027.0954000000002</v>
      </c>
      <c r="S1158" s="159">
        <f>C22</f>
        <v>86.02000000000001</v>
      </c>
      <c r="T1158" s="159">
        <f>C23</f>
        <v>169.4</v>
      </c>
      <c r="AE1158" s="172">
        <f t="shared" si="139"/>
        <v>0</v>
      </c>
    </row>
    <row r="1159" spans="6:31" ht="24" customHeight="1">
      <c r="F1159" s="167">
        <v>1.2</v>
      </c>
      <c r="G1159" s="165" t="s">
        <v>1909</v>
      </c>
      <c r="H1159" s="154" t="s">
        <v>1918</v>
      </c>
      <c r="I1159" s="167">
        <f>C194</f>
        <v>264</v>
      </c>
      <c r="J1159" s="154" t="s">
        <v>1909</v>
      </c>
      <c r="K1159" s="167">
        <f>(F1159*I1159)</f>
        <v>316.8</v>
      </c>
      <c r="O1159" s="154" t="s">
        <v>793</v>
      </c>
      <c r="Q1159" s="158"/>
      <c r="R1159" s="166">
        <f>R1158+C23</f>
        <v>7196.4953999999998</v>
      </c>
      <c r="S1159" s="159">
        <f>R1156-5363.9</f>
        <v>1577.1754000000001</v>
      </c>
      <c r="AE1159" s="172">
        <f t="shared" si="139"/>
        <v>0</v>
      </c>
    </row>
    <row r="1160" spans="6:31" ht="24" customHeight="1">
      <c r="F1160" s="167">
        <v>0.9</v>
      </c>
      <c r="G1160" s="165" t="s">
        <v>1909</v>
      </c>
      <c r="H1160" s="154" t="s">
        <v>1911</v>
      </c>
      <c r="I1160" s="167">
        <f>C193</f>
        <v>25</v>
      </c>
      <c r="J1160" s="154" t="s">
        <v>1909</v>
      </c>
      <c r="K1160" s="167">
        <f>(F1160*I1160)</f>
        <v>22.5</v>
      </c>
      <c r="O1160" s="154" t="s">
        <v>796</v>
      </c>
      <c r="Q1160" s="158"/>
      <c r="R1160" s="166">
        <f>R1159+C23</f>
        <v>7365.8953999999994</v>
      </c>
      <c r="AE1160" s="172">
        <f t="shared" si="139"/>
        <v>0</v>
      </c>
    </row>
    <row r="1161" spans="6:31" ht="24" customHeight="1">
      <c r="F1161" s="167">
        <v>1.1000000000000001</v>
      </c>
      <c r="G1161" s="165" t="s">
        <v>1261</v>
      </c>
      <c r="H1161" s="154" t="s">
        <v>597</v>
      </c>
      <c r="I1161" s="167">
        <f>C14</f>
        <v>574.20000000000005</v>
      </c>
      <c r="J1161" s="154" t="s">
        <v>1549</v>
      </c>
      <c r="K1161" s="167">
        <f>(F1161*I1161)</f>
        <v>631.62000000000012</v>
      </c>
      <c r="O1161" s="154" t="s">
        <v>798</v>
      </c>
      <c r="Q1161" s="158"/>
      <c r="R1161" s="166">
        <f>R1160+C23</f>
        <v>7535.2953999999991</v>
      </c>
      <c r="AE1161" s="172">
        <f t="shared" si="139"/>
        <v>0</v>
      </c>
    </row>
    <row r="1162" spans="6:31" ht="24" customHeight="1">
      <c r="F1162" s="167">
        <v>1.1000000000000001</v>
      </c>
      <c r="G1162" s="165" t="s">
        <v>1261</v>
      </c>
      <c r="H1162" s="154" t="s">
        <v>587</v>
      </c>
      <c r="I1162" s="167">
        <f>C12</f>
        <v>468.6</v>
      </c>
      <c r="J1162" s="154" t="s">
        <v>1549</v>
      </c>
      <c r="K1162" s="167">
        <f>(F1162*I1162)</f>
        <v>515.46</v>
      </c>
      <c r="O1162" s="154" t="s">
        <v>885</v>
      </c>
      <c r="Q1162" s="158"/>
      <c r="R1162" s="166">
        <f>R1161+C23</f>
        <v>7704.6953999999987</v>
      </c>
      <c r="AE1162" s="172">
        <f t="shared" si="139"/>
        <v>0</v>
      </c>
    </row>
    <row r="1163" spans="6:31" ht="24" customHeight="1">
      <c r="G1163" s="165" t="s">
        <v>589</v>
      </c>
      <c r="H1163" s="154" t="s">
        <v>1914</v>
      </c>
      <c r="J1163" s="154" t="s">
        <v>589</v>
      </c>
      <c r="K1163" s="167">
        <v>1.5</v>
      </c>
      <c r="O1163" s="154" t="s">
        <v>1106</v>
      </c>
      <c r="R1163" s="166">
        <f>R1162+C23</f>
        <v>7874.0953999999983</v>
      </c>
      <c r="AE1163" s="172">
        <f t="shared" si="139"/>
        <v>0</v>
      </c>
    </row>
    <row r="1164" spans="6:31" ht="24" customHeight="1">
      <c r="K1164" s="162" t="s">
        <v>534</v>
      </c>
      <c r="O1164" s="154" t="s">
        <v>1107</v>
      </c>
      <c r="R1164" s="166">
        <f>R1163+C23</f>
        <v>8043.495399999998</v>
      </c>
      <c r="AE1164" s="172">
        <f t="shared" si="139"/>
        <v>0</v>
      </c>
    </row>
    <row r="1165" spans="6:31" ht="24" customHeight="1">
      <c r="H1165" s="155" t="s">
        <v>1915</v>
      </c>
      <c r="K1165" s="167">
        <f>SUM(K1159:K1163)</f>
        <v>1487.88</v>
      </c>
      <c r="O1165" s="154" t="s">
        <v>1108</v>
      </c>
      <c r="R1165" s="166">
        <f>R1164+C23</f>
        <v>8212.8953999999976</v>
      </c>
      <c r="AE1165" s="172">
        <f t="shared" si="139"/>
        <v>0</v>
      </c>
    </row>
    <row r="1166" spans="6:31" ht="24" customHeight="1">
      <c r="K1166" s="162" t="s">
        <v>534</v>
      </c>
      <c r="O1166" s="154" t="s">
        <v>1289</v>
      </c>
      <c r="R1166" s="166">
        <f>R1165+C23</f>
        <v>8382.2953999999972</v>
      </c>
      <c r="AE1166" s="172">
        <f t="shared" si="139"/>
        <v>0</v>
      </c>
    </row>
    <row r="1167" spans="6:31" ht="24" customHeight="1">
      <c r="H1167" s="169" t="s">
        <v>881</v>
      </c>
      <c r="K1167" s="166">
        <f>(K1165/10)</f>
        <v>148.78800000000001</v>
      </c>
      <c r="O1167" s="154" t="s">
        <v>1110</v>
      </c>
      <c r="R1167" s="166">
        <f>R1166+C23</f>
        <v>8551.6953999999969</v>
      </c>
      <c r="AE1167" s="172">
        <f t="shared" si="139"/>
        <v>0</v>
      </c>
    </row>
    <row r="1168" spans="6:31" ht="24" customHeight="1">
      <c r="K1168" s="162" t="s">
        <v>528</v>
      </c>
      <c r="O1168" s="76" t="s">
        <v>1919</v>
      </c>
      <c r="R1168" s="166">
        <f>R1167+C23</f>
        <v>8721.0953999999965</v>
      </c>
      <c r="AE1168" s="172">
        <f t="shared" si="139"/>
        <v>0</v>
      </c>
    </row>
    <row r="1169" spans="6:33" ht="24" customHeight="1">
      <c r="R1169" s="166">
        <f>R1168+C23</f>
        <v>8890.4953999999962</v>
      </c>
      <c r="AE1169" s="172">
        <f t="shared" si="139"/>
        <v>0</v>
      </c>
    </row>
    <row r="1170" spans="6:33" ht="24" customHeight="1">
      <c r="F1170" s="257">
        <v>23.3</v>
      </c>
      <c r="H1170" s="238" t="s">
        <v>1920</v>
      </c>
      <c r="I1170" s="238" t="s">
        <v>791</v>
      </c>
      <c r="K1170" s="301">
        <v>52</v>
      </c>
      <c r="R1170" s="166">
        <f>R1169+C23</f>
        <v>9059.8953999999958</v>
      </c>
      <c r="S1170" s="76"/>
      <c r="AE1170" s="172">
        <f t="shared" si="139"/>
        <v>0</v>
      </c>
    </row>
    <row r="1171" spans="6:33" ht="24" customHeight="1">
      <c r="M1171" s="159"/>
      <c r="O1171" s="199" t="s">
        <v>1668</v>
      </c>
      <c r="R1171" s="166">
        <f>R1170+C23</f>
        <v>9229.2953999999954</v>
      </c>
      <c r="S1171" s="76"/>
      <c r="AE1171" s="172">
        <f t="shared" si="139"/>
        <v>0</v>
      </c>
    </row>
    <row r="1172" spans="6:33" ht="24" customHeight="1">
      <c r="M1172" s="159">
        <v>0.443</v>
      </c>
      <c r="N1172" s="76" t="s">
        <v>421</v>
      </c>
      <c r="O1172" s="76" t="s">
        <v>1671</v>
      </c>
      <c r="P1172" s="76">
        <f t="shared" ref="P1172:P1178" si="141">P1141</f>
        <v>1500.88</v>
      </c>
      <c r="R1172" s="76">
        <f>P1172*M1172</f>
        <v>664.88984000000005</v>
      </c>
      <c r="S1172" s="76"/>
      <c r="AE1172" s="172">
        <f t="shared" si="139"/>
        <v>0</v>
      </c>
    </row>
    <row r="1173" spans="6:33" ht="24" customHeight="1">
      <c r="F1173" s="155" t="s">
        <v>1921</v>
      </c>
      <c r="G1173" s="165" t="s">
        <v>307</v>
      </c>
      <c r="H1173" s="154" t="s">
        <v>1922</v>
      </c>
      <c r="M1173" s="159">
        <v>0.29499999999999998</v>
      </c>
      <c r="N1173" s="76" t="s">
        <v>421</v>
      </c>
      <c r="O1173" s="76" t="s">
        <v>1674</v>
      </c>
      <c r="P1173" s="76">
        <f t="shared" si="141"/>
        <v>1067.8800000000001</v>
      </c>
      <c r="R1173" s="76">
        <f t="shared" ref="R1173:R1179" si="142">P1173*M1173</f>
        <v>315.02460000000002</v>
      </c>
      <c r="S1173" s="76"/>
      <c r="AE1173" s="172">
        <f t="shared" si="139"/>
        <v>0</v>
      </c>
    </row>
    <row r="1174" spans="6:33" ht="24" customHeight="1">
      <c r="H1174" s="154" t="s">
        <v>1923</v>
      </c>
      <c r="M1174" s="159">
        <v>0.43</v>
      </c>
      <c r="N1174" s="76" t="s">
        <v>421</v>
      </c>
      <c r="O1174" s="76" t="s">
        <v>1678</v>
      </c>
      <c r="P1174" s="76">
        <f t="shared" si="141"/>
        <v>1514.4</v>
      </c>
      <c r="R1174" s="76">
        <f t="shared" si="142"/>
        <v>651.19200000000001</v>
      </c>
      <c r="S1174" s="76"/>
      <c r="AE1174" s="172">
        <f t="shared" si="139"/>
        <v>0</v>
      </c>
    </row>
    <row r="1175" spans="6:33" ht="24" customHeight="1">
      <c r="H1175" s="162" t="s">
        <v>534</v>
      </c>
      <c r="I1175" s="162" t="s">
        <v>534</v>
      </c>
      <c r="M1175" s="159">
        <v>0.39</v>
      </c>
      <c r="N1175" s="76" t="s">
        <v>47</v>
      </c>
      <c r="O1175" s="76" t="s">
        <v>1430</v>
      </c>
      <c r="P1175" s="76">
        <f t="shared" si="141"/>
        <v>5750</v>
      </c>
      <c r="R1175" s="76">
        <f t="shared" si="142"/>
        <v>2242.5</v>
      </c>
      <c r="S1175" s="76"/>
      <c r="AE1175" s="172">
        <f t="shared" si="139"/>
        <v>0</v>
      </c>
    </row>
    <row r="1176" spans="6:33" ht="24" customHeight="1">
      <c r="F1176" s="233">
        <v>0.53339999999999999</v>
      </c>
      <c r="G1176" s="165" t="s">
        <v>250</v>
      </c>
      <c r="H1176" s="223" t="s">
        <v>1924</v>
      </c>
      <c r="I1176" s="195">
        <v>208.8</v>
      </c>
      <c r="J1176" s="154" t="s">
        <v>250</v>
      </c>
      <c r="K1176" s="167">
        <f>(F1176*I1176)</f>
        <v>111.37392</v>
      </c>
      <c r="M1176" s="159">
        <v>0.35</v>
      </c>
      <c r="N1176" s="76" t="s">
        <v>3</v>
      </c>
      <c r="O1176" s="76" t="s">
        <v>1437</v>
      </c>
      <c r="P1176" s="76">
        <f t="shared" si="141"/>
        <v>669.90000000000009</v>
      </c>
      <c r="Q1176" s="76">
        <f>D1174</f>
        <v>0</v>
      </c>
      <c r="R1176" s="76">
        <f t="shared" si="142"/>
        <v>234.465</v>
      </c>
      <c r="S1176" s="76"/>
      <c r="AE1176" s="172">
        <f t="shared" si="139"/>
        <v>0</v>
      </c>
    </row>
    <row r="1177" spans="6:33" ht="24" customHeight="1">
      <c r="F1177" s="167">
        <v>4.24</v>
      </c>
      <c r="G1177" s="165" t="s">
        <v>41</v>
      </c>
      <c r="H1177" s="302" t="s">
        <v>1925</v>
      </c>
      <c r="I1177" s="195">
        <v>35.61</v>
      </c>
      <c r="J1177" s="154" t="s">
        <v>41</v>
      </c>
      <c r="K1177" s="167">
        <f>(F1177*I1177)</f>
        <v>150.9864</v>
      </c>
      <c r="M1177" s="159">
        <v>2.12</v>
      </c>
      <c r="N1177" s="76" t="s">
        <v>3</v>
      </c>
      <c r="O1177" s="76" t="s">
        <v>1440</v>
      </c>
      <c r="P1177" s="76">
        <f t="shared" si="141"/>
        <v>468.6</v>
      </c>
      <c r="R1177" s="76">
        <f t="shared" si="142"/>
        <v>993.43200000000013</v>
      </c>
      <c r="S1177" s="76"/>
      <c r="AE1177" s="172">
        <f t="shared" si="139"/>
        <v>0</v>
      </c>
    </row>
    <row r="1178" spans="6:33" ht="24" customHeight="1">
      <c r="F1178" s="167">
        <v>16</v>
      </c>
      <c r="G1178" s="165" t="s">
        <v>1261</v>
      </c>
      <c r="H1178" s="302" t="s">
        <v>1926</v>
      </c>
      <c r="I1178" s="195">
        <v>1</v>
      </c>
      <c r="J1178" s="154" t="s">
        <v>332</v>
      </c>
      <c r="K1178" s="167">
        <f>(F1178*I1178)</f>
        <v>16</v>
      </c>
      <c r="M1178" s="159">
        <v>3.53</v>
      </c>
      <c r="N1178" s="76" t="s">
        <v>3</v>
      </c>
      <c r="O1178" s="76" t="s">
        <v>1444</v>
      </c>
      <c r="P1178" s="76">
        <f t="shared" si="141"/>
        <v>404.8</v>
      </c>
      <c r="R1178" s="76">
        <f t="shared" si="142"/>
        <v>1428.944</v>
      </c>
      <c r="S1178" s="76"/>
      <c r="AE1178" s="172">
        <f t="shared" si="139"/>
        <v>0</v>
      </c>
    </row>
    <row r="1179" spans="6:33" ht="24" customHeight="1">
      <c r="F1179" s="233">
        <v>0.53339999999999999</v>
      </c>
      <c r="G1179" s="165" t="s">
        <v>250</v>
      </c>
      <c r="H1179" s="154" t="s">
        <v>1927</v>
      </c>
      <c r="I1179" s="167">
        <f>0.25/1.08*D16</f>
        <v>155.06944444444446</v>
      </c>
      <c r="J1179" s="154" t="s">
        <v>250</v>
      </c>
      <c r="K1179" s="167">
        <f>(F1179*I1179)</f>
        <v>82.714041666666674</v>
      </c>
      <c r="M1179" s="159">
        <v>1</v>
      </c>
      <c r="N1179" s="76" t="s">
        <v>421</v>
      </c>
      <c r="O1179" s="76" t="s">
        <v>1690</v>
      </c>
      <c r="P1179" s="76">
        <f>R1148</f>
        <v>67.650000000000006</v>
      </c>
      <c r="R1179" s="76">
        <f t="shared" si="142"/>
        <v>67.650000000000006</v>
      </c>
      <c r="S1179" s="76"/>
      <c r="AE1179" s="172">
        <f t="shared" si="139"/>
        <v>0</v>
      </c>
    </row>
    <row r="1180" spans="6:33" ht="24" customHeight="1">
      <c r="G1180" s="165" t="s">
        <v>589</v>
      </c>
      <c r="H1180" s="154" t="s">
        <v>1699</v>
      </c>
      <c r="J1180" s="154" t="s">
        <v>589</v>
      </c>
      <c r="K1180" s="167"/>
      <c r="M1180" s="269" t="s">
        <v>519</v>
      </c>
      <c r="O1180" s="76" t="s">
        <v>1693</v>
      </c>
      <c r="P1180" s="269" t="s">
        <v>519</v>
      </c>
      <c r="R1180" s="76">
        <v>270</v>
      </c>
      <c r="S1180" s="76"/>
      <c r="AE1180" s="172">
        <f t="shared" si="139"/>
        <v>0</v>
      </c>
    </row>
    <row r="1181" spans="6:33" ht="24" customHeight="1">
      <c r="H1181" s="154" t="s">
        <v>1928</v>
      </c>
      <c r="M1181" s="269" t="s">
        <v>519</v>
      </c>
      <c r="O1181" s="76" t="s">
        <v>1696</v>
      </c>
      <c r="P1181" s="269" t="s">
        <v>519</v>
      </c>
      <c r="R1181" s="76">
        <v>150</v>
      </c>
      <c r="S1181" s="76"/>
      <c r="AE1181" s="172">
        <f t="shared" si="139"/>
        <v>0</v>
      </c>
    </row>
    <row r="1182" spans="6:33" ht="24" customHeight="1">
      <c r="K1182" s="162" t="s">
        <v>534</v>
      </c>
      <c r="M1182" s="269" t="s">
        <v>519</v>
      </c>
      <c r="O1182" s="76" t="s">
        <v>1699</v>
      </c>
      <c r="P1182" s="269" t="s">
        <v>519</v>
      </c>
      <c r="R1182" s="76">
        <v>0.45</v>
      </c>
      <c r="S1182" s="76">
        <f>C22</f>
        <v>86.02000000000001</v>
      </c>
      <c r="T1182" s="76">
        <f>C23</f>
        <v>169.4</v>
      </c>
      <c r="AE1182" s="172" t="str">
        <f t="shared" si="139"/>
        <v>|</v>
      </c>
      <c r="AG1182" s="154" t="s">
        <v>1158</v>
      </c>
    </row>
    <row r="1183" spans="6:33" ht="24" customHeight="1">
      <c r="H1183" s="155" t="s">
        <v>1929</v>
      </c>
      <c r="K1183" s="167">
        <f>SUM(K1176:K1180)</f>
        <v>361.07436166666668</v>
      </c>
      <c r="M1183" s="159"/>
      <c r="O1183" s="76" t="s">
        <v>1395</v>
      </c>
      <c r="R1183" s="199">
        <f>SUM(R1172:R1182)</f>
        <v>7018.5474399999994</v>
      </c>
      <c r="S1183" s="76"/>
      <c r="AE1183" s="172" t="str">
        <f t="shared" si="139"/>
        <v>|</v>
      </c>
      <c r="AG1183" s="154" t="s">
        <v>1158</v>
      </c>
    </row>
    <row r="1184" spans="6:33" ht="24" customHeight="1">
      <c r="K1184" s="162" t="s">
        <v>534</v>
      </c>
      <c r="M1184" s="159"/>
      <c r="O1184" s="76" t="s">
        <v>789</v>
      </c>
      <c r="R1184" s="76">
        <f>R1183+C22</f>
        <v>7104.5674399999998</v>
      </c>
      <c r="AE1184" s="172" t="str">
        <f t="shared" si="139"/>
        <v>|</v>
      </c>
      <c r="AG1184" s="154" t="s">
        <v>1158</v>
      </c>
    </row>
    <row r="1185" spans="6:37" ht="24" customHeight="1">
      <c r="H1185" s="155" t="s">
        <v>1930</v>
      </c>
      <c r="K1185" s="166">
        <f>ROUND(K1183/0.5334,1)+0.1</f>
        <v>677</v>
      </c>
      <c r="R1185" s="76">
        <f>R1184+T1182</f>
        <v>7273.9674399999994</v>
      </c>
      <c r="AE1185" s="172" t="str">
        <f t="shared" si="139"/>
        <v>|</v>
      </c>
      <c r="AG1185" s="154" t="s">
        <v>1158</v>
      </c>
    </row>
    <row r="1186" spans="6:37" ht="24" customHeight="1">
      <c r="F1186" s="154" t="s">
        <v>22</v>
      </c>
      <c r="K1186" s="162" t="s">
        <v>528</v>
      </c>
      <c r="Y1186" s="257">
        <v>15.1</v>
      </c>
      <c r="Z1186" s="165" t="s">
        <v>1319</v>
      </c>
      <c r="AA1186" s="157" t="s">
        <v>1931</v>
      </c>
      <c r="AC1186" s="160"/>
      <c r="AE1186" s="172" t="str">
        <f t="shared" si="139"/>
        <v>C.</v>
      </c>
      <c r="AF1186" s="257">
        <v>15.1</v>
      </c>
      <c r="AG1186" s="165" t="s">
        <v>1319</v>
      </c>
      <c r="AH1186" s="303" t="s">
        <v>1932</v>
      </c>
      <c r="AJ1186" s="160"/>
    </row>
    <row r="1187" spans="6:37" ht="24" customHeight="1">
      <c r="F1187" s="154" t="s">
        <v>22</v>
      </c>
      <c r="G1187" s="165" t="s">
        <v>22</v>
      </c>
      <c r="H1187" s="154" t="s">
        <v>22</v>
      </c>
      <c r="Z1187" s="156"/>
      <c r="AA1187" s="154" t="s">
        <v>1257</v>
      </c>
      <c r="AC1187" s="160"/>
      <c r="AE1187" s="172">
        <f t="shared" si="139"/>
        <v>0</v>
      </c>
      <c r="AG1187" s="156"/>
      <c r="AH1187" s="154" t="s">
        <v>1257</v>
      </c>
      <c r="AJ1187" s="160"/>
    </row>
    <row r="1188" spans="6:37" ht="53.25" customHeight="1">
      <c r="F1188" s="155" t="s">
        <v>694</v>
      </c>
      <c r="G1188" s="165" t="s">
        <v>307</v>
      </c>
      <c r="H1188" s="154" t="s">
        <v>1933</v>
      </c>
      <c r="Y1188" s="167">
        <v>10</v>
      </c>
      <c r="Z1188" s="165" t="s">
        <v>250</v>
      </c>
      <c r="AA1188" s="210" t="s">
        <v>1934</v>
      </c>
      <c r="AB1188" s="174">
        <v>1690</v>
      </c>
      <c r="AC1188" s="155" t="s">
        <v>250</v>
      </c>
      <c r="AD1188" s="167">
        <f>(Y1188*AB1188)</f>
        <v>16900</v>
      </c>
      <c r="AE1188" s="172" t="str">
        <f t="shared" si="139"/>
        <v>Sqm</v>
      </c>
      <c r="AF1188" s="167">
        <v>10</v>
      </c>
      <c r="AG1188" s="165" t="s">
        <v>250</v>
      </c>
      <c r="AH1188" s="210" t="s">
        <v>1935</v>
      </c>
      <c r="AI1188" s="174">
        <v>804</v>
      </c>
      <c r="AJ1188" s="155" t="s">
        <v>250</v>
      </c>
      <c r="AK1188" s="167">
        <f>(AF1188*AI1188)</f>
        <v>8040</v>
      </c>
    </row>
    <row r="1189" spans="6:37" ht="24" customHeight="1">
      <c r="H1189" s="154" t="s">
        <v>1936</v>
      </c>
      <c r="Y1189" s="167">
        <v>0.12</v>
      </c>
      <c r="Z1189" s="165" t="s">
        <v>577</v>
      </c>
      <c r="AA1189" s="154" t="s">
        <v>1326</v>
      </c>
      <c r="AB1189" s="304">
        <f>P1333</f>
        <v>4357.67</v>
      </c>
      <c r="AC1189" s="155" t="s">
        <v>577</v>
      </c>
      <c r="AD1189" s="167">
        <f>(Y1189*AB1189)</f>
        <v>522.92039999999997</v>
      </c>
      <c r="AE1189" s="172" t="str">
        <f t="shared" si="139"/>
        <v>CUM</v>
      </c>
      <c r="AF1189" s="167">
        <v>0.12</v>
      </c>
      <c r="AG1189" s="165" t="s">
        <v>577</v>
      </c>
      <c r="AH1189" s="154" t="s">
        <v>1326</v>
      </c>
      <c r="AI1189" s="174">
        <f>AB1189</f>
        <v>4357.67</v>
      </c>
      <c r="AJ1189" s="155" t="s">
        <v>577</v>
      </c>
      <c r="AK1189" s="167">
        <f>(AF1189*AI1189)</f>
        <v>522.92039999999997</v>
      </c>
    </row>
    <row r="1190" spans="6:37" ht="24" customHeight="1">
      <c r="H1190" s="162" t="s">
        <v>534</v>
      </c>
      <c r="Y1190" s="167">
        <v>1</v>
      </c>
      <c r="Z1190" s="165" t="s">
        <v>1261</v>
      </c>
      <c r="AA1190" s="154" t="s">
        <v>1262</v>
      </c>
      <c r="AB1190" s="304">
        <f>P1334</f>
        <v>717.2</v>
      </c>
      <c r="AC1190" s="155" t="s">
        <v>332</v>
      </c>
      <c r="AD1190" s="167">
        <f>(Y1190*AB1190)</f>
        <v>717.2</v>
      </c>
      <c r="AE1190" s="172" t="str">
        <f t="shared" si="139"/>
        <v>No.</v>
      </c>
      <c r="AF1190" s="167">
        <v>1</v>
      </c>
      <c r="AG1190" s="165" t="s">
        <v>1261</v>
      </c>
      <c r="AH1190" s="154" t="s">
        <v>1262</v>
      </c>
      <c r="AI1190" s="174">
        <f>AB1190</f>
        <v>717.2</v>
      </c>
      <c r="AJ1190" s="155" t="s">
        <v>332</v>
      </c>
      <c r="AK1190" s="167">
        <f>(AF1190*AI1190)</f>
        <v>717.2</v>
      </c>
    </row>
    <row r="1191" spans="6:37" ht="24" customHeight="1">
      <c r="F1191" s="167">
        <v>1</v>
      </c>
      <c r="G1191" s="165" t="s">
        <v>420</v>
      </c>
      <c r="H1191" s="154" t="s">
        <v>1937</v>
      </c>
      <c r="I1191" s="305">
        <v>60.9</v>
      </c>
      <c r="J1191" s="154" t="s">
        <v>420</v>
      </c>
      <c r="K1191" s="166">
        <f>(F1191*I1191)</f>
        <v>60.9</v>
      </c>
      <c r="Y1191" s="167">
        <v>1</v>
      </c>
      <c r="Z1191" s="165" t="s">
        <v>1261</v>
      </c>
      <c r="AA1191" s="154" t="s">
        <v>1938</v>
      </c>
      <c r="AB1191" s="304">
        <f>P1335</f>
        <v>468.6</v>
      </c>
      <c r="AC1191" s="155" t="s">
        <v>332</v>
      </c>
      <c r="AD1191" s="167">
        <f>(Y1191*AB1191)</f>
        <v>468.6</v>
      </c>
      <c r="AE1191" s="172" t="str">
        <f t="shared" si="139"/>
        <v>No.</v>
      </c>
      <c r="AF1191" s="167">
        <v>1</v>
      </c>
      <c r="AG1191" s="165" t="s">
        <v>1261</v>
      </c>
      <c r="AH1191" s="154" t="s">
        <v>1938</v>
      </c>
      <c r="AI1191" s="174">
        <f>AE10</f>
        <v>669.90000000000009</v>
      </c>
      <c r="AJ1191" s="155" t="s">
        <v>332</v>
      </c>
      <c r="AK1191" s="167">
        <f>(AF1191*AI1191)</f>
        <v>669.90000000000009</v>
      </c>
    </row>
    <row r="1192" spans="6:37" ht="24" customHeight="1">
      <c r="K1192" s="162" t="s">
        <v>528</v>
      </c>
      <c r="Y1192" s="167"/>
      <c r="Z1192" s="165" t="s">
        <v>589</v>
      </c>
      <c r="AA1192" s="154" t="s">
        <v>1266</v>
      </c>
      <c r="AC1192" s="155" t="s">
        <v>589</v>
      </c>
      <c r="AD1192" s="167">
        <v>0.33</v>
      </c>
      <c r="AF1192" s="167"/>
      <c r="AG1192" s="165" t="s">
        <v>589</v>
      </c>
      <c r="AH1192" s="154" t="s">
        <v>1266</v>
      </c>
      <c r="AJ1192" s="155" t="s">
        <v>589</v>
      </c>
      <c r="AK1192" s="167">
        <v>0.33</v>
      </c>
    </row>
    <row r="1193" spans="6:37" ht="24" customHeight="1">
      <c r="F1193" s="155">
        <v>39</v>
      </c>
      <c r="H1193" s="223" t="s">
        <v>1939</v>
      </c>
      <c r="I1193" s="174">
        <v>54.5</v>
      </c>
      <c r="J1193" s="154" t="s">
        <v>420</v>
      </c>
      <c r="K1193" s="306">
        <f>I1193</f>
        <v>54.5</v>
      </c>
      <c r="Y1193" s="167"/>
      <c r="Z1193" s="156"/>
      <c r="AA1193" s="154" t="s">
        <v>1268</v>
      </c>
      <c r="AD1193" s="160"/>
      <c r="AE1193" s="162" t="s">
        <v>534</v>
      </c>
      <c r="AF1193" s="167"/>
      <c r="AG1193" s="156"/>
      <c r="AH1193" s="154" t="s">
        <v>1268</v>
      </c>
      <c r="AK1193" s="160"/>
    </row>
    <row r="1194" spans="6:37" ht="24" customHeight="1">
      <c r="F1194" s="155" t="s">
        <v>698</v>
      </c>
      <c r="G1194" s="165" t="s">
        <v>307</v>
      </c>
      <c r="H1194" s="154" t="s">
        <v>1940</v>
      </c>
      <c r="I1194" s="154" t="s">
        <v>22</v>
      </c>
      <c r="J1194" s="154" t="s">
        <v>1549</v>
      </c>
      <c r="K1194" s="307">
        <v>9.6</v>
      </c>
      <c r="Y1194" s="167"/>
      <c r="Z1194" s="156"/>
      <c r="AA1194" s="155" t="s">
        <v>1336</v>
      </c>
      <c r="AC1194" s="160"/>
      <c r="AD1194" s="167">
        <f>SUM(AD1188:AD1193)</f>
        <v>18609.0504</v>
      </c>
      <c r="AE1194" s="167">
        <f>SUM(AE1188:AE1192)</f>
        <v>0</v>
      </c>
      <c r="AF1194" s="167"/>
      <c r="AG1194" s="156"/>
      <c r="AH1194" s="155" t="s">
        <v>1336</v>
      </c>
      <c r="AJ1194" s="160"/>
      <c r="AK1194" s="167">
        <f>SUM(AK1188:AK1193)</f>
        <v>9950.3503999999994</v>
      </c>
    </row>
    <row r="1195" spans="6:37" ht="24" customHeight="1">
      <c r="H1195" s="154" t="s">
        <v>1941</v>
      </c>
      <c r="K1195" s="162" t="s">
        <v>528</v>
      </c>
      <c r="Z1195" s="156"/>
      <c r="AC1195" s="160"/>
      <c r="AD1195" s="162" t="s">
        <v>534</v>
      </c>
      <c r="AE1195" s="162" t="s">
        <v>534</v>
      </c>
      <c r="AG1195" s="156"/>
      <c r="AJ1195" s="160"/>
      <c r="AK1195" s="162" t="s">
        <v>534</v>
      </c>
    </row>
    <row r="1196" spans="6:37" ht="24" customHeight="1">
      <c r="Z1196" s="156"/>
      <c r="AA1196" s="155" t="s">
        <v>1341</v>
      </c>
      <c r="AD1196" s="166">
        <f>AD1194/10</f>
        <v>1860.9050400000001</v>
      </c>
      <c r="AG1196" s="156"/>
      <c r="AH1196" s="155" t="s">
        <v>1341</v>
      </c>
      <c r="AK1196" s="166">
        <f>AK1194/10</f>
        <v>995.03503999999998</v>
      </c>
    </row>
    <row r="1197" spans="6:37" ht="24" customHeight="1">
      <c r="F1197" s="155" t="s">
        <v>711</v>
      </c>
      <c r="G1197" s="165" t="s">
        <v>307</v>
      </c>
      <c r="H1197" s="154" t="s">
        <v>1942</v>
      </c>
      <c r="Z1197" s="156"/>
      <c r="AA1197" s="154" t="s">
        <v>789</v>
      </c>
      <c r="AC1197" s="160">
        <f>C22*0.01</f>
        <v>0.86020000000000008</v>
      </c>
      <c r="AD1197" s="167">
        <f>AD1196+AC1197</f>
        <v>1861.7652400000002</v>
      </c>
      <c r="AG1197" s="156"/>
      <c r="AH1197" s="154" t="s">
        <v>789</v>
      </c>
      <c r="AJ1197" s="160">
        <f>AC1197</f>
        <v>0.86020000000000008</v>
      </c>
      <c r="AK1197" s="167">
        <f>AK1196+AJ1197</f>
        <v>995.89523999999994</v>
      </c>
    </row>
    <row r="1198" spans="6:37" ht="24" customHeight="1">
      <c r="H1198" s="154" t="s">
        <v>1943</v>
      </c>
      <c r="Z1198" s="156"/>
      <c r="AA1198" s="154" t="s">
        <v>793</v>
      </c>
      <c r="AC1198" s="160">
        <f>C23*0.01</f>
        <v>1.6940000000000002</v>
      </c>
      <c r="AD1198" s="167">
        <f>AD1197+AC1198</f>
        <v>1863.4592400000001</v>
      </c>
      <c r="AG1198" s="156"/>
      <c r="AH1198" s="154" t="s">
        <v>793</v>
      </c>
      <c r="AJ1198" s="160">
        <f t="shared" ref="AJ1198:AJ1206" si="143">AC1198</f>
        <v>1.6940000000000002</v>
      </c>
      <c r="AK1198" s="167">
        <f>AK1197+AJ1198</f>
        <v>997.5892399999999</v>
      </c>
    </row>
    <row r="1199" spans="6:37" ht="24" customHeight="1">
      <c r="H1199" s="162" t="s">
        <v>534</v>
      </c>
      <c r="Z1199" s="156"/>
      <c r="AA1199" s="154" t="s">
        <v>796</v>
      </c>
      <c r="AC1199" s="160">
        <f t="shared" ref="AC1199:AC1208" si="144">AC1198</f>
        <v>1.6940000000000002</v>
      </c>
      <c r="AD1199" s="167">
        <f t="shared" ref="AD1199:AD1208" si="145">+AD1198+AC1199</f>
        <v>1865.1532400000001</v>
      </c>
      <c r="AG1199" s="156"/>
      <c r="AH1199" s="154" t="s">
        <v>796</v>
      </c>
      <c r="AJ1199" s="160">
        <f t="shared" si="143"/>
        <v>1.6940000000000002</v>
      </c>
      <c r="AK1199" s="167">
        <f t="shared" ref="AK1199:AK1206" si="146">+AK1198+AJ1199</f>
        <v>999.28323999999986</v>
      </c>
    </row>
    <row r="1200" spans="6:37" ht="24" customHeight="1">
      <c r="F1200" s="167">
        <v>0.22</v>
      </c>
      <c r="G1200" s="165" t="s">
        <v>577</v>
      </c>
      <c r="H1200" s="154" t="s">
        <v>702</v>
      </c>
      <c r="I1200" s="167">
        <f>K40</f>
        <v>3667.67</v>
      </c>
      <c r="J1200" s="154" t="s">
        <v>577</v>
      </c>
      <c r="K1200" s="167">
        <f>(F1200*I1200)</f>
        <v>806.88740000000007</v>
      </c>
      <c r="Z1200" s="156"/>
      <c r="AA1200" s="154" t="s">
        <v>798</v>
      </c>
      <c r="AC1200" s="160">
        <f t="shared" si="144"/>
        <v>1.6940000000000002</v>
      </c>
      <c r="AD1200" s="167">
        <f t="shared" si="145"/>
        <v>1866.8472400000001</v>
      </c>
      <c r="AG1200" s="156"/>
      <c r="AH1200" s="154" t="s">
        <v>798</v>
      </c>
      <c r="AJ1200" s="160">
        <f t="shared" si="143"/>
        <v>1.6940000000000002</v>
      </c>
      <c r="AK1200" s="167">
        <f t="shared" si="146"/>
        <v>1000.9772399999998</v>
      </c>
    </row>
    <row r="1201" spans="6:37" ht="24" customHeight="1">
      <c r="F1201" s="167">
        <v>2.2000000000000002</v>
      </c>
      <c r="G1201" s="165" t="s">
        <v>680</v>
      </c>
      <c r="H1201" s="154" t="s">
        <v>778</v>
      </c>
      <c r="I1201" s="167">
        <f>(C10)</f>
        <v>717.2</v>
      </c>
      <c r="J1201" s="154" t="s">
        <v>680</v>
      </c>
      <c r="K1201" s="167">
        <f>(F1201*I1201)</f>
        <v>1577.8400000000001</v>
      </c>
      <c r="Z1201" s="156"/>
      <c r="AA1201" s="154" t="s">
        <v>1180</v>
      </c>
      <c r="AC1201" s="160">
        <f t="shared" si="144"/>
        <v>1.6940000000000002</v>
      </c>
      <c r="AD1201" s="167">
        <f t="shared" si="145"/>
        <v>1868.54124</v>
      </c>
      <c r="AG1201" s="156"/>
      <c r="AH1201" s="154" t="s">
        <v>1180</v>
      </c>
      <c r="AJ1201" s="160">
        <f t="shared" si="143"/>
        <v>1.6940000000000002</v>
      </c>
      <c r="AK1201" s="167">
        <f t="shared" si="146"/>
        <v>1002.6712399999998</v>
      </c>
    </row>
    <row r="1202" spans="6:37" ht="24" customHeight="1">
      <c r="F1202" s="167">
        <v>0.5</v>
      </c>
      <c r="G1202" s="165" t="s">
        <v>680</v>
      </c>
      <c r="H1202" s="154" t="s">
        <v>1944</v>
      </c>
      <c r="I1202" s="167">
        <f>(C12)</f>
        <v>468.6</v>
      </c>
      <c r="J1202" s="154" t="s">
        <v>680</v>
      </c>
      <c r="K1202" s="167">
        <f>(F1202*I1202)</f>
        <v>234.3</v>
      </c>
      <c r="Z1202" s="156"/>
      <c r="AA1202" s="76">
        <v>5</v>
      </c>
      <c r="AC1202" s="160">
        <f t="shared" si="144"/>
        <v>1.6940000000000002</v>
      </c>
      <c r="AD1202" s="167">
        <f t="shared" si="145"/>
        <v>1870.23524</v>
      </c>
      <c r="AE1202" s="172">
        <f t="shared" si="139"/>
        <v>0</v>
      </c>
      <c r="AG1202" s="156"/>
      <c r="AH1202" s="76">
        <v>5</v>
      </c>
      <c r="AJ1202" s="160">
        <f t="shared" si="143"/>
        <v>1.6940000000000002</v>
      </c>
      <c r="AK1202" s="167">
        <f t="shared" si="146"/>
        <v>1004.3652399999997</v>
      </c>
    </row>
    <row r="1203" spans="6:37" ht="24" customHeight="1">
      <c r="F1203" s="167">
        <v>3.2</v>
      </c>
      <c r="G1203" s="165" t="s">
        <v>680</v>
      </c>
      <c r="H1203" s="154" t="s">
        <v>756</v>
      </c>
      <c r="I1203" s="167">
        <f>(C13)</f>
        <v>404.8</v>
      </c>
      <c r="J1203" s="154" t="s">
        <v>680</v>
      </c>
      <c r="K1203" s="167">
        <f>(F1203*I1203)</f>
        <v>1295.3600000000001</v>
      </c>
      <c r="AA1203" s="76">
        <v>6</v>
      </c>
      <c r="AC1203" s="160">
        <f t="shared" si="144"/>
        <v>1.6940000000000002</v>
      </c>
      <c r="AD1203" s="167">
        <f t="shared" si="145"/>
        <v>1871.9292399999999</v>
      </c>
      <c r="AE1203" s="172">
        <f t="shared" si="139"/>
        <v>0</v>
      </c>
      <c r="AH1203" s="76">
        <v>6</v>
      </c>
      <c r="AJ1203" s="160">
        <f t="shared" si="143"/>
        <v>1.6940000000000002</v>
      </c>
      <c r="AK1203" s="167">
        <f t="shared" si="146"/>
        <v>1006.0592399999997</v>
      </c>
    </row>
    <row r="1204" spans="6:37" ht="24" customHeight="1">
      <c r="F1204" s="167"/>
      <c r="G1204" s="165"/>
      <c r="H1204" s="154"/>
      <c r="I1204" s="167"/>
      <c r="J1204" s="154"/>
      <c r="K1204" s="167"/>
      <c r="AA1204" s="76">
        <v>7</v>
      </c>
      <c r="AC1204" s="160">
        <f t="shared" si="144"/>
        <v>1.6940000000000002</v>
      </c>
      <c r="AD1204" s="167">
        <f t="shared" si="145"/>
        <v>1873.6232399999999</v>
      </c>
      <c r="AE1204" s="172"/>
      <c r="AH1204" s="76">
        <v>7</v>
      </c>
      <c r="AJ1204" s="160">
        <f t="shared" si="143"/>
        <v>1.6940000000000002</v>
      </c>
      <c r="AK1204" s="167">
        <f t="shared" si="146"/>
        <v>1007.7532399999997</v>
      </c>
    </row>
    <row r="1205" spans="6:37" ht="24" customHeight="1">
      <c r="F1205" s="167"/>
      <c r="G1205" s="165"/>
      <c r="H1205" s="154"/>
      <c r="I1205" s="167"/>
      <c r="J1205" s="154"/>
      <c r="K1205" s="167"/>
      <c r="AA1205" s="76">
        <v>8</v>
      </c>
      <c r="AC1205" s="160">
        <f t="shared" si="144"/>
        <v>1.6940000000000002</v>
      </c>
      <c r="AD1205" s="167">
        <f t="shared" si="145"/>
        <v>1875.3172399999999</v>
      </c>
      <c r="AE1205" s="172"/>
      <c r="AH1205" s="76">
        <v>8</v>
      </c>
      <c r="AJ1205" s="160">
        <f t="shared" si="143"/>
        <v>1.6940000000000002</v>
      </c>
      <c r="AK1205" s="167">
        <f t="shared" si="146"/>
        <v>1009.4472399999996</v>
      </c>
    </row>
    <row r="1206" spans="6:37" ht="24" customHeight="1">
      <c r="F1206" s="167"/>
      <c r="G1206" s="165"/>
      <c r="H1206" s="154"/>
      <c r="I1206" s="167"/>
      <c r="J1206" s="154"/>
      <c r="K1206" s="167"/>
      <c r="AA1206" s="76">
        <v>9</v>
      </c>
      <c r="AC1206" s="160">
        <f t="shared" si="144"/>
        <v>1.6940000000000002</v>
      </c>
      <c r="AD1206" s="167">
        <f t="shared" si="145"/>
        <v>1877.0112399999998</v>
      </c>
      <c r="AE1206" s="172"/>
      <c r="AH1206" s="76">
        <v>9</v>
      </c>
      <c r="AJ1206" s="160">
        <f t="shared" si="143"/>
        <v>1.6940000000000002</v>
      </c>
      <c r="AK1206" s="167">
        <f t="shared" si="146"/>
        <v>1011.1412399999996</v>
      </c>
    </row>
    <row r="1207" spans="6:37" ht="24" customHeight="1">
      <c r="F1207" s="167"/>
      <c r="G1207" s="165"/>
      <c r="H1207" s="154"/>
      <c r="I1207" s="167"/>
      <c r="J1207" s="154"/>
      <c r="K1207" s="167"/>
      <c r="AA1207" s="76">
        <v>10</v>
      </c>
      <c r="AC1207" s="160">
        <f t="shared" si="144"/>
        <v>1.6940000000000002</v>
      </c>
      <c r="AD1207" s="167">
        <f t="shared" si="145"/>
        <v>1878.7052399999998</v>
      </c>
      <c r="AE1207" s="172"/>
      <c r="AG1207" s="154"/>
    </row>
    <row r="1208" spans="6:37" ht="24" customHeight="1">
      <c r="F1208" s="167"/>
      <c r="G1208" s="165"/>
      <c r="H1208" s="154"/>
      <c r="I1208" s="167"/>
      <c r="J1208" s="154"/>
      <c r="K1208" s="167"/>
      <c r="AA1208" s="76">
        <v>11</v>
      </c>
      <c r="AC1208" s="160">
        <f t="shared" si="144"/>
        <v>1.6940000000000002</v>
      </c>
      <c r="AD1208" s="167">
        <f t="shared" si="145"/>
        <v>1880.3992399999997</v>
      </c>
      <c r="AE1208" s="172"/>
      <c r="AG1208" s="154"/>
    </row>
    <row r="1209" spans="6:37" ht="24" customHeight="1">
      <c r="G1209" s="165" t="s">
        <v>589</v>
      </c>
      <c r="H1209" s="154" t="s">
        <v>1945</v>
      </c>
      <c r="I1209" s="154" t="s">
        <v>22</v>
      </c>
      <c r="J1209" s="154" t="s">
        <v>589</v>
      </c>
      <c r="K1209" s="167">
        <v>5</v>
      </c>
      <c r="N1209" s="156"/>
      <c r="Q1209" s="160"/>
      <c r="Y1209" s="200">
        <v>29.5</v>
      </c>
      <c r="Z1209" s="165" t="s">
        <v>307</v>
      </c>
      <c r="AA1209" s="157" t="s">
        <v>1946</v>
      </c>
      <c r="AE1209" s="172" t="str">
        <f t="shared" ref="AE1209:AE1277" si="147">AG1209</f>
        <v>|</v>
      </c>
      <c r="AG1209" s="154" t="s">
        <v>1158</v>
      </c>
    </row>
    <row r="1210" spans="6:37" ht="24" customHeight="1">
      <c r="K1210" s="162" t="s">
        <v>534</v>
      </c>
      <c r="N1210" s="156"/>
      <c r="Q1210" s="160"/>
      <c r="Z1210" s="156"/>
      <c r="AA1210" s="157" t="s">
        <v>1947</v>
      </c>
      <c r="AE1210" s="172" t="str">
        <f t="shared" si="147"/>
        <v>|</v>
      </c>
      <c r="AG1210" s="154" t="s">
        <v>1158</v>
      </c>
    </row>
    <row r="1211" spans="6:37" ht="24" customHeight="1">
      <c r="H1211" s="154" t="s">
        <v>879</v>
      </c>
      <c r="K1211" s="167">
        <f>SUM(K1200:K1209)</f>
        <v>3919.3874000000005</v>
      </c>
      <c r="N1211" s="156"/>
      <c r="Q1211" s="160"/>
      <c r="Z1211" s="156"/>
      <c r="AA1211" s="154"/>
      <c r="AE1211" s="172" t="str">
        <f t="shared" si="147"/>
        <v>|</v>
      </c>
      <c r="AG1211" s="154" t="s">
        <v>1158</v>
      </c>
    </row>
    <row r="1212" spans="6:37" ht="36.75" customHeight="1">
      <c r="F1212" s="76" t="s">
        <v>22</v>
      </c>
      <c r="K1212" s="162" t="s">
        <v>534</v>
      </c>
      <c r="N1212" s="156"/>
      <c r="O1212" s="308" t="s">
        <v>1948</v>
      </c>
      <c r="Q1212" s="160"/>
      <c r="Z1212" s="156"/>
      <c r="AA1212" s="162" t="s">
        <v>534</v>
      </c>
      <c r="AB1212" s="162" t="s">
        <v>534</v>
      </c>
      <c r="AC1212" s="158">
        <f>54.96*10.764</f>
        <v>591.58943999999997</v>
      </c>
      <c r="AE1212" s="172" t="str">
        <f t="shared" si="147"/>
        <v>|</v>
      </c>
      <c r="AG1212" s="154" t="s">
        <v>1158</v>
      </c>
    </row>
    <row r="1213" spans="6:37" ht="30" customHeight="1">
      <c r="H1213" s="169" t="s">
        <v>881</v>
      </c>
      <c r="K1213" s="166">
        <f>(K1211/10)</f>
        <v>391.93874000000005</v>
      </c>
      <c r="N1213" s="156"/>
      <c r="Q1213" s="160"/>
      <c r="Y1213" s="167">
        <v>10</v>
      </c>
      <c r="Z1213" s="165" t="s">
        <v>916</v>
      </c>
      <c r="AA1213" s="214" t="s">
        <v>1949</v>
      </c>
      <c r="AB1213" s="195">
        <v>591.59</v>
      </c>
      <c r="AC1213" s="154" t="s">
        <v>916</v>
      </c>
      <c r="AD1213" s="167">
        <f>(Y1213*AB1213)</f>
        <v>5915.9000000000005</v>
      </c>
      <c r="AE1213" s="172" t="str">
        <f t="shared" si="147"/>
        <v>|</v>
      </c>
      <c r="AG1213" s="154" t="s">
        <v>1158</v>
      </c>
    </row>
    <row r="1214" spans="6:37" ht="24" customHeight="1">
      <c r="K1214" s="162" t="s">
        <v>528</v>
      </c>
      <c r="N1214" s="156"/>
      <c r="Q1214" s="160"/>
      <c r="S1214" s="309" t="s">
        <v>1950</v>
      </c>
      <c r="Y1214" s="167">
        <v>0.21</v>
      </c>
      <c r="Z1214" s="165" t="s">
        <v>577</v>
      </c>
      <c r="AA1214" s="154" t="s">
        <v>1951</v>
      </c>
      <c r="AB1214" s="173">
        <f t="shared" ref="AB1214:AB1226" si="148">AB1242</f>
        <v>4357.67</v>
      </c>
      <c r="AC1214" s="154" t="s">
        <v>577</v>
      </c>
      <c r="AD1214" s="167">
        <f>(Y1214*AB1214)</f>
        <v>915.11069999999995</v>
      </c>
      <c r="AE1214" s="172" t="str">
        <f t="shared" si="147"/>
        <v>|</v>
      </c>
      <c r="AG1214" s="154" t="s">
        <v>1158</v>
      </c>
    </row>
    <row r="1215" spans="6:37" ht="24" customHeight="1">
      <c r="F1215" s="155" t="s">
        <v>1952</v>
      </c>
      <c r="G1215" s="165" t="s">
        <v>307</v>
      </c>
      <c r="H1215" s="154" t="s">
        <v>1953</v>
      </c>
      <c r="M1215" s="167">
        <v>10</v>
      </c>
      <c r="N1215" s="165" t="s">
        <v>916</v>
      </c>
      <c r="O1215" s="223" t="s">
        <v>1954</v>
      </c>
      <c r="P1215" s="194">
        <v>599</v>
      </c>
      <c r="Q1215" s="155" t="s">
        <v>916</v>
      </c>
      <c r="R1215" s="167">
        <f>M1215*P1215</f>
        <v>5990</v>
      </c>
      <c r="S1215" s="159">
        <v>694.02</v>
      </c>
      <c r="T1215" s="76">
        <f>S1215*M1215</f>
        <v>6940.2</v>
      </c>
      <c r="Z1215" s="156"/>
      <c r="AA1215" s="154" t="s">
        <v>1955</v>
      </c>
      <c r="AB1215" s="173" t="str">
        <f t="shared" si="148"/>
        <v/>
      </c>
      <c r="AC1215" s="158"/>
      <c r="AD1215" s="154" t="s">
        <v>22</v>
      </c>
      <c r="AE1215" s="172" t="str">
        <f t="shared" si="147"/>
        <v>|</v>
      </c>
      <c r="AG1215" s="154" t="s">
        <v>1158</v>
      </c>
    </row>
    <row r="1216" spans="6:37" ht="24" customHeight="1">
      <c r="H1216" s="154" t="s">
        <v>1956</v>
      </c>
      <c r="M1216" s="167">
        <v>0.21</v>
      </c>
      <c r="N1216" s="165" t="s">
        <v>577</v>
      </c>
      <c r="O1216" s="154" t="s">
        <v>1951</v>
      </c>
      <c r="P1216" s="167">
        <f>I1220</f>
        <v>4357.67</v>
      </c>
      <c r="Q1216" s="155" t="s">
        <v>577</v>
      </c>
      <c r="R1216" s="167">
        <f t="shared" ref="R1216:R1225" si="149">(M1216*P1216)</f>
        <v>915.11069999999995</v>
      </c>
      <c r="T1216" s="76">
        <f>R1216</f>
        <v>915.11069999999995</v>
      </c>
      <c r="Y1216" s="167">
        <v>1.1000000000000001</v>
      </c>
      <c r="Z1216" s="165" t="s">
        <v>680</v>
      </c>
      <c r="AA1216" s="154" t="s">
        <v>778</v>
      </c>
      <c r="AB1216" s="173">
        <f t="shared" si="148"/>
        <v>717.2</v>
      </c>
      <c r="AC1216" s="154" t="s">
        <v>680</v>
      </c>
      <c r="AD1216" s="167">
        <f>(Y1216*AB1216)</f>
        <v>788.92000000000007</v>
      </c>
      <c r="AE1216" s="172" t="str">
        <f t="shared" si="147"/>
        <v>|</v>
      </c>
      <c r="AG1216" s="154" t="s">
        <v>1158</v>
      </c>
    </row>
    <row r="1217" spans="6:33" ht="24" customHeight="1">
      <c r="H1217" s="162" t="s">
        <v>534</v>
      </c>
      <c r="M1217" s="167">
        <v>1.1000000000000001</v>
      </c>
      <c r="N1217" s="165" t="s">
        <v>680</v>
      </c>
      <c r="O1217" s="154" t="s">
        <v>778</v>
      </c>
      <c r="P1217" s="167">
        <f>I1222</f>
        <v>717.2</v>
      </c>
      <c r="Q1217" s="155" t="s">
        <v>680</v>
      </c>
      <c r="R1217" s="167">
        <f t="shared" si="149"/>
        <v>788.92000000000007</v>
      </c>
      <c r="T1217" s="76">
        <f t="shared" ref="T1217:T1225" si="150">R1217</f>
        <v>788.92000000000007</v>
      </c>
      <c r="Y1217" s="167">
        <v>1.1000000000000001</v>
      </c>
      <c r="Z1217" s="165" t="s">
        <v>680</v>
      </c>
      <c r="AA1217" s="154" t="s">
        <v>752</v>
      </c>
      <c r="AB1217" s="173">
        <f t="shared" si="148"/>
        <v>669.90000000000009</v>
      </c>
      <c r="AC1217" s="154" t="s">
        <v>680</v>
      </c>
      <c r="AD1217" s="167">
        <f>(Y1217*AB1217)</f>
        <v>736.89000000000021</v>
      </c>
      <c r="AE1217" s="172" t="str">
        <f t="shared" si="147"/>
        <v>|</v>
      </c>
      <c r="AG1217" s="154" t="s">
        <v>1158</v>
      </c>
    </row>
    <row r="1218" spans="6:33" ht="24" customHeight="1">
      <c r="F1218" s="167">
        <v>160</v>
      </c>
      <c r="G1218" s="165" t="s">
        <v>1882</v>
      </c>
      <c r="H1218" s="154" t="s">
        <v>1957</v>
      </c>
      <c r="I1218" s="167">
        <f>(C137)</f>
        <v>11445</v>
      </c>
      <c r="J1218" s="154" t="s">
        <v>805</v>
      </c>
      <c r="K1218" s="167">
        <f>(F1218*I1218)/1000</f>
        <v>1831.2</v>
      </c>
      <c r="M1218" s="167">
        <v>1.1000000000000001</v>
      </c>
      <c r="N1218" s="165" t="s">
        <v>680</v>
      </c>
      <c r="O1218" s="154" t="s">
        <v>752</v>
      </c>
      <c r="P1218" s="167">
        <f>I1223</f>
        <v>669.90000000000009</v>
      </c>
      <c r="Q1218" s="155" t="s">
        <v>680</v>
      </c>
      <c r="R1218" s="167">
        <f t="shared" si="149"/>
        <v>736.89000000000021</v>
      </c>
      <c r="T1218" s="76">
        <f t="shared" si="150"/>
        <v>736.89000000000021</v>
      </c>
      <c r="Y1218" s="167">
        <v>2.2000000000000002</v>
      </c>
      <c r="Z1218" s="165" t="s">
        <v>680</v>
      </c>
      <c r="AA1218" s="154" t="s">
        <v>754</v>
      </c>
      <c r="AB1218" s="173">
        <f t="shared" si="148"/>
        <v>468.6</v>
      </c>
      <c r="AC1218" s="154" t="s">
        <v>680</v>
      </c>
      <c r="AD1218" s="167">
        <f>(Y1218*AB1218)</f>
        <v>1030.92</v>
      </c>
      <c r="AE1218" s="172" t="str">
        <f t="shared" si="147"/>
        <v>|</v>
      </c>
      <c r="AG1218" s="154" t="s">
        <v>1158</v>
      </c>
    </row>
    <row r="1219" spans="6:33" ht="24" customHeight="1">
      <c r="H1219" s="154" t="s">
        <v>1958</v>
      </c>
      <c r="I1219" s="154" t="s">
        <v>22</v>
      </c>
      <c r="K1219" s="154" t="s">
        <v>22</v>
      </c>
      <c r="M1219" s="167">
        <v>2.2000000000000002</v>
      </c>
      <c r="N1219" s="165" t="s">
        <v>680</v>
      </c>
      <c r="O1219" s="154" t="s">
        <v>754</v>
      </c>
      <c r="P1219" s="167">
        <f>I1224</f>
        <v>468.6</v>
      </c>
      <c r="Q1219" s="155" t="s">
        <v>680</v>
      </c>
      <c r="R1219" s="167">
        <f t="shared" si="149"/>
        <v>1030.92</v>
      </c>
      <c r="T1219" s="76">
        <f t="shared" si="150"/>
        <v>1030.92</v>
      </c>
      <c r="Y1219" s="167">
        <v>2.2000000000000002</v>
      </c>
      <c r="Z1219" s="165" t="s">
        <v>680</v>
      </c>
      <c r="AA1219" s="154" t="s">
        <v>756</v>
      </c>
      <c r="AB1219" s="173">
        <f t="shared" si="148"/>
        <v>404.8</v>
      </c>
      <c r="AC1219" s="154" t="s">
        <v>680</v>
      </c>
      <c r="AD1219" s="167">
        <f>(Y1219*AB1219)</f>
        <v>890.56000000000006</v>
      </c>
      <c r="AE1219" s="172" t="str">
        <f t="shared" si="147"/>
        <v>|</v>
      </c>
      <c r="AG1219" s="154" t="s">
        <v>1158</v>
      </c>
    </row>
    <row r="1220" spans="6:33" ht="24" customHeight="1">
      <c r="F1220" s="167">
        <v>0.21</v>
      </c>
      <c r="G1220" s="165" t="s">
        <v>577</v>
      </c>
      <c r="H1220" s="154" t="s">
        <v>1951</v>
      </c>
      <c r="I1220" s="167">
        <f>(K32)</f>
        <v>4357.67</v>
      </c>
      <c r="J1220" s="154" t="s">
        <v>577</v>
      </c>
      <c r="K1220" s="167">
        <f>(F1220*I1220)</f>
        <v>915.11069999999995</v>
      </c>
      <c r="M1220" s="167">
        <v>2.2000000000000002</v>
      </c>
      <c r="N1220" s="165" t="s">
        <v>680</v>
      </c>
      <c r="O1220" s="154" t="s">
        <v>756</v>
      </c>
      <c r="P1220" s="167">
        <f>I1225</f>
        <v>404.8</v>
      </c>
      <c r="Q1220" s="155" t="s">
        <v>680</v>
      </c>
      <c r="R1220" s="167">
        <f t="shared" si="149"/>
        <v>890.56000000000006</v>
      </c>
      <c r="T1220" s="76">
        <f t="shared" si="150"/>
        <v>890.56000000000006</v>
      </c>
      <c r="Y1220" s="198">
        <v>20</v>
      </c>
      <c r="Z1220" s="165" t="s">
        <v>420</v>
      </c>
      <c r="AA1220" s="154" t="s">
        <v>568</v>
      </c>
      <c r="AB1220" s="173">
        <f t="shared" si="148"/>
        <v>5750</v>
      </c>
      <c r="AC1220" s="154" t="s">
        <v>567</v>
      </c>
      <c r="AD1220" s="167">
        <f>(Y1220*AB1220)/1000</f>
        <v>115</v>
      </c>
      <c r="AE1220" s="172" t="str">
        <f t="shared" si="147"/>
        <v>|</v>
      </c>
      <c r="AG1220" s="154" t="s">
        <v>1158</v>
      </c>
    </row>
    <row r="1221" spans="6:33" ht="24" customHeight="1">
      <c r="H1221" s="154" t="s">
        <v>1955</v>
      </c>
      <c r="I1221" s="154" t="s">
        <v>22</v>
      </c>
      <c r="K1221" s="154" t="s">
        <v>22</v>
      </c>
      <c r="M1221" s="198">
        <v>20</v>
      </c>
      <c r="N1221" s="165" t="s">
        <v>420</v>
      </c>
      <c r="O1221" s="154" t="s">
        <v>568</v>
      </c>
      <c r="P1221" s="167">
        <f>I1226</f>
        <v>5750</v>
      </c>
      <c r="Q1221" s="155" t="s">
        <v>567</v>
      </c>
      <c r="R1221" s="167">
        <f>(M1221*P1221)/1000</f>
        <v>115</v>
      </c>
      <c r="T1221" s="76">
        <f t="shared" si="150"/>
        <v>115</v>
      </c>
      <c r="Y1221" s="198">
        <v>2</v>
      </c>
      <c r="Z1221" s="165" t="s">
        <v>420</v>
      </c>
      <c r="AA1221" s="154" t="s">
        <v>1959</v>
      </c>
      <c r="AB1221" s="173">
        <f t="shared" si="148"/>
        <v>36.1</v>
      </c>
      <c r="AC1221" s="154" t="s">
        <v>420</v>
      </c>
      <c r="AD1221" s="167">
        <f>(Y1221*AB1221)</f>
        <v>72.2</v>
      </c>
      <c r="AE1221" s="172" t="str">
        <f t="shared" si="147"/>
        <v>|</v>
      </c>
      <c r="AG1221" s="154" t="s">
        <v>1158</v>
      </c>
    </row>
    <row r="1222" spans="6:33" ht="24" customHeight="1">
      <c r="F1222" s="167">
        <v>1.1000000000000001</v>
      </c>
      <c r="G1222" s="165" t="s">
        <v>680</v>
      </c>
      <c r="H1222" s="154" t="s">
        <v>778</v>
      </c>
      <c r="I1222" s="167">
        <f>(C10)</f>
        <v>717.2</v>
      </c>
      <c r="J1222" s="154" t="s">
        <v>680</v>
      </c>
      <c r="K1222" s="167">
        <f>(F1222*I1222)</f>
        <v>788.92000000000007</v>
      </c>
      <c r="M1222" s="198">
        <v>2</v>
      </c>
      <c r="N1222" s="165" t="s">
        <v>420</v>
      </c>
      <c r="O1222" s="223" t="s">
        <v>1960</v>
      </c>
      <c r="P1222" s="174">
        <f>(22+26.6)/2</f>
        <v>24.3</v>
      </c>
      <c r="Q1222" s="155" t="s">
        <v>420</v>
      </c>
      <c r="R1222" s="167">
        <f t="shared" si="149"/>
        <v>48.6</v>
      </c>
      <c r="T1222" s="76">
        <f t="shared" si="150"/>
        <v>48.6</v>
      </c>
      <c r="Y1222" s="167">
        <v>1.6</v>
      </c>
      <c r="Z1222" s="165" t="s">
        <v>680</v>
      </c>
      <c r="AA1222" s="154" t="s">
        <v>752</v>
      </c>
      <c r="AB1222" s="173">
        <f t="shared" si="148"/>
        <v>669.90000000000009</v>
      </c>
      <c r="AC1222" s="154" t="s">
        <v>680</v>
      </c>
      <c r="AD1222" s="167">
        <f>(Y1222*AB1222)</f>
        <v>1071.8400000000001</v>
      </c>
      <c r="AE1222" s="172" t="str">
        <f t="shared" si="147"/>
        <v>|</v>
      </c>
      <c r="AG1222" s="154" t="s">
        <v>1158</v>
      </c>
    </row>
    <row r="1223" spans="6:33" ht="24" customHeight="1">
      <c r="F1223" s="167">
        <v>1.1000000000000001</v>
      </c>
      <c r="G1223" s="165" t="s">
        <v>680</v>
      </c>
      <c r="H1223" s="154" t="s">
        <v>752</v>
      </c>
      <c r="I1223" s="167">
        <f>(C11)</f>
        <v>669.90000000000009</v>
      </c>
      <c r="J1223" s="154" t="s">
        <v>680</v>
      </c>
      <c r="K1223" s="167">
        <f>(F1223*I1223)</f>
        <v>736.89000000000021</v>
      </c>
      <c r="M1223" s="167">
        <v>1.6</v>
      </c>
      <c r="N1223" s="165" t="s">
        <v>680</v>
      </c>
      <c r="O1223" s="154" t="s">
        <v>752</v>
      </c>
      <c r="P1223" s="167">
        <f>P1218</f>
        <v>669.90000000000009</v>
      </c>
      <c r="Q1223" s="155" t="s">
        <v>680</v>
      </c>
      <c r="R1223" s="167">
        <f t="shared" si="149"/>
        <v>1071.8400000000001</v>
      </c>
      <c r="T1223" s="76">
        <f t="shared" si="150"/>
        <v>1071.8400000000001</v>
      </c>
      <c r="Y1223" s="167">
        <v>0.5</v>
      </c>
      <c r="Z1223" s="165" t="s">
        <v>680</v>
      </c>
      <c r="AA1223" s="154" t="s">
        <v>754</v>
      </c>
      <c r="AB1223" s="173">
        <f t="shared" si="148"/>
        <v>468.6</v>
      </c>
      <c r="AC1223" s="154" t="s">
        <v>680</v>
      </c>
      <c r="AD1223" s="167">
        <f>(Y1223*AB1223)</f>
        <v>234.3</v>
      </c>
      <c r="AE1223" s="172" t="str">
        <f t="shared" si="147"/>
        <v>|</v>
      </c>
      <c r="AG1223" s="154" t="s">
        <v>1158</v>
      </c>
    </row>
    <row r="1224" spans="6:33" ht="24" customHeight="1">
      <c r="F1224" s="167">
        <v>2.2000000000000002</v>
      </c>
      <c r="G1224" s="165" t="s">
        <v>680</v>
      </c>
      <c r="H1224" s="154" t="s">
        <v>754</v>
      </c>
      <c r="I1224" s="167">
        <f>(C12)</f>
        <v>468.6</v>
      </c>
      <c r="J1224" s="154" t="s">
        <v>680</v>
      </c>
      <c r="K1224" s="167">
        <f>(F1224*I1224)</f>
        <v>1030.92</v>
      </c>
      <c r="M1224" s="167">
        <v>0.5</v>
      </c>
      <c r="N1224" s="165" t="s">
        <v>680</v>
      </c>
      <c r="O1224" s="154" t="s">
        <v>754</v>
      </c>
      <c r="P1224" s="167">
        <f>P1219</f>
        <v>468.6</v>
      </c>
      <c r="Q1224" s="155" t="s">
        <v>680</v>
      </c>
      <c r="R1224" s="167">
        <f t="shared" si="149"/>
        <v>234.3</v>
      </c>
      <c r="T1224" s="76">
        <f t="shared" si="150"/>
        <v>234.3</v>
      </c>
      <c r="Y1224" s="167">
        <v>1.1000000000000001</v>
      </c>
      <c r="Z1224" s="165" t="s">
        <v>680</v>
      </c>
      <c r="AA1224" s="154" t="s">
        <v>756</v>
      </c>
      <c r="AB1224" s="173">
        <f t="shared" si="148"/>
        <v>404.8</v>
      </c>
      <c r="AC1224" s="154" t="s">
        <v>680</v>
      </c>
      <c r="AD1224" s="167">
        <f>(Y1224*AB1224)</f>
        <v>445.28000000000003</v>
      </c>
      <c r="AE1224" s="172" t="str">
        <f t="shared" si="147"/>
        <v>|</v>
      </c>
      <c r="AG1224" s="154" t="s">
        <v>1158</v>
      </c>
    </row>
    <row r="1225" spans="6:33" ht="24" customHeight="1">
      <c r="F1225" s="167">
        <v>2.2000000000000002</v>
      </c>
      <c r="G1225" s="165" t="s">
        <v>680</v>
      </c>
      <c r="H1225" s="154" t="s">
        <v>756</v>
      </c>
      <c r="I1225" s="167">
        <f>(C13)</f>
        <v>404.8</v>
      </c>
      <c r="J1225" s="154" t="s">
        <v>680</v>
      </c>
      <c r="K1225" s="167">
        <f>(F1225*I1225)</f>
        <v>890.56000000000006</v>
      </c>
      <c r="M1225" s="167">
        <v>1.1000000000000001</v>
      </c>
      <c r="N1225" s="165" t="s">
        <v>680</v>
      </c>
      <c r="O1225" s="154" t="s">
        <v>756</v>
      </c>
      <c r="P1225" s="167">
        <f>P1220</f>
        <v>404.8</v>
      </c>
      <c r="Q1225" s="155" t="s">
        <v>680</v>
      </c>
      <c r="R1225" s="167">
        <f t="shared" si="149"/>
        <v>445.28000000000003</v>
      </c>
      <c r="T1225" s="76">
        <f t="shared" si="150"/>
        <v>445.28000000000003</v>
      </c>
      <c r="Z1225" s="165" t="s">
        <v>589</v>
      </c>
      <c r="AA1225" s="154" t="s">
        <v>590</v>
      </c>
      <c r="AB1225" s="173">
        <f t="shared" si="148"/>
        <v>0</v>
      </c>
      <c r="AC1225" s="154" t="s">
        <v>589</v>
      </c>
      <c r="AD1225" s="167">
        <v>0</v>
      </c>
      <c r="AE1225" s="172" t="str">
        <f t="shared" si="147"/>
        <v>|</v>
      </c>
      <c r="AG1225" s="154" t="s">
        <v>1158</v>
      </c>
    </row>
    <row r="1226" spans="6:33" ht="24" customHeight="1">
      <c r="F1226" s="198">
        <v>22</v>
      </c>
      <c r="G1226" s="165" t="s">
        <v>420</v>
      </c>
      <c r="H1226" s="154" t="s">
        <v>568</v>
      </c>
      <c r="I1226" s="167">
        <f>(C67)</f>
        <v>5750</v>
      </c>
      <c r="J1226" s="154" t="s">
        <v>567</v>
      </c>
      <c r="K1226" s="167">
        <f>(F1226*I1226)/1000</f>
        <v>126.5</v>
      </c>
      <c r="N1226" s="165" t="s">
        <v>589</v>
      </c>
      <c r="O1226" s="154" t="s">
        <v>590</v>
      </c>
      <c r="Q1226" s="155" t="s">
        <v>589</v>
      </c>
      <c r="R1226" s="167">
        <v>4.5999999999999996</v>
      </c>
      <c r="S1226" s="159">
        <f>3.27-0.52</f>
        <v>2.75</v>
      </c>
      <c r="T1226" s="76">
        <v>2.74</v>
      </c>
      <c r="Z1226" s="156"/>
      <c r="AB1226" s="173">
        <f t="shared" si="148"/>
        <v>0</v>
      </c>
      <c r="AC1226" s="158"/>
      <c r="AD1226" s="162" t="s">
        <v>534</v>
      </c>
      <c r="AE1226" s="172" t="str">
        <f t="shared" si="147"/>
        <v>|</v>
      </c>
      <c r="AG1226" s="154" t="s">
        <v>1158</v>
      </c>
    </row>
    <row r="1227" spans="6:33" ht="24" customHeight="1">
      <c r="F1227" s="167">
        <v>1.6</v>
      </c>
      <c r="G1227" s="165" t="s">
        <v>680</v>
      </c>
      <c r="H1227" s="154" t="s">
        <v>752</v>
      </c>
      <c r="I1227" s="167">
        <f>(C11)</f>
        <v>669.90000000000009</v>
      </c>
      <c r="J1227" s="154" t="s">
        <v>680</v>
      </c>
      <c r="K1227" s="167">
        <f>(F1227*I1227)</f>
        <v>1071.8400000000001</v>
      </c>
      <c r="N1227" s="156"/>
      <c r="Q1227" s="160"/>
      <c r="R1227" s="162" t="s">
        <v>534</v>
      </c>
      <c r="Z1227" s="156"/>
      <c r="AA1227" s="154" t="s">
        <v>879</v>
      </c>
      <c r="AC1227" s="158"/>
      <c r="AD1227" s="167">
        <f>SUM(AD1213:AD1225)</f>
        <v>12216.920700000001</v>
      </c>
      <c r="AE1227" s="172" t="str">
        <f t="shared" si="147"/>
        <v>|::</v>
      </c>
      <c r="AG1227" s="154" t="s">
        <v>947</v>
      </c>
    </row>
    <row r="1228" spans="6:33" ht="24" customHeight="1">
      <c r="F1228" s="167">
        <v>0.5</v>
      </c>
      <c r="G1228" s="165" t="s">
        <v>680</v>
      </c>
      <c r="H1228" s="154" t="s">
        <v>754</v>
      </c>
      <c r="I1228" s="167">
        <f>(C12)</f>
        <v>468.6</v>
      </c>
      <c r="J1228" s="154" t="s">
        <v>680</v>
      </c>
      <c r="K1228" s="167">
        <f>(F1228*I1228)</f>
        <v>234.3</v>
      </c>
      <c r="N1228" s="156"/>
      <c r="O1228" s="154" t="s">
        <v>879</v>
      </c>
      <c r="Q1228" s="160"/>
      <c r="R1228" s="167">
        <f>SUM(R1215:R1226)</f>
        <v>12272.020700000001</v>
      </c>
      <c r="T1228" s="167">
        <f>SUM(T1215:T1227)</f>
        <v>13220.360699999999</v>
      </c>
      <c r="Z1228" s="156"/>
      <c r="AC1228" s="158"/>
      <c r="AD1228" s="162" t="s">
        <v>534</v>
      </c>
      <c r="AE1228" s="172">
        <f t="shared" si="147"/>
        <v>0</v>
      </c>
    </row>
    <row r="1229" spans="6:33" ht="24" customHeight="1">
      <c r="F1229" s="167">
        <v>1.1000000000000001</v>
      </c>
      <c r="G1229" s="165" t="s">
        <v>680</v>
      </c>
      <c r="H1229" s="154" t="s">
        <v>756</v>
      </c>
      <c r="I1229" s="167">
        <f>(C13)</f>
        <v>404.8</v>
      </c>
      <c r="J1229" s="154" t="s">
        <v>680</v>
      </c>
      <c r="K1229" s="167">
        <f>(F1229*I1229)</f>
        <v>445.28000000000003</v>
      </c>
      <c r="N1229" s="156"/>
      <c r="Q1229" s="160"/>
      <c r="R1229" s="162" t="s">
        <v>534</v>
      </c>
      <c r="Z1229" s="156"/>
      <c r="AA1229" s="169" t="s">
        <v>881</v>
      </c>
      <c r="AC1229" s="158"/>
      <c r="AD1229" s="166">
        <f>(AD1227/10)</f>
        <v>1221.6920700000001</v>
      </c>
      <c r="AE1229" s="172">
        <f t="shared" si="147"/>
        <v>0</v>
      </c>
    </row>
    <row r="1230" spans="6:33" ht="24" customHeight="1">
      <c r="F1230" s="154" t="s">
        <v>535</v>
      </c>
      <c r="H1230" s="154" t="s">
        <v>1961</v>
      </c>
      <c r="I1230" s="154" t="s">
        <v>22</v>
      </c>
      <c r="K1230" s="154" t="s">
        <v>22</v>
      </c>
      <c r="N1230" s="156"/>
      <c r="O1230" s="157" t="s">
        <v>881</v>
      </c>
      <c r="Q1230" s="160"/>
      <c r="R1230" s="166">
        <f>(R1228/10)</f>
        <v>1227.20207</v>
      </c>
      <c r="S1230" s="159">
        <f>R1230-975.62</f>
        <v>251.58207000000004</v>
      </c>
      <c r="T1230" s="166">
        <f>(T1228/10)</f>
        <v>1322.0360699999999</v>
      </c>
      <c r="Z1230" s="156"/>
      <c r="AC1230" s="158"/>
      <c r="AD1230" s="162" t="s">
        <v>528</v>
      </c>
      <c r="AE1230" s="172" t="str">
        <f t="shared" si="147"/>
        <v>|</v>
      </c>
      <c r="AG1230" s="154" t="s">
        <v>1158</v>
      </c>
    </row>
    <row r="1231" spans="6:33" ht="24" customHeight="1">
      <c r="F1231" s="167">
        <v>1</v>
      </c>
      <c r="G1231" s="165" t="s">
        <v>589</v>
      </c>
      <c r="H1231" s="154" t="s">
        <v>1962</v>
      </c>
      <c r="I1231" s="167">
        <f>(C57)</f>
        <v>35</v>
      </c>
      <c r="J1231" s="154" t="s">
        <v>589</v>
      </c>
      <c r="K1231" s="167">
        <f>(F1231*I1231)</f>
        <v>35</v>
      </c>
      <c r="N1231" s="156"/>
      <c r="O1231" s="308" t="s">
        <v>1963</v>
      </c>
      <c r="P1231" s="199" t="s">
        <v>1964</v>
      </c>
      <c r="Q1231" s="160"/>
      <c r="AE1231" s="172" t="str">
        <f t="shared" si="147"/>
        <v>|</v>
      </c>
      <c r="AG1231" s="154" t="s">
        <v>1158</v>
      </c>
    </row>
    <row r="1232" spans="6:33" ht="24" customHeight="1">
      <c r="F1232" s="167">
        <v>1</v>
      </c>
      <c r="G1232" s="165" t="s">
        <v>589</v>
      </c>
      <c r="H1232" s="154" t="s">
        <v>1965</v>
      </c>
      <c r="I1232" s="167">
        <f>(C58)</f>
        <v>15</v>
      </c>
      <c r="J1232" s="154" t="s">
        <v>589</v>
      </c>
      <c r="K1232" s="167">
        <f>(F1232*I1232)</f>
        <v>15</v>
      </c>
      <c r="N1232" s="156"/>
      <c r="Q1232" s="160"/>
      <c r="AE1232" s="172" t="str">
        <f t="shared" si="147"/>
        <v>|</v>
      </c>
      <c r="AG1232" s="154" t="s">
        <v>1158</v>
      </c>
    </row>
    <row r="1233" spans="6:33" ht="24" customHeight="1">
      <c r="F1233" s="167">
        <v>1</v>
      </c>
      <c r="G1233" s="165" t="s">
        <v>589</v>
      </c>
      <c r="H1233" s="154" t="s">
        <v>1966</v>
      </c>
      <c r="I1233" s="167">
        <f>(C28)</f>
        <v>84</v>
      </c>
      <c r="J1233" s="154" t="s">
        <v>589</v>
      </c>
      <c r="K1233" s="167">
        <f>(F1233*I1233)</f>
        <v>84</v>
      </c>
      <c r="M1233" s="310"/>
      <c r="N1233" s="311"/>
      <c r="O1233" s="310"/>
      <c r="P1233" s="310"/>
      <c r="Q1233" s="160"/>
      <c r="AE1233" s="172" t="str">
        <f t="shared" si="147"/>
        <v>|</v>
      </c>
      <c r="AG1233" s="154" t="s">
        <v>1158</v>
      </c>
    </row>
    <row r="1234" spans="6:33" ht="24" customHeight="1">
      <c r="F1234" s="167">
        <v>1.1000000000000001</v>
      </c>
      <c r="G1234" s="165" t="s">
        <v>680</v>
      </c>
      <c r="H1234" s="154" t="s">
        <v>1967</v>
      </c>
      <c r="I1234" s="167">
        <f>(C29)</f>
        <v>552.20000000000005</v>
      </c>
      <c r="J1234" s="154" t="s">
        <v>680</v>
      </c>
      <c r="K1234" s="167">
        <f>(F1234*I1234)</f>
        <v>607.42000000000007</v>
      </c>
      <c r="M1234" s="167">
        <v>10</v>
      </c>
      <c r="N1234" s="165" t="s">
        <v>916</v>
      </c>
      <c r="O1234" s="154" t="s">
        <v>1968</v>
      </c>
      <c r="P1234" s="312">
        <v>597</v>
      </c>
      <c r="Q1234" s="155" t="s">
        <v>916</v>
      </c>
      <c r="R1234" s="167">
        <f>M1234*P1234</f>
        <v>5970</v>
      </c>
      <c r="T1234" s="156"/>
      <c r="U1234" s="308" t="s">
        <v>1969</v>
      </c>
      <c r="W1234" s="160"/>
      <c r="AE1234" s="172" t="str">
        <f t="shared" si="147"/>
        <v>|</v>
      </c>
      <c r="AG1234" s="154" t="s">
        <v>1158</v>
      </c>
    </row>
    <row r="1235" spans="6:33" ht="24" customHeight="1">
      <c r="F1235" s="167">
        <v>2.2000000000000002</v>
      </c>
      <c r="G1235" s="165" t="s">
        <v>680</v>
      </c>
      <c r="H1235" s="154" t="s">
        <v>1970</v>
      </c>
      <c r="I1235" s="167">
        <f>(C13)</f>
        <v>404.8</v>
      </c>
      <c r="J1235" s="154" t="s">
        <v>680</v>
      </c>
      <c r="K1235" s="167">
        <f>(F1235*I1235)</f>
        <v>890.56000000000006</v>
      </c>
      <c r="M1235" s="167">
        <v>0.21</v>
      </c>
      <c r="N1235" s="165" t="s">
        <v>577</v>
      </c>
      <c r="O1235" s="154" t="s">
        <v>1951</v>
      </c>
      <c r="P1235" s="167">
        <f>P1258</f>
        <v>4357.67</v>
      </c>
      <c r="Q1235" s="155" t="s">
        <v>577</v>
      </c>
      <c r="R1235" s="167">
        <f>(M1235*P1235)</f>
        <v>915.11069999999995</v>
      </c>
      <c r="T1235" s="156"/>
      <c r="W1235" s="160"/>
      <c r="AE1235" s="172" t="str">
        <f t="shared" si="147"/>
        <v>|</v>
      </c>
      <c r="AG1235" s="154" t="s">
        <v>1158</v>
      </c>
    </row>
    <row r="1236" spans="6:33" ht="24" customHeight="1">
      <c r="G1236" s="165" t="s">
        <v>589</v>
      </c>
      <c r="H1236" s="154" t="s">
        <v>590</v>
      </c>
      <c r="J1236" s="154" t="s">
        <v>589</v>
      </c>
      <c r="K1236" s="167">
        <v>0</v>
      </c>
      <c r="M1236" s="167">
        <v>1.1000000000000001</v>
      </c>
      <c r="N1236" s="165" t="s">
        <v>680</v>
      </c>
      <c r="O1236" s="154" t="s">
        <v>778</v>
      </c>
      <c r="P1236" s="167">
        <f t="shared" ref="P1236:P1244" si="151">P1259</f>
        <v>717.2</v>
      </c>
      <c r="Q1236" s="155" t="s">
        <v>680</v>
      </c>
      <c r="R1236" s="167">
        <f>(M1236*P1236)</f>
        <v>788.92000000000007</v>
      </c>
      <c r="T1236" s="156"/>
      <c r="W1236" s="160"/>
      <c r="AE1236" s="172" t="str">
        <f t="shared" si="147"/>
        <v>|</v>
      </c>
      <c r="AG1236" s="154" t="s">
        <v>1158</v>
      </c>
    </row>
    <row r="1237" spans="6:33" ht="24" customHeight="1">
      <c r="K1237" s="162" t="s">
        <v>534</v>
      </c>
      <c r="M1237" s="167">
        <v>1.1000000000000001</v>
      </c>
      <c r="N1237" s="165" t="s">
        <v>680</v>
      </c>
      <c r="O1237" s="154" t="s">
        <v>752</v>
      </c>
      <c r="P1237" s="167">
        <f t="shared" si="151"/>
        <v>669.90000000000009</v>
      </c>
      <c r="Q1237" s="155" t="s">
        <v>680</v>
      </c>
      <c r="R1237" s="167">
        <f>(M1237*P1237)</f>
        <v>736.89000000000021</v>
      </c>
      <c r="S1237" s="198">
        <v>10</v>
      </c>
      <c r="T1237" s="165" t="s">
        <v>916</v>
      </c>
      <c r="U1237" s="154" t="s">
        <v>1971</v>
      </c>
      <c r="V1237" s="255">
        <v>700</v>
      </c>
      <c r="W1237" s="155" t="s">
        <v>916</v>
      </c>
      <c r="X1237" s="167">
        <f>S1237*V1237</f>
        <v>7000</v>
      </c>
      <c r="Y1237" s="200">
        <v>29.5</v>
      </c>
      <c r="Z1237" s="165" t="s">
        <v>307</v>
      </c>
      <c r="AA1237" s="157" t="s">
        <v>1972</v>
      </c>
      <c r="AE1237" s="172" t="str">
        <f t="shared" si="147"/>
        <v>|</v>
      </c>
      <c r="AG1237" s="154" t="s">
        <v>1158</v>
      </c>
    </row>
    <row r="1238" spans="6:33" ht="24" customHeight="1">
      <c r="H1238" s="154" t="s">
        <v>879</v>
      </c>
      <c r="K1238" s="167">
        <f>SUM(K1218:K1236)</f>
        <v>9703.5007000000005</v>
      </c>
      <c r="M1238" s="167">
        <v>2.2000000000000002</v>
      </c>
      <c r="N1238" s="165" t="s">
        <v>680</v>
      </c>
      <c r="O1238" s="154" t="s">
        <v>754</v>
      </c>
      <c r="P1238" s="167">
        <f t="shared" si="151"/>
        <v>468.6</v>
      </c>
      <c r="Q1238" s="155" t="s">
        <v>680</v>
      </c>
      <c r="R1238" s="167">
        <f>(M1238*P1238)</f>
        <v>1030.92</v>
      </c>
      <c r="S1238" s="198">
        <v>0.21</v>
      </c>
      <c r="T1238" s="165" t="s">
        <v>577</v>
      </c>
      <c r="U1238" s="154" t="s">
        <v>1951</v>
      </c>
      <c r="V1238" s="167">
        <f t="shared" ref="V1238:V1247" si="152">P1258</f>
        <v>4357.67</v>
      </c>
      <c r="W1238" s="155" t="s">
        <v>577</v>
      </c>
      <c r="X1238" s="167">
        <f>(S1238*V1238)</f>
        <v>915.11069999999995</v>
      </c>
      <c r="Z1238" s="156"/>
      <c r="AA1238" s="154"/>
      <c r="AE1238" s="172" t="str">
        <f t="shared" si="147"/>
        <v>|</v>
      </c>
      <c r="AG1238" s="154" t="s">
        <v>1158</v>
      </c>
    </row>
    <row r="1239" spans="6:33" ht="24" customHeight="1">
      <c r="K1239" s="162" t="s">
        <v>534</v>
      </c>
      <c r="M1239" s="167">
        <v>2.2000000000000002</v>
      </c>
      <c r="N1239" s="165" t="s">
        <v>680</v>
      </c>
      <c r="O1239" s="154" t="s">
        <v>756</v>
      </c>
      <c r="P1239" s="167">
        <f t="shared" si="151"/>
        <v>404.8</v>
      </c>
      <c r="Q1239" s="155" t="s">
        <v>680</v>
      </c>
      <c r="R1239" s="167">
        <f>(M1239*P1239)</f>
        <v>890.56000000000006</v>
      </c>
      <c r="S1239" s="198">
        <v>1.1000000000000001</v>
      </c>
      <c r="T1239" s="165" t="s">
        <v>680</v>
      </c>
      <c r="U1239" s="154" t="s">
        <v>778</v>
      </c>
      <c r="V1239" s="167">
        <f t="shared" si="152"/>
        <v>717.2</v>
      </c>
      <c r="W1239" s="155" t="s">
        <v>680</v>
      </c>
      <c r="X1239" s="167">
        <f>(S1239*V1239)</f>
        <v>788.92000000000007</v>
      </c>
      <c r="Z1239" s="156"/>
      <c r="AA1239" s="154"/>
      <c r="AE1239" s="172" t="str">
        <f t="shared" si="147"/>
        <v>|</v>
      </c>
      <c r="AG1239" s="154" t="s">
        <v>1158</v>
      </c>
    </row>
    <row r="1240" spans="6:33" ht="24" customHeight="1">
      <c r="F1240" s="154" t="s">
        <v>22</v>
      </c>
      <c r="M1240" s="198">
        <v>20</v>
      </c>
      <c r="N1240" s="165" t="s">
        <v>420</v>
      </c>
      <c r="O1240" s="154" t="s">
        <v>568</v>
      </c>
      <c r="P1240" s="167">
        <f t="shared" si="151"/>
        <v>5750</v>
      </c>
      <c r="Q1240" s="155" t="s">
        <v>567</v>
      </c>
      <c r="R1240" s="167">
        <f>(M1240*P1240)/1000</f>
        <v>115</v>
      </c>
      <c r="S1240" s="198">
        <v>1.1000000000000001</v>
      </c>
      <c r="T1240" s="165" t="s">
        <v>680</v>
      </c>
      <c r="U1240" s="154" t="s">
        <v>752</v>
      </c>
      <c r="V1240" s="167">
        <f t="shared" si="152"/>
        <v>669.90000000000009</v>
      </c>
      <c r="W1240" s="155" t="s">
        <v>680</v>
      </c>
      <c r="X1240" s="167">
        <f>(S1240*V1240)</f>
        <v>736.89000000000021</v>
      </c>
      <c r="Z1240" s="156"/>
      <c r="AA1240" s="162" t="s">
        <v>534</v>
      </c>
      <c r="AB1240" s="162" t="s">
        <v>534</v>
      </c>
      <c r="AC1240" s="158"/>
      <c r="AE1240" s="172" t="str">
        <f t="shared" si="147"/>
        <v>|</v>
      </c>
      <c r="AG1240" s="154" t="s">
        <v>1158</v>
      </c>
    </row>
    <row r="1241" spans="6:33" ht="45.75" customHeight="1">
      <c r="H1241" s="169" t="s">
        <v>881</v>
      </c>
      <c r="K1241" s="166">
        <f>(K1238/10)</f>
        <v>970.35007000000007</v>
      </c>
      <c r="M1241" s="198">
        <v>2</v>
      </c>
      <c r="N1241" s="165" t="s">
        <v>420</v>
      </c>
      <c r="O1241" s="154" t="s">
        <v>1973</v>
      </c>
      <c r="P1241" s="167">
        <f t="shared" si="151"/>
        <v>36.1</v>
      </c>
      <c r="Q1241" s="155" t="s">
        <v>420</v>
      </c>
      <c r="R1241" s="167">
        <f>(M1241*P1241)</f>
        <v>72.2</v>
      </c>
      <c r="S1241" s="198">
        <v>2.2000000000000002</v>
      </c>
      <c r="T1241" s="165" t="s">
        <v>680</v>
      </c>
      <c r="U1241" s="154" t="s">
        <v>754</v>
      </c>
      <c r="V1241" s="167">
        <f t="shared" si="152"/>
        <v>468.6</v>
      </c>
      <c r="W1241" s="155" t="s">
        <v>680</v>
      </c>
      <c r="X1241" s="167">
        <f>(S1241*V1241)</f>
        <v>1030.92</v>
      </c>
      <c r="Y1241" s="167">
        <v>10</v>
      </c>
      <c r="Z1241" s="165" t="s">
        <v>916</v>
      </c>
      <c r="AA1241" s="214" t="s">
        <v>1974</v>
      </c>
      <c r="AB1241" s="174">
        <v>756</v>
      </c>
      <c r="AC1241" s="154" t="s">
        <v>916</v>
      </c>
      <c r="AD1241" s="167">
        <f>(Y1241*AB1241)</f>
        <v>7560</v>
      </c>
      <c r="AE1241" s="172" t="str">
        <f t="shared" si="147"/>
        <v>|</v>
      </c>
      <c r="AG1241" s="154" t="s">
        <v>1158</v>
      </c>
    </row>
    <row r="1242" spans="6:33" ht="24" customHeight="1">
      <c r="F1242" s="154" t="s">
        <v>22</v>
      </c>
      <c r="M1242" s="167">
        <v>1.6</v>
      </c>
      <c r="N1242" s="165" t="s">
        <v>680</v>
      </c>
      <c r="O1242" s="154" t="s">
        <v>752</v>
      </c>
      <c r="P1242" s="167">
        <f t="shared" si="151"/>
        <v>669.90000000000009</v>
      </c>
      <c r="Q1242" s="155" t="s">
        <v>680</v>
      </c>
      <c r="R1242" s="167">
        <f>(M1242*P1242)</f>
        <v>1071.8400000000001</v>
      </c>
      <c r="S1242" s="198">
        <v>2.2000000000000002</v>
      </c>
      <c r="T1242" s="165" t="s">
        <v>680</v>
      </c>
      <c r="U1242" s="154" t="s">
        <v>756</v>
      </c>
      <c r="V1242" s="167">
        <f t="shared" si="152"/>
        <v>404.8</v>
      </c>
      <c r="W1242" s="155" t="s">
        <v>680</v>
      </c>
      <c r="X1242" s="167">
        <f>(S1242*V1242)</f>
        <v>890.56000000000006</v>
      </c>
      <c r="Y1242" s="167">
        <v>0.21</v>
      </c>
      <c r="Z1242" s="165" t="s">
        <v>577</v>
      </c>
      <c r="AA1242" s="154" t="s">
        <v>1951</v>
      </c>
      <c r="AB1242" s="167">
        <f>V1238</f>
        <v>4357.67</v>
      </c>
      <c r="AC1242" s="154" t="s">
        <v>577</v>
      </c>
      <c r="AD1242" s="167">
        <f>(Y1242*AB1242)</f>
        <v>915.11069999999995</v>
      </c>
      <c r="AE1242" s="172" t="str">
        <f t="shared" si="147"/>
        <v>|</v>
      </c>
      <c r="AG1242" s="154" t="s">
        <v>1158</v>
      </c>
    </row>
    <row r="1243" spans="6:33" ht="24" customHeight="1">
      <c r="K1243" s="162" t="s">
        <v>528</v>
      </c>
      <c r="M1243" s="167">
        <v>0.5</v>
      </c>
      <c r="N1243" s="165" t="s">
        <v>680</v>
      </c>
      <c r="O1243" s="154" t="s">
        <v>754</v>
      </c>
      <c r="P1243" s="167">
        <f t="shared" si="151"/>
        <v>468.6</v>
      </c>
      <c r="Q1243" s="155" t="s">
        <v>680</v>
      </c>
      <c r="R1243" s="167">
        <f>(M1243*P1243)</f>
        <v>234.3</v>
      </c>
      <c r="S1243" s="198">
        <v>20</v>
      </c>
      <c r="T1243" s="165" t="s">
        <v>420</v>
      </c>
      <c r="U1243" s="154" t="s">
        <v>568</v>
      </c>
      <c r="V1243" s="167">
        <f t="shared" si="152"/>
        <v>5750</v>
      </c>
      <c r="W1243" s="155" t="s">
        <v>567</v>
      </c>
      <c r="X1243" s="167">
        <f>(S1243*V1243)/1000</f>
        <v>115</v>
      </c>
      <c r="Z1243" s="156"/>
      <c r="AA1243" s="154" t="s">
        <v>1955</v>
      </c>
      <c r="AB1243" s="154" t="s">
        <v>22</v>
      </c>
      <c r="AC1243" s="158"/>
      <c r="AD1243" s="154" t="s">
        <v>22</v>
      </c>
      <c r="AE1243" s="172" t="str">
        <f t="shared" si="147"/>
        <v>|</v>
      </c>
      <c r="AG1243" s="154" t="s">
        <v>1158</v>
      </c>
    </row>
    <row r="1244" spans="6:33" ht="24" customHeight="1">
      <c r="F1244" s="200">
        <v>29.5</v>
      </c>
      <c r="G1244" s="165" t="s">
        <v>307</v>
      </c>
      <c r="H1244" s="154" t="s">
        <v>1975</v>
      </c>
      <c r="M1244" s="167">
        <v>1.1000000000000001</v>
      </c>
      <c r="N1244" s="165" t="s">
        <v>680</v>
      </c>
      <c r="O1244" s="154" t="s">
        <v>756</v>
      </c>
      <c r="P1244" s="167">
        <f t="shared" si="151"/>
        <v>404.8</v>
      </c>
      <c r="Q1244" s="155" t="s">
        <v>680</v>
      </c>
      <c r="R1244" s="167">
        <f>(M1244*P1244)</f>
        <v>445.28000000000003</v>
      </c>
      <c r="S1244" s="198">
        <v>2</v>
      </c>
      <c r="T1244" s="165" t="s">
        <v>420</v>
      </c>
      <c r="U1244" s="154" t="s">
        <v>1973</v>
      </c>
      <c r="V1244" s="167">
        <f t="shared" si="152"/>
        <v>36.1</v>
      </c>
      <c r="W1244" s="155" t="s">
        <v>420</v>
      </c>
      <c r="X1244" s="167">
        <f>(S1244*V1244)</f>
        <v>72.2</v>
      </c>
      <c r="Y1244" s="167">
        <v>1.1000000000000001</v>
      </c>
      <c r="Z1244" s="165" t="s">
        <v>680</v>
      </c>
      <c r="AA1244" s="154" t="s">
        <v>778</v>
      </c>
      <c r="AB1244" s="167">
        <f>V1239</f>
        <v>717.2</v>
      </c>
      <c r="AC1244" s="154" t="s">
        <v>680</v>
      </c>
      <c r="AD1244" s="167">
        <f>(Y1244*AB1244)</f>
        <v>788.92000000000007</v>
      </c>
      <c r="AE1244" s="172" t="str">
        <f t="shared" si="147"/>
        <v>|</v>
      </c>
      <c r="AG1244" s="154" t="s">
        <v>1158</v>
      </c>
    </row>
    <row r="1245" spans="6:33" ht="24" customHeight="1">
      <c r="H1245" s="154" t="s">
        <v>1976</v>
      </c>
      <c r="N1245" s="165" t="s">
        <v>589</v>
      </c>
      <c r="O1245" s="154" t="s">
        <v>590</v>
      </c>
      <c r="Q1245" s="155" t="s">
        <v>589</v>
      </c>
      <c r="R1245" s="167">
        <v>0</v>
      </c>
      <c r="S1245" s="198">
        <v>1.6</v>
      </c>
      <c r="T1245" s="165" t="s">
        <v>680</v>
      </c>
      <c r="U1245" s="154" t="s">
        <v>752</v>
      </c>
      <c r="V1245" s="167">
        <f t="shared" si="152"/>
        <v>669.90000000000009</v>
      </c>
      <c r="W1245" s="155" t="s">
        <v>680</v>
      </c>
      <c r="X1245" s="167">
        <f>(S1245*V1245)</f>
        <v>1071.8400000000001</v>
      </c>
      <c r="Y1245" s="167">
        <v>1.1000000000000001</v>
      </c>
      <c r="Z1245" s="165" t="s">
        <v>680</v>
      </c>
      <c r="AA1245" s="154" t="s">
        <v>752</v>
      </c>
      <c r="AB1245" s="167">
        <f>V1240</f>
        <v>669.90000000000009</v>
      </c>
      <c r="AC1245" s="154" t="s">
        <v>680</v>
      </c>
      <c r="AD1245" s="167">
        <f>(Y1245*AB1245)</f>
        <v>736.89000000000021</v>
      </c>
      <c r="AE1245" s="172" t="str">
        <f t="shared" si="147"/>
        <v>|</v>
      </c>
      <c r="AG1245" s="154" t="s">
        <v>1158</v>
      </c>
    </row>
    <row r="1246" spans="6:33" ht="24" customHeight="1">
      <c r="H1246" s="154" t="s">
        <v>1977</v>
      </c>
      <c r="N1246" s="156"/>
      <c r="Q1246" s="160"/>
      <c r="R1246" s="162"/>
      <c r="S1246" s="198">
        <v>0.5</v>
      </c>
      <c r="T1246" s="165" t="s">
        <v>680</v>
      </c>
      <c r="U1246" s="154" t="s">
        <v>754</v>
      </c>
      <c r="V1246" s="167">
        <f t="shared" si="152"/>
        <v>468.6</v>
      </c>
      <c r="W1246" s="155" t="s">
        <v>680</v>
      </c>
      <c r="X1246" s="167">
        <f>(S1246*V1246)</f>
        <v>234.3</v>
      </c>
      <c r="Y1246" s="167">
        <v>2.2000000000000002</v>
      </c>
      <c r="Z1246" s="165" t="s">
        <v>680</v>
      </c>
      <c r="AA1246" s="154" t="s">
        <v>754</v>
      </c>
      <c r="AB1246" s="167">
        <f>V1241</f>
        <v>468.6</v>
      </c>
      <c r="AC1246" s="154" t="s">
        <v>680</v>
      </c>
      <c r="AD1246" s="167">
        <f>(Y1246*AB1246)</f>
        <v>1030.92</v>
      </c>
      <c r="AE1246" s="172" t="str">
        <f t="shared" si="147"/>
        <v>|</v>
      </c>
      <c r="AG1246" s="154" t="s">
        <v>1158</v>
      </c>
    </row>
    <row r="1247" spans="6:33" ht="24" customHeight="1">
      <c r="H1247" s="162" t="s">
        <v>534</v>
      </c>
      <c r="I1247" s="162" t="s">
        <v>534</v>
      </c>
      <c r="N1247" s="156"/>
      <c r="O1247" s="154" t="s">
        <v>879</v>
      </c>
      <c r="Q1247" s="160"/>
      <c r="R1247" s="167">
        <f>SUM(R1234:R1245)</f>
        <v>12271.020700000001</v>
      </c>
      <c r="S1247" s="198">
        <v>1.1000000000000001</v>
      </c>
      <c r="T1247" s="165" t="s">
        <v>680</v>
      </c>
      <c r="U1247" s="154" t="s">
        <v>756</v>
      </c>
      <c r="V1247" s="167">
        <f t="shared" si="152"/>
        <v>404.8</v>
      </c>
      <c r="W1247" s="155" t="s">
        <v>680</v>
      </c>
      <c r="X1247" s="167">
        <f>(S1247*V1247)</f>
        <v>445.28000000000003</v>
      </c>
      <c r="Y1247" s="167">
        <v>2.2000000000000002</v>
      </c>
      <c r="Z1247" s="165" t="s">
        <v>680</v>
      </c>
      <c r="AA1247" s="154" t="s">
        <v>756</v>
      </c>
      <c r="AB1247" s="167">
        <f>V1242</f>
        <v>404.8</v>
      </c>
      <c r="AC1247" s="154" t="s">
        <v>680</v>
      </c>
      <c r="AD1247" s="167">
        <f>(Y1247*AB1247)</f>
        <v>890.56000000000006</v>
      </c>
      <c r="AE1247" s="172" t="str">
        <f t="shared" si="147"/>
        <v>|</v>
      </c>
      <c r="AG1247" s="154" t="s">
        <v>1158</v>
      </c>
    </row>
    <row r="1248" spans="6:33" ht="24" customHeight="1">
      <c r="F1248" s="167">
        <v>10</v>
      </c>
      <c r="G1248" s="165" t="s">
        <v>916</v>
      </c>
      <c r="H1248" s="154" t="s">
        <v>1978</v>
      </c>
      <c r="I1248" s="173">
        <f>C601</f>
        <v>346.14</v>
      </c>
      <c r="J1248" s="154" t="s">
        <v>916</v>
      </c>
      <c r="K1248" s="167">
        <f>(F1248*I1248)</f>
        <v>3461.3999999999996</v>
      </c>
      <c r="N1248" s="156"/>
      <c r="Q1248" s="160"/>
      <c r="R1248" s="162" t="s">
        <v>534</v>
      </c>
      <c r="T1248" s="165" t="s">
        <v>589</v>
      </c>
      <c r="U1248" s="154" t="s">
        <v>590</v>
      </c>
      <c r="W1248" s="155" t="s">
        <v>589</v>
      </c>
      <c r="X1248" s="167">
        <v>0.18</v>
      </c>
      <c r="Y1248" s="198">
        <v>20</v>
      </c>
      <c r="Z1248" s="165" t="s">
        <v>420</v>
      </c>
      <c r="AA1248" s="154" t="s">
        <v>568</v>
      </c>
      <c r="AB1248" s="167">
        <f>V1243</f>
        <v>5750</v>
      </c>
      <c r="AC1248" s="154" t="s">
        <v>567</v>
      </c>
      <c r="AD1248" s="167">
        <f>(Y1248*AB1248)/1000</f>
        <v>115</v>
      </c>
      <c r="AE1248" s="172" t="str">
        <f t="shared" si="147"/>
        <v>|</v>
      </c>
      <c r="AG1248" s="154" t="s">
        <v>1158</v>
      </c>
    </row>
    <row r="1249" spans="6:33" ht="24" customHeight="1">
      <c r="F1249" s="167">
        <v>0.21</v>
      </c>
      <c r="G1249" s="165" t="s">
        <v>577</v>
      </c>
      <c r="H1249" s="154" t="s">
        <v>1951</v>
      </c>
      <c r="I1249" s="167">
        <f>(K32)</f>
        <v>4357.67</v>
      </c>
      <c r="J1249" s="154" t="s">
        <v>577</v>
      </c>
      <c r="K1249" s="167">
        <f>(F1249*I1249)</f>
        <v>915.11069999999995</v>
      </c>
      <c r="N1249" s="156"/>
      <c r="O1249" s="157" t="s">
        <v>881</v>
      </c>
      <c r="Q1249" s="160"/>
      <c r="R1249" s="166">
        <f>(R1247/10)</f>
        <v>1227.1020700000001</v>
      </c>
      <c r="T1249" s="156"/>
      <c r="W1249" s="160"/>
      <c r="X1249" s="162" t="s">
        <v>534</v>
      </c>
      <c r="Y1249" s="198">
        <v>2</v>
      </c>
      <c r="Z1249" s="165" t="s">
        <v>420</v>
      </c>
      <c r="AA1249" s="154" t="s">
        <v>1959</v>
      </c>
      <c r="AB1249" s="167">
        <v>36.1</v>
      </c>
      <c r="AC1249" s="154" t="s">
        <v>420</v>
      </c>
      <c r="AD1249" s="167">
        <f>(Y1249*AB1249)</f>
        <v>72.2</v>
      </c>
      <c r="AE1249" s="172">
        <f t="shared" si="147"/>
        <v>0</v>
      </c>
    </row>
    <row r="1250" spans="6:33" ht="24" customHeight="1">
      <c r="H1250" s="154" t="s">
        <v>1955</v>
      </c>
      <c r="I1250" s="154" t="s">
        <v>22</v>
      </c>
      <c r="K1250" s="154" t="s">
        <v>22</v>
      </c>
      <c r="N1250" s="156"/>
      <c r="Q1250" s="160"/>
      <c r="R1250" s="162"/>
      <c r="T1250" s="156"/>
      <c r="U1250" s="154" t="s">
        <v>879</v>
      </c>
      <c r="W1250" s="160"/>
      <c r="X1250" s="167">
        <f>SUM(X1237:X1248)</f>
        <v>13301.200699999999</v>
      </c>
      <c r="Y1250" s="167">
        <v>1.6</v>
      </c>
      <c r="Z1250" s="165" t="s">
        <v>680</v>
      </c>
      <c r="AA1250" s="154" t="s">
        <v>752</v>
      </c>
      <c r="AB1250" s="167">
        <f>V1245</f>
        <v>669.90000000000009</v>
      </c>
      <c r="AC1250" s="154" t="s">
        <v>680</v>
      </c>
      <c r="AD1250" s="167">
        <f>(Y1250*AB1250)</f>
        <v>1071.8400000000001</v>
      </c>
      <c r="AE1250" s="172" t="str">
        <f t="shared" si="147"/>
        <v>|</v>
      </c>
      <c r="AG1250" s="154" t="s">
        <v>1158</v>
      </c>
    </row>
    <row r="1251" spans="6:33" ht="24" customHeight="1">
      <c r="F1251" s="167">
        <v>1.1000000000000001</v>
      </c>
      <c r="G1251" s="165" t="s">
        <v>680</v>
      </c>
      <c r="H1251" s="154" t="s">
        <v>778</v>
      </c>
      <c r="I1251" s="167">
        <f>(C10)</f>
        <v>717.2</v>
      </c>
      <c r="J1251" s="154" t="s">
        <v>680</v>
      </c>
      <c r="K1251" s="167">
        <f>(F1251*I1251)</f>
        <v>788.92000000000007</v>
      </c>
      <c r="N1251" s="156"/>
      <c r="Q1251" s="160"/>
      <c r="R1251" s="162"/>
      <c r="T1251" s="156"/>
      <c r="W1251" s="160"/>
      <c r="X1251" s="162" t="s">
        <v>534</v>
      </c>
      <c r="Y1251" s="167">
        <v>0.5</v>
      </c>
      <c r="Z1251" s="165" t="s">
        <v>680</v>
      </c>
      <c r="AA1251" s="154" t="s">
        <v>754</v>
      </c>
      <c r="AB1251" s="167">
        <f>V1246</f>
        <v>468.6</v>
      </c>
      <c r="AC1251" s="154" t="s">
        <v>680</v>
      </c>
      <c r="AD1251" s="167">
        <f>(Y1251*AB1251)</f>
        <v>234.3</v>
      </c>
      <c r="AE1251" s="172">
        <f t="shared" si="147"/>
        <v>0</v>
      </c>
    </row>
    <row r="1252" spans="6:33" ht="24" customHeight="1">
      <c r="F1252" s="167">
        <v>1.1000000000000001</v>
      </c>
      <c r="G1252" s="165" t="s">
        <v>680</v>
      </c>
      <c r="H1252" s="154" t="s">
        <v>752</v>
      </c>
      <c r="I1252" s="167">
        <f>(C11)</f>
        <v>669.90000000000009</v>
      </c>
      <c r="J1252" s="154" t="s">
        <v>680</v>
      </c>
      <c r="K1252" s="167">
        <f>(F1252*I1252)</f>
        <v>736.89000000000021</v>
      </c>
      <c r="N1252" s="156"/>
      <c r="Q1252" s="160"/>
      <c r="R1252" s="162"/>
      <c r="T1252" s="156"/>
      <c r="U1252" s="157" t="s">
        <v>881</v>
      </c>
      <c r="W1252" s="160"/>
      <c r="X1252" s="166">
        <f>(X1250/10)</f>
        <v>1330.1200699999999</v>
      </c>
      <c r="Y1252" s="167">
        <v>1.1000000000000001</v>
      </c>
      <c r="Z1252" s="165" t="s">
        <v>680</v>
      </c>
      <c r="AA1252" s="154" t="s">
        <v>756</v>
      </c>
      <c r="AB1252" s="167">
        <f>V1247</f>
        <v>404.8</v>
      </c>
      <c r="AC1252" s="154" t="s">
        <v>680</v>
      </c>
      <c r="AD1252" s="167">
        <f>(Y1252*AB1252)</f>
        <v>445.28000000000003</v>
      </c>
      <c r="AE1252" s="172" t="str">
        <f t="shared" si="147"/>
        <v>|</v>
      </c>
      <c r="AG1252" s="154" t="s">
        <v>1158</v>
      </c>
    </row>
    <row r="1253" spans="6:33" ht="24" customHeight="1">
      <c r="F1253" s="167">
        <v>2.2000000000000002</v>
      </c>
      <c r="G1253" s="165" t="s">
        <v>680</v>
      </c>
      <c r="H1253" s="154" t="s">
        <v>754</v>
      </c>
      <c r="I1253" s="167">
        <f>(C12)</f>
        <v>468.6</v>
      </c>
      <c r="J1253" s="154" t="s">
        <v>680</v>
      </c>
      <c r="K1253" s="167">
        <f>(F1253*I1253)</f>
        <v>1030.92</v>
      </c>
      <c r="N1253" s="156"/>
      <c r="Q1253" s="160"/>
      <c r="R1253" s="162"/>
      <c r="Z1253" s="165" t="s">
        <v>589</v>
      </c>
      <c r="AA1253" s="154" t="s">
        <v>590</v>
      </c>
      <c r="AB1253" s="167">
        <f>V1248</f>
        <v>0</v>
      </c>
      <c r="AC1253" s="154" t="s">
        <v>589</v>
      </c>
      <c r="AD1253" s="167">
        <v>0</v>
      </c>
      <c r="AE1253" s="172" t="str">
        <f t="shared" si="147"/>
        <v>|</v>
      </c>
      <c r="AG1253" s="154" t="s">
        <v>1158</v>
      </c>
    </row>
    <row r="1254" spans="6:33" ht="24" customHeight="1">
      <c r="F1254" s="167">
        <v>2.2000000000000002</v>
      </c>
      <c r="G1254" s="165" t="s">
        <v>680</v>
      </c>
      <c r="H1254" s="154" t="s">
        <v>756</v>
      </c>
      <c r="I1254" s="167">
        <f>(C13)</f>
        <v>404.8</v>
      </c>
      <c r="J1254" s="154" t="s">
        <v>680</v>
      </c>
      <c r="K1254" s="167">
        <f>(F1254*I1254)</f>
        <v>890.56000000000006</v>
      </c>
      <c r="M1254" s="313"/>
      <c r="N1254" s="314"/>
      <c r="O1254" s="315" t="s">
        <v>1979</v>
      </c>
      <c r="P1254" s="313"/>
      <c r="Q1254" s="316" t="s">
        <v>1980</v>
      </c>
      <c r="R1254" s="313"/>
      <c r="Z1254" s="156"/>
      <c r="AC1254" s="158"/>
      <c r="AD1254" s="162" t="s">
        <v>534</v>
      </c>
      <c r="AE1254" s="172" t="str">
        <f t="shared" si="147"/>
        <v>|</v>
      </c>
      <c r="AG1254" s="154" t="s">
        <v>1158</v>
      </c>
    </row>
    <row r="1255" spans="6:33" ht="24" customHeight="1">
      <c r="F1255" s="198">
        <v>20</v>
      </c>
      <c r="G1255" s="165" t="s">
        <v>420</v>
      </c>
      <c r="H1255" s="154" t="s">
        <v>568</v>
      </c>
      <c r="I1255" s="167">
        <f>(C67)</f>
        <v>5750</v>
      </c>
      <c r="J1255" s="154" t="s">
        <v>567</v>
      </c>
      <c r="K1255" s="167">
        <f>(F1255*I1255)/1000</f>
        <v>115</v>
      </c>
      <c r="M1255" s="313"/>
      <c r="N1255" s="314"/>
      <c r="O1255" s="313"/>
      <c r="P1255" s="313"/>
      <c r="Q1255" s="316"/>
      <c r="R1255" s="313"/>
      <c r="Z1255" s="156"/>
      <c r="AA1255" s="154" t="s">
        <v>879</v>
      </c>
      <c r="AC1255" s="158"/>
      <c r="AD1255" s="167">
        <f>SUM(AD1241:AD1253)</f>
        <v>13861.020699999999</v>
      </c>
      <c r="AE1255" s="172" t="str">
        <f t="shared" si="147"/>
        <v>|</v>
      </c>
      <c r="AG1255" s="154" t="s">
        <v>1158</v>
      </c>
    </row>
    <row r="1256" spans="6:33" ht="24" customHeight="1">
      <c r="F1256" s="198">
        <v>2</v>
      </c>
      <c r="G1256" s="165" t="s">
        <v>420</v>
      </c>
      <c r="H1256" s="201" t="s">
        <v>1981</v>
      </c>
      <c r="I1256" s="258">
        <v>36.1</v>
      </c>
      <c r="J1256" s="154" t="s">
        <v>420</v>
      </c>
      <c r="K1256" s="167">
        <f>(F1256*I1256)</f>
        <v>72.2</v>
      </c>
      <c r="M1256" s="317"/>
      <c r="N1256" s="318"/>
      <c r="O1256" s="317"/>
      <c r="P1256" s="317"/>
      <c r="Q1256" s="316"/>
      <c r="R1256" s="313"/>
      <c r="Z1256" s="156"/>
      <c r="AC1256" s="158"/>
      <c r="AD1256" s="162" t="s">
        <v>534</v>
      </c>
      <c r="AE1256" s="172" t="str">
        <f t="shared" si="147"/>
        <v>|</v>
      </c>
      <c r="AG1256" s="154" t="s">
        <v>1158</v>
      </c>
    </row>
    <row r="1257" spans="6:33" ht="24" customHeight="1">
      <c r="F1257" s="167">
        <v>1.6</v>
      </c>
      <c r="G1257" s="165" t="s">
        <v>680</v>
      </c>
      <c r="H1257" s="154" t="s">
        <v>752</v>
      </c>
      <c r="I1257" s="167">
        <f>(C11)</f>
        <v>669.90000000000009</v>
      </c>
      <c r="J1257" s="154" t="s">
        <v>680</v>
      </c>
      <c r="K1257" s="167">
        <f>(F1257*I1257)</f>
        <v>1071.8400000000001</v>
      </c>
      <c r="M1257" s="319">
        <v>10</v>
      </c>
      <c r="N1257" s="320" t="s">
        <v>916</v>
      </c>
      <c r="O1257" s="321" t="s">
        <v>1982</v>
      </c>
      <c r="P1257" s="322">
        <v>421.3</v>
      </c>
      <c r="Q1257" s="323" t="s">
        <v>916</v>
      </c>
      <c r="R1257" s="324">
        <f>M1257*P1257</f>
        <v>4213</v>
      </c>
      <c r="Z1257" s="156"/>
      <c r="AA1257" s="169" t="s">
        <v>881</v>
      </c>
      <c r="AC1257" s="158"/>
      <c r="AD1257" s="166">
        <f>(AD1255/10)</f>
        <v>1386.1020699999999</v>
      </c>
      <c r="AE1257" s="325" t="s">
        <v>1983</v>
      </c>
      <c r="AG1257" s="154" t="s">
        <v>1158</v>
      </c>
    </row>
    <row r="1258" spans="6:33" ht="24" customHeight="1">
      <c r="F1258" s="167">
        <v>0.5</v>
      </c>
      <c r="G1258" s="165" t="s">
        <v>680</v>
      </c>
      <c r="H1258" s="154" t="s">
        <v>754</v>
      </c>
      <c r="I1258" s="167">
        <f>(C12)</f>
        <v>468.6</v>
      </c>
      <c r="J1258" s="154" t="s">
        <v>680</v>
      </c>
      <c r="K1258" s="167">
        <f>(F1258*I1258)</f>
        <v>234.3</v>
      </c>
      <c r="M1258" s="324">
        <v>0.21</v>
      </c>
      <c r="N1258" s="326" t="s">
        <v>577</v>
      </c>
      <c r="O1258" s="327" t="s">
        <v>1951</v>
      </c>
      <c r="P1258" s="324">
        <f t="shared" ref="P1258:P1263" si="153">P1216</f>
        <v>4357.67</v>
      </c>
      <c r="Q1258" s="323" t="s">
        <v>577</v>
      </c>
      <c r="R1258" s="324">
        <f t="shared" ref="R1258:R1267" si="154">(M1258*P1258)</f>
        <v>915.11069999999995</v>
      </c>
      <c r="Z1258" s="156"/>
      <c r="AC1258" s="158"/>
      <c r="AD1258" s="162" t="s">
        <v>528</v>
      </c>
      <c r="AE1258" s="172" t="str">
        <f t="shared" si="147"/>
        <v>|</v>
      </c>
      <c r="AG1258" s="154" t="s">
        <v>1158</v>
      </c>
    </row>
    <row r="1259" spans="6:33" ht="24" customHeight="1">
      <c r="F1259" s="167">
        <v>1.1000000000000001</v>
      </c>
      <c r="G1259" s="165" t="s">
        <v>680</v>
      </c>
      <c r="H1259" s="154" t="s">
        <v>756</v>
      </c>
      <c r="I1259" s="167">
        <f>(C13)</f>
        <v>404.8</v>
      </c>
      <c r="J1259" s="154" t="s">
        <v>680</v>
      </c>
      <c r="K1259" s="167">
        <f>(F1259*I1259)</f>
        <v>445.28000000000003</v>
      </c>
      <c r="M1259" s="324">
        <v>1.1000000000000001</v>
      </c>
      <c r="N1259" s="326" t="s">
        <v>680</v>
      </c>
      <c r="O1259" s="327" t="s">
        <v>778</v>
      </c>
      <c r="P1259" s="324">
        <f t="shared" si="153"/>
        <v>717.2</v>
      </c>
      <c r="Q1259" s="323" t="s">
        <v>680</v>
      </c>
      <c r="R1259" s="324">
        <f t="shared" si="154"/>
        <v>788.92000000000007</v>
      </c>
      <c r="Y1259" s="200">
        <v>29.4</v>
      </c>
      <c r="Z1259" s="165" t="s">
        <v>307</v>
      </c>
      <c r="AA1259" s="154" t="s">
        <v>1984</v>
      </c>
      <c r="AE1259" s="172" t="str">
        <f t="shared" si="147"/>
        <v>|</v>
      </c>
      <c r="AG1259" s="154" t="s">
        <v>1158</v>
      </c>
    </row>
    <row r="1260" spans="6:33" ht="24" customHeight="1">
      <c r="G1260" s="165" t="s">
        <v>589</v>
      </c>
      <c r="H1260" s="154" t="s">
        <v>590</v>
      </c>
      <c r="J1260" s="154" t="s">
        <v>589</v>
      </c>
      <c r="K1260" s="167">
        <v>0</v>
      </c>
      <c r="M1260" s="324">
        <v>1.1000000000000001</v>
      </c>
      <c r="N1260" s="326" t="s">
        <v>680</v>
      </c>
      <c r="O1260" s="327" t="s">
        <v>752</v>
      </c>
      <c r="P1260" s="324">
        <f t="shared" si="153"/>
        <v>669.90000000000009</v>
      </c>
      <c r="Q1260" s="323" t="s">
        <v>680</v>
      </c>
      <c r="R1260" s="324">
        <f t="shared" si="154"/>
        <v>736.89000000000021</v>
      </c>
      <c r="Z1260" s="156"/>
      <c r="AA1260" s="154" t="s">
        <v>1985</v>
      </c>
      <c r="AE1260" s="172" t="str">
        <f t="shared" si="147"/>
        <v>|</v>
      </c>
      <c r="AG1260" s="154" t="s">
        <v>1158</v>
      </c>
    </row>
    <row r="1261" spans="6:33" ht="24" customHeight="1">
      <c r="K1261" s="162" t="s">
        <v>534</v>
      </c>
      <c r="M1261" s="324">
        <v>2.2000000000000002</v>
      </c>
      <c r="N1261" s="326" t="s">
        <v>680</v>
      </c>
      <c r="O1261" s="327" t="s">
        <v>754</v>
      </c>
      <c r="P1261" s="324">
        <f t="shared" si="153"/>
        <v>468.6</v>
      </c>
      <c r="Q1261" s="323" t="s">
        <v>680</v>
      </c>
      <c r="R1261" s="324">
        <f t="shared" si="154"/>
        <v>1030.92</v>
      </c>
      <c r="Z1261" s="156"/>
      <c r="AA1261" s="162" t="s">
        <v>534</v>
      </c>
      <c r="AE1261" s="172" t="str">
        <f t="shared" si="147"/>
        <v>|</v>
      </c>
      <c r="AG1261" s="154" t="s">
        <v>1158</v>
      </c>
    </row>
    <row r="1262" spans="6:33" ht="24" customHeight="1">
      <c r="H1262" s="154" t="s">
        <v>879</v>
      </c>
      <c r="K1262" s="167">
        <f>SUM(K1248:K1260)</f>
        <v>9762.4207000000006</v>
      </c>
      <c r="M1262" s="324">
        <v>2.2000000000000002</v>
      </c>
      <c r="N1262" s="326" t="s">
        <v>680</v>
      </c>
      <c r="O1262" s="327" t="s">
        <v>756</v>
      </c>
      <c r="P1262" s="324">
        <f t="shared" si="153"/>
        <v>404.8</v>
      </c>
      <c r="Q1262" s="323" t="s">
        <v>680</v>
      </c>
      <c r="R1262" s="324">
        <f t="shared" si="154"/>
        <v>890.56000000000006</v>
      </c>
      <c r="Y1262" s="167">
        <v>1.86</v>
      </c>
      <c r="Z1262" s="165" t="s">
        <v>916</v>
      </c>
      <c r="AA1262" s="154" t="s">
        <v>1986</v>
      </c>
      <c r="AB1262" s="173">
        <f>AB1241</f>
        <v>756</v>
      </c>
      <c r="AC1262" s="154" t="str">
        <f>J1269</f>
        <v>SQM</v>
      </c>
      <c r="AD1262" s="167">
        <f t="shared" ref="AD1262:AD1267" si="155">(Y1262*AB1262)</f>
        <v>1406.16</v>
      </c>
      <c r="AE1262" s="172" t="str">
        <f t="shared" si="147"/>
        <v>|</v>
      </c>
      <c r="AG1262" s="154" t="s">
        <v>1158</v>
      </c>
    </row>
    <row r="1263" spans="6:33" ht="24" customHeight="1">
      <c r="K1263" s="162" t="s">
        <v>534</v>
      </c>
      <c r="M1263" s="328">
        <v>20</v>
      </c>
      <c r="N1263" s="326" t="s">
        <v>420</v>
      </c>
      <c r="O1263" s="327" t="s">
        <v>568</v>
      </c>
      <c r="P1263" s="324">
        <f t="shared" si="153"/>
        <v>5750</v>
      </c>
      <c r="Q1263" s="323" t="s">
        <v>567</v>
      </c>
      <c r="R1263" s="324">
        <f>(M1263*P1263)/1000</f>
        <v>115</v>
      </c>
      <c r="Y1263" s="167">
        <v>0.4</v>
      </c>
      <c r="Z1263" s="165" t="s">
        <v>420</v>
      </c>
      <c r="AA1263" s="154" t="s">
        <v>1959</v>
      </c>
      <c r="AB1263" s="236">
        <f>AB1249</f>
        <v>36.1</v>
      </c>
      <c r="AC1263" s="154" t="str">
        <f>J1270</f>
        <v>Kg</v>
      </c>
      <c r="AD1263" s="167">
        <f t="shared" si="155"/>
        <v>14.440000000000001</v>
      </c>
      <c r="AE1263" s="172">
        <f t="shared" si="147"/>
        <v>0</v>
      </c>
    </row>
    <row r="1264" spans="6:33" ht="24" customHeight="1">
      <c r="H1264" s="169" t="s">
        <v>881</v>
      </c>
      <c r="K1264" s="166">
        <f>(K1262/10)</f>
        <v>976.24207000000001</v>
      </c>
      <c r="M1264" s="328">
        <v>2</v>
      </c>
      <c r="N1264" s="326" t="s">
        <v>420</v>
      </c>
      <c r="O1264" s="327" t="s">
        <v>1973</v>
      </c>
      <c r="P1264" s="324">
        <f>I1256</f>
        <v>36.1</v>
      </c>
      <c r="Q1264" s="323" t="s">
        <v>420</v>
      </c>
      <c r="R1264" s="324">
        <f t="shared" si="154"/>
        <v>72.2</v>
      </c>
      <c r="Y1264" s="167">
        <v>0.02</v>
      </c>
      <c r="Z1264" s="165" t="s">
        <v>577</v>
      </c>
      <c r="AA1264" s="154" t="s">
        <v>1987</v>
      </c>
      <c r="AB1264" s="167">
        <f>I1271</f>
        <v>5737.67</v>
      </c>
      <c r="AC1264" s="154" t="str">
        <f>J1271</f>
        <v>CUM</v>
      </c>
      <c r="AD1264" s="167">
        <f t="shared" si="155"/>
        <v>114.7534</v>
      </c>
      <c r="AE1264" s="172">
        <f t="shared" si="147"/>
        <v>0</v>
      </c>
    </row>
    <row r="1265" spans="6:33" ht="24" customHeight="1">
      <c r="K1265" s="162" t="s">
        <v>528</v>
      </c>
      <c r="M1265" s="324">
        <v>1.6</v>
      </c>
      <c r="N1265" s="326" t="s">
        <v>680</v>
      </c>
      <c r="O1265" s="327" t="s">
        <v>752</v>
      </c>
      <c r="P1265" s="324">
        <f>P1223</f>
        <v>669.90000000000009</v>
      </c>
      <c r="Q1265" s="323" t="s">
        <v>680</v>
      </c>
      <c r="R1265" s="324">
        <f t="shared" si="154"/>
        <v>1071.8400000000001</v>
      </c>
      <c r="Y1265" s="167">
        <v>1</v>
      </c>
      <c r="Z1265" s="165" t="s">
        <v>680</v>
      </c>
      <c r="AA1265" s="154" t="s">
        <v>778</v>
      </c>
      <c r="AB1265" s="167">
        <f>I1272</f>
        <v>717.2</v>
      </c>
      <c r="AC1265" s="154" t="str">
        <f>J1272</f>
        <v>NO</v>
      </c>
      <c r="AD1265" s="167">
        <f t="shared" si="155"/>
        <v>717.2</v>
      </c>
      <c r="AE1265" s="172" t="str">
        <f t="shared" si="147"/>
        <v/>
      </c>
      <c r="AG1265" s="154" t="s">
        <v>22</v>
      </c>
    </row>
    <row r="1266" spans="6:33" ht="24" customHeight="1">
      <c r="F1266" s="200">
        <v>29.4</v>
      </c>
      <c r="G1266" s="165" t="s">
        <v>307</v>
      </c>
      <c r="H1266" s="154" t="s">
        <v>1988</v>
      </c>
      <c r="M1266" s="324">
        <v>0.5</v>
      </c>
      <c r="N1266" s="326" t="s">
        <v>680</v>
      </c>
      <c r="O1266" s="327" t="s">
        <v>754</v>
      </c>
      <c r="P1266" s="324">
        <f>P1224</f>
        <v>468.6</v>
      </c>
      <c r="Q1266" s="323" t="s">
        <v>680</v>
      </c>
      <c r="R1266" s="324">
        <f t="shared" si="154"/>
        <v>234.3</v>
      </c>
      <c r="Y1266" s="167">
        <v>1</v>
      </c>
      <c r="Z1266" s="165" t="s">
        <v>680</v>
      </c>
      <c r="AA1266" s="154" t="s">
        <v>1989</v>
      </c>
      <c r="AB1266" s="167">
        <f>I1273</f>
        <v>468.6</v>
      </c>
      <c r="AC1266" s="154" t="str">
        <f>J1273</f>
        <v>NO</v>
      </c>
      <c r="AD1266" s="167">
        <f t="shared" si="155"/>
        <v>468.6</v>
      </c>
      <c r="AE1266" s="172">
        <f t="shared" si="147"/>
        <v>0</v>
      </c>
    </row>
    <row r="1267" spans="6:33" ht="24" customHeight="1">
      <c r="H1267" s="154" t="s">
        <v>1990</v>
      </c>
      <c r="M1267" s="324">
        <v>1.1000000000000001</v>
      </c>
      <c r="N1267" s="326" t="s">
        <v>680</v>
      </c>
      <c r="O1267" s="327" t="s">
        <v>756</v>
      </c>
      <c r="P1267" s="324">
        <f>P1225</f>
        <v>404.8</v>
      </c>
      <c r="Q1267" s="323" t="s">
        <v>680</v>
      </c>
      <c r="R1267" s="324">
        <f t="shared" si="154"/>
        <v>445.28000000000003</v>
      </c>
      <c r="Z1267" s="165" t="s">
        <v>589</v>
      </c>
      <c r="AA1267" s="154" t="s">
        <v>590</v>
      </c>
      <c r="AC1267" s="154" t="s">
        <v>589</v>
      </c>
      <c r="AD1267" s="167">
        <f t="shared" si="155"/>
        <v>0</v>
      </c>
      <c r="AE1267" s="172">
        <f t="shared" si="147"/>
        <v>0</v>
      </c>
    </row>
    <row r="1268" spans="6:33" ht="24" customHeight="1">
      <c r="H1268" s="162" t="s">
        <v>534</v>
      </c>
      <c r="M1268" s="313"/>
      <c r="N1268" s="326" t="s">
        <v>589</v>
      </c>
      <c r="O1268" s="327" t="s">
        <v>590</v>
      </c>
      <c r="P1268" s="313"/>
      <c r="Q1268" s="323" t="s">
        <v>589</v>
      </c>
      <c r="R1268" s="324">
        <v>0</v>
      </c>
      <c r="Z1268" s="156"/>
      <c r="AC1268" s="158"/>
      <c r="AD1268" s="162" t="s">
        <v>534</v>
      </c>
      <c r="AE1268" s="172">
        <f t="shared" si="147"/>
        <v>0</v>
      </c>
    </row>
    <row r="1269" spans="6:33" ht="24" customHeight="1">
      <c r="F1269" s="167">
        <v>1.86</v>
      </c>
      <c r="G1269" s="165" t="s">
        <v>916</v>
      </c>
      <c r="H1269" s="154" t="s">
        <v>1991</v>
      </c>
      <c r="I1269" s="173">
        <v>385</v>
      </c>
      <c r="J1269" s="154" t="s">
        <v>916</v>
      </c>
      <c r="K1269" s="167">
        <f>(F1269*I1269)</f>
        <v>716.1</v>
      </c>
      <c r="M1269" s="313"/>
      <c r="N1269" s="314"/>
      <c r="O1269" s="313"/>
      <c r="P1269" s="313"/>
      <c r="Q1269" s="316"/>
      <c r="R1269" s="329"/>
      <c r="Z1269" s="156"/>
      <c r="AA1269" s="154" t="s">
        <v>1992</v>
      </c>
      <c r="AC1269" s="158"/>
      <c r="AD1269" s="167">
        <f>SUM(AD1262:AD1267)</f>
        <v>2721.1534000000001</v>
      </c>
      <c r="AE1269" s="172">
        <f t="shared" si="147"/>
        <v>0</v>
      </c>
    </row>
    <row r="1270" spans="6:33" ht="24" customHeight="1">
      <c r="F1270" s="167">
        <v>0.4</v>
      </c>
      <c r="G1270" s="165" t="s">
        <v>420</v>
      </c>
      <c r="H1270" s="154" t="s">
        <v>1959</v>
      </c>
      <c r="I1270" s="274">
        <f>I1256</f>
        <v>36.1</v>
      </c>
      <c r="J1270" s="154" t="s">
        <v>420</v>
      </c>
      <c r="K1270" s="167">
        <f>(F1270*I1270)</f>
        <v>14.440000000000001</v>
      </c>
      <c r="M1270" s="313"/>
      <c r="N1270" s="314"/>
      <c r="O1270" s="327" t="s">
        <v>879</v>
      </c>
      <c r="P1270" s="313"/>
      <c r="Q1270" s="316"/>
      <c r="R1270" s="324">
        <f>SUM(R1257:R1268)</f>
        <v>10514.020700000001</v>
      </c>
      <c r="Z1270" s="156"/>
      <c r="AC1270" s="158"/>
      <c r="AD1270" s="162" t="s">
        <v>534</v>
      </c>
      <c r="AE1270" s="172">
        <f t="shared" si="147"/>
        <v>0</v>
      </c>
    </row>
    <row r="1271" spans="6:33" ht="24" customHeight="1">
      <c r="F1271" s="167">
        <v>0.02</v>
      </c>
      <c r="G1271" s="165" t="s">
        <v>577</v>
      </c>
      <c r="H1271" s="154" t="s">
        <v>1987</v>
      </c>
      <c r="I1271" s="167">
        <f>K23</f>
        <v>5737.67</v>
      </c>
      <c r="J1271" s="154" t="s">
        <v>577</v>
      </c>
      <c r="K1271" s="167">
        <f>(F1271*I1271)</f>
        <v>114.7534</v>
      </c>
      <c r="M1271" s="313"/>
      <c r="N1271" s="314"/>
      <c r="O1271" s="313"/>
      <c r="P1271" s="313"/>
      <c r="Q1271" s="316"/>
      <c r="R1271" s="329" t="s">
        <v>534</v>
      </c>
      <c r="Z1271" s="156"/>
      <c r="AA1271" s="169" t="s">
        <v>881</v>
      </c>
      <c r="AC1271" s="158"/>
      <c r="AD1271" s="166">
        <f>(AD1269/1.86)</f>
        <v>1462.9856989247312</v>
      </c>
      <c r="AE1271" s="172">
        <f t="shared" si="147"/>
        <v>0</v>
      </c>
    </row>
    <row r="1272" spans="6:33" ht="24" customHeight="1">
      <c r="F1272" s="167">
        <v>1</v>
      </c>
      <c r="G1272" s="165" t="s">
        <v>680</v>
      </c>
      <c r="H1272" s="154" t="s">
        <v>778</v>
      </c>
      <c r="I1272" s="167">
        <f>C10</f>
        <v>717.2</v>
      </c>
      <c r="J1272" s="154" t="s">
        <v>680</v>
      </c>
      <c r="K1272" s="167">
        <f>(F1272*I1272)</f>
        <v>717.2</v>
      </c>
      <c r="M1272" s="313"/>
      <c r="N1272" s="314"/>
      <c r="O1272" s="330" t="s">
        <v>881</v>
      </c>
      <c r="P1272" s="313"/>
      <c r="Q1272" s="316"/>
      <c r="R1272" s="331">
        <f>(R1270/10)</f>
        <v>1051.4020700000001</v>
      </c>
      <c r="Z1272" s="156"/>
      <c r="AC1272" s="158"/>
      <c r="AD1272" s="162" t="s">
        <v>528</v>
      </c>
      <c r="AE1272" s="172">
        <f t="shared" si="147"/>
        <v>0</v>
      </c>
    </row>
    <row r="1273" spans="6:33" ht="24" customHeight="1">
      <c r="F1273" s="167">
        <v>1</v>
      </c>
      <c r="G1273" s="165" t="s">
        <v>680</v>
      </c>
      <c r="H1273" s="154" t="s">
        <v>1989</v>
      </c>
      <c r="I1273" s="167">
        <f>C12</f>
        <v>468.6</v>
      </c>
      <c r="J1273" s="154" t="s">
        <v>680</v>
      </c>
      <c r="K1273" s="167">
        <f>(F1273*I1273)</f>
        <v>468.6</v>
      </c>
      <c r="S1273" s="200">
        <v>29.5</v>
      </c>
      <c r="T1273" s="165" t="s">
        <v>307</v>
      </c>
      <c r="U1273" s="154" t="s">
        <v>1993</v>
      </c>
      <c r="W1273" s="158"/>
      <c r="AE1273" s="172">
        <f t="shared" si="147"/>
        <v>0</v>
      </c>
    </row>
    <row r="1274" spans="6:33" ht="24" customHeight="1">
      <c r="G1274" s="165" t="s">
        <v>589</v>
      </c>
      <c r="H1274" s="154" t="s">
        <v>590</v>
      </c>
      <c r="J1274" s="154" t="s">
        <v>589</v>
      </c>
      <c r="K1274" s="167"/>
      <c r="S1274" s="76"/>
      <c r="T1274" s="156"/>
      <c r="U1274" s="154"/>
      <c r="W1274" s="158"/>
      <c r="AE1274" s="172">
        <f t="shared" si="147"/>
        <v>0</v>
      </c>
    </row>
    <row r="1275" spans="6:33" ht="24" customHeight="1">
      <c r="K1275" s="162" t="s">
        <v>534</v>
      </c>
      <c r="S1275" s="76"/>
      <c r="T1275" s="156"/>
      <c r="U1275" s="154"/>
      <c r="W1275" s="158"/>
      <c r="AC1275" s="158"/>
      <c r="AE1275" s="172">
        <f t="shared" si="147"/>
        <v>0</v>
      </c>
    </row>
    <row r="1276" spans="6:33" ht="24" customHeight="1">
      <c r="H1276" s="154" t="s">
        <v>1992</v>
      </c>
      <c r="K1276" s="167">
        <f>SUM(K1269:K1274)</f>
        <v>2031.0934000000002</v>
      </c>
      <c r="S1276" s="76"/>
      <c r="T1276" s="156"/>
      <c r="U1276" s="162" t="s">
        <v>534</v>
      </c>
      <c r="V1276" s="162" t="s">
        <v>534</v>
      </c>
      <c r="W1276" s="158"/>
      <c r="AC1276" s="158"/>
      <c r="AE1276" s="172">
        <f t="shared" si="147"/>
        <v>0</v>
      </c>
    </row>
    <row r="1277" spans="6:33" ht="40.5" customHeight="1">
      <c r="K1277" s="162" t="s">
        <v>534</v>
      </c>
      <c r="S1277" s="167">
        <v>10</v>
      </c>
      <c r="T1277" s="165" t="s">
        <v>916</v>
      </c>
      <c r="U1277" s="214" t="s">
        <v>1994</v>
      </c>
      <c r="V1277" s="173">
        <v>538.21</v>
      </c>
      <c r="W1277" s="154" t="s">
        <v>916</v>
      </c>
      <c r="X1277" s="167">
        <f>(S1277*V1277)</f>
        <v>5382.1</v>
      </c>
      <c r="AC1277" s="158"/>
      <c r="AE1277" s="172">
        <f t="shared" si="147"/>
        <v>0</v>
      </c>
    </row>
    <row r="1278" spans="6:33" ht="24" customHeight="1">
      <c r="H1278" s="169" t="s">
        <v>881</v>
      </c>
      <c r="K1278" s="166">
        <f>(K1276/1.86)</f>
        <v>1091.9856989247312</v>
      </c>
      <c r="S1278" s="167">
        <v>0.21</v>
      </c>
      <c r="T1278" s="165" t="s">
        <v>577</v>
      </c>
      <c r="U1278" s="154" t="s">
        <v>1951</v>
      </c>
      <c r="V1278" s="173">
        <f t="shared" ref="V1278:V1288" si="156">I1249</f>
        <v>4357.67</v>
      </c>
      <c r="W1278" s="154" t="s">
        <v>577</v>
      </c>
      <c r="X1278" s="167">
        <f>(S1278*V1278)</f>
        <v>915.11069999999995</v>
      </c>
      <c r="AE1278" s="172">
        <f t="shared" ref="AE1278:AE1341" si="157">AG1278</f>
        <v>0</v>
      </c>
    </row>
    <row r="1279" spans="6:33" ht="24" customHeight="1">
      <c r="K1279" s="162" t="s">
        <v>528</v>
      </c>
      <c r="S1279" s="76"/>
      <c r="T1279" s="156"/>
      <c r="U1279" s="154" t="s">
        <v>1955</v>
      </c>
      <c r="V1279" s="173" t="str">
        <f t="shared" si="156"/>
        <v/>
      </c>
      <c r="W1279" s="158"/>
      <c r="X1279" s="154" t="s">
        <v>22</v>
      </c>
      <c r="AE1279" s="172">
        <f t="shared" si="157"/>
        <v>0</v>
      </c>
    </row>
    <row r="1280" spans="6:33" ht="24" customHeight="1">
      <c r="F1280" s="200"/>
      <c r="G1280" s="165" t="s">
        <v>307</v>
      </c>
      <c r="H1280" s="154" t="s">
        <v>1995</v>
      </c>
      <c r="S1280" s="167">
        <v>1.1000000000000001</v>
      </c>
      <c r="T1280" s="165" t="s">
        <v>680</v>
      </c>
      <c r="U1280" s="154" t="s">
        <v>778</v>
      </c>
      <c r="V1280" s="173">
        <f t="shared" si="156"/>
        <v>717.2</v>
      </c>
      <c r="W1280" s="154" t="s">
        <v>680</v>
      </c>
      <c r="X1280" s="167">
        <f>(S1280*V1280)</f>
        <v>788.92000000000007</v>
      </c>
      <c r="AE1280" s="172">
        <f t="shared" si="157"/>
        <v>0</v>
      </c>
    </row>
    <row r="1281" spans="6:31" ht="24" customHeight="1">
      <c r="H1281" s="154"/>
      <c r="S1281" s="167">
        <v>1.1000000000000001</v>
      </c>
      <c r="T1281" s="165" t="s">
        <v>680</v>
      </c>
      <c r="U1281" s="154" t="s">
        <v>752</v>
      </c>
      <c r="V1281" s="173">
        <f t="shared" si="156"/>
        <v>669.90000000000009</v>
      </c>
      <c r="W1281" s="154" t="s">
        <v>680</v>
      </c>
      <c r="X1281" s="167">
        <f>(S1281*V1281)</f>
        <v>736.89000000000021</v>
      </c>
      <c r="AE1281" s="172">
        <f t="shared" si="157"/>
        <v>0</v>
      </c>
    </row>
    <row r="1282" spans="6:31" ht="24" customHeight="1">
      <c r="H1282" s="162" t="s">
        <v>534</v>
      </c>
      <c r="S1282" s="167">
        <v>2.2000000000000002</v>
      </c>
      <c r="T1282" s="165" t="s">
        <v>680</v>
      </c>
      <c r="U1282" s="154" t="s">
        <v>754</v>
      </c>
      <c r="V1282" s="173">
        <f t="shared" si="156"/>
        <v>468.6</v>
      </c>
      <c r="W1282" s="154" t="s">
        <v>680</v>
      </c>
      <c r="X1282" s="167">
        <f>(S1282*V1282)</f>
        <v>1030.92</v>
      </c>
      <c r="AE1282" s="172">
        <f t="shared" si="157"/>
        <v>0</v>
      </c>
    </row>
    <row r="1283" spans="6:31" ht="24" customHeight="1">
      <c r="F1283" s="167">
        <v>1.86</v>
      </c>
      <c r="G1283" s="165" t="s">
        <v>916</v>
      </c>
      <c r="H1283" s="154" t="s">
        <v>1996</v>
      </c>
      <c r="I1283" s="173">
        <v>699.4</v>
      </c>
      <c r="J1283" s="154" t="s">
        <v>916</v>
      </c>
      <c r="K1283" s="167">
        <f>(F1283*I1283)</f>
        <v>1300.884</v>
      </c>
      <c r="S1283" s="167">
        <v>2.2000000000000002</v>
      </c>
      <c r="T1283" s="165" t="s">
        <v>680</v>
      </c>
      <c r="U1283" s="154" t="s">
        <v>756</v>
      </c>
      <c r="V1283" s="173">
        <f t="shared" si="156"/>
        <v>404.8</v>
      </c>
      <c r="W1283" s="154" t="s">
        <v>680</v>
      </c>
      <c r="X1283" s="167">
        <f>(S1283*V1283)</f>
        <v>890.56000000000006</v>
      </c>
      <c r="AE1283" s="172">
        <f t="shared" si="157"/>
        <v>0</v>
      </c>
    </row>
    <row r="1284" spans="6:31" ht="24" customHeight="1">
      <c r="F1284" s="167">
        <v>0.4</v>
      </c>
      <c r="G1284" s="165" t="s">
        <v>420</v>
      </c>
      <c r="H1284" s="154" t="s">
        <v>1430</v>
      </c>
      <c r="I1284" s="332">
        <f>C67</f>
        <v>5750</v>
      </c>
      <c r="J1284" s="154" t="s">
        <v>420</v>
      </c>
      <c r="K1284" s="167">
        <f>(F1284*I1284)</f>
        <v>2300</v>
      </c>
      <c r="S1284" s="198">
        <v>20</v>
      </c>
      <c r="T1284" s="165" t="s">
        <v>420</v>
      </c>
      <c r="U1284" s="154" t="s">
        <v>568</v>
      </c>
      <c r="V1284" s="173">
        <f t="shared" si="156"/>
        <v>5750</v>
      </c>
      <c r="W1284" s="154" t="s">
        <v>567</v>
      </c>
      <c r="X1284" s="167">
        <f>(S1284*V1284)/1000</f>
        <v>115</v>
      </c>
      <c r="AE1284" s="172">
        <f t="shared" si="157"/>
        <v>0</v>
      </c>
    </row>
    <row r="1285" spans="6:31" ht="24" customHeight="1">
      <c r="F1285" s="167">
        <v>0.02</v>
      </c>
      <c r="G1285" s="165" t="s">
        <v>577</v>
      </c>
      <c r="H1285" s="154" t="s">
        <v>1987</v>
      </c>
      <c r="I1285" s="167">
        <f>I1271</f>
        <v>5737.67</v>
      </c>
      <c r="J1285" s="154" t="s">
        <v>577</v>
      </c>
      <c r="K1285" s="167">
        <f>(F1285*I1285)</f>
        <v>114.7534</v>
      </c>
      <c r="S1285" s="198">
        <v>2</v>
      </c>
      <c r="T1285" s="165" t="s">
        <v>420</v>
      </c>
      <c r="U1285" s="154" t="s">
        <v>1959</v>
      </c>
      <c r="V1285" s="173">
        <f t="shared" si="156"/>
        <v>36.1</v>
      </c>
      <c r="W1285" s="154" t="s">
        <v>420</v>
      </c>
      <c r="X1285" s="167">
        <f>(S1285*V1285)</f>
        <v>72.2</v>
      </c>
      <c r="AE1285" s="172">
        <f t="shared" si="157"/>
        <v>0</v>
      </c>
    </row>
    <row r="1286" spans="6:31" ht="24" customHeight="1">
      <c r="F1286" s="167">
        <v>1</v>
      </c>
      <c r="G1286" s="165" t="s">
        <v>680</v>
      </c>
      <c r="H1286" s="154" t="s">
        <v>778</v>
      </c>
      <c r="I1286" s="167">
        <f>I1272</f>
        <v>717.2</v>
      </c>
      <c r="J1286" s="154" t="s">
        <v>680</v>
      </c>
      <c r="K1286" s="167">
        <f>(F1286*I1286)</f>
        <v>717.2</v>
      </c>
      <c r="S1286" s="167">
        <v>1.6</v>
      </c>
      <c r="T1286" s="165" t="s">
        <v>680</v>
      </c>
      <c r="U1286" s="154" t="s">
        <v>752</v>
      </c>
      <c r="V1286" s="173">
        <f t="shared" si="156"/>
        <v>669.90000000000009</v>
      </c>
      <c r="W1286" s="154" t="s">
        <v>680</v>
      </c>
      <c r="X1286" s="167">
        <f>(S1286*V1286)</f>
        <v>1071.8400000000001</v>
      </c>
      <c r="AE1286" s="172">
        <f t="shared" si="157"/>
        <v>0</v>
      </c>
    </row>
    <row r="1287" spans="6:31" ht="24" customHeight="1">
      <c r="F1287" s="167">
        <v>1</v>
      </c>
      <c r="G1287" s="165" t="s">
        <v>680</v>
      </c>
      <c r="H1287" s="154" t="s">
        <v>1989</v>
      </c>
      <c r="I1287" s="167">
        <f>I1273</f>
        <v>468.6</v>
      </c>
      <c r="J1287" s="154" t="s">
        <v>680</v>
      </c>
      <c r="K1287" s="167">
        <f>(F1287*I1287)</f>
        <v>468.6</v>
      </c>
      <c r="S1287" s="167">
        <v>0.5</v>
      </c>
      <c r="T1287" s="165" t="s">
        <v>680</v>
      </c>
      <c r="U1287" s="154" t="s">
        <v>754</v>
      </c>
      <c r="V1287" s="173">
        <f t="shared" si="156"/>
        <v>468.6</v>
      </c>
      <c r="W1287" s="154" t="s">
        <v>680</v>
      </c>
      <c r="X1287" s="167">
        <f>(S1287*V1287)</f>
        <v>234.3</v>
      </c>
      <c r="AE1287" s="172">
        <f t="shared" si="157"/>
        <v>0</v>
      </c>
    </row>
    <row r="1288" spans="6:31" ht="24" customHeight="1">
      <c r="G1288" s="165" t="s">
        <v>589</v>
      </c>
      <c r="H1288" s="154" t="s">
        <v>590</v>
      </c>
      <c r="J1288" s="154" t="s">
        <v>589</v>
      </c>
      <c r="K1288" s="167"/>
      <c r="S1288" s="167">
        <v>1.1000000000000001</v>
      </c>
      <c r="T1288" s="165" t="s">
        <v>680</v>
      </c>
      <c r="U1288" s="154" t="s">
        <v>756</v>
      </c>
      <c r="V1288" s="173">
        <f t="shared" si="156"/>
        <v>404.8</v>
      </c>
      <c r="W1288" s="154" t="s">
        <v>680</v>
      </c>
      <c r="X1288" s="167">
        <f>(S1288*V1288)</f>
        <v>445.28000000000003</v>
      </c>
      <c r="AE1288" s="172">
        <f t="shared" si="157"/>
        <v>0</v>
      </c>
    </row>
    <row r="1289" spans="6:31" ht="24" customHeight="1">
      <c r="K1289" s="162" t="s">
        <v>534</v>
      </c>
      <c r="S1289" s="76"/>
      <c r="T1289" s="165" t="s">
        <v>589</v>
      </c>
      <c r="U1289" s="154" t="s">
        <v>590</v>
      </c>
      <c r="W1289" s="154" t="s">
        <v>589</v>
      </c>
      <c r="X1289" s="167">
        <v>0</v>
      </c>
      <c r="AE1289" s="172">
        <f t="shared" si="157"/>
        <v>0</v>
      </c>
    </row>
    <row r="1290" spans="6:31" ht="24" customHeight="1">
      <c r="H1290" s="154" t="s">
        <v>1992</v>
      </c>
      <c r="K1290" s="167">
        <f>SUM(K1283:K1288)</f>
        <v>4901.4374000000007</v>
      </c>
      <c r="S1290" s="76"/>
      <c r="T1290" s="156"/>
      <c r="W1290" s="158"/>
      <c r="X1290" s="162" t="s">
        <v>534</v>
      </c>
      <c r="AE1290" s="172">
        <f t="shared" si="157"/>
        <v>0</v>
      </c>
    </row>
    <row r="1291" spans="6:31" ht="24" customHeight="1">
      <c r="K1291" s="162" t="s">
        <v>534</v>
      </c>
      <c r="S1291" s="76"/>
      <c r="T1291" s="156"/>
      <c r="U1291" s="154" t="s">
        <v>879</v>
      </c>
      <c r="W1291" s="158"/>
      <c r="X1291" s="167">
        <f>SUM(X1277:X1289)</f>
        <v>11683.120700000001</v>
      </c>
      <c r="AE1291" s="172">
        <f t="shared" si="157"/>
        <v>0</v>
      </c>
    </row>
    <row r="1292" spans="6:31" ht="24" customHeight="1">
      <c r="H1292" s="169" t="s">
        <v>881</v>
      </c>
      <c r="K1292" s="166">
        <f>(K1290/1.86)</f>
        <v>2635.1813978494624</v>
      </c>
      <c r="S1292" s="76"/>
      <c r="T1292" s="156"/>
      <c r="W1292" s="158"/>
      <c r="X1292" s="162" t="s">
        <v>534</v>
      </c>
      <c r="AE1292" s="172">
        <f t="shared" si="157"/>
        <v>0</v>
      </c>
    </row>
    <row r="1293" spans="6:31" ht="24" customHeight="1">
      <c r="K1293" s="162" t="s">
        <v>528</v>
      </c>
      <c r="U1293" s="169" t="s">
        <v>881</v>
      </c>
      <c r="W1293" s="158"/>
      <c r="X1293" s="166">
        <f>(X1291/10)</f>
        <v>1168.3120700000002</v>
      </c>
      <c r="AE1293" s="172">
        <f t="shared" si="157"/>
        <v>0</v>
      </c>
    </row>
    <row r="1294" spans="6:31" ht="24" customHeight="1">
      <c r="K1294" s="162"/>
      <c r="W1294" s="158"/>
      <c r="X1294" s="162" t="s">
        <v>528</v>
      </c>
      <c r="AE1294" s="172">
        <f t="shared" si="157"/>
        <v>0</v>
      </c>
    </row>
    <row r="1295" spans="6:31" ht="24" customHeight="1">
      <c r="K1295" s="162"/>
      <c r="AE1295" s="172">
        <f t="shared" si="157"/>
        <v>0</v>
      </c>
    </row>
    <row r="1296" spans="6:31" ht="24" customHeight="1">
      <c r="K1296" s="162"/>
      <c r="M1296" s="155"/>
      <c r="N1296" s="165" t="s">
        <v>307</v>
      </c>
      <c r="O1296" s="154" t="s">
        <v>1997</v>
      </c>
      <c r="Q1296" s="160"/>
      <c r="S1296" s="257">
        <v>15.1</v>
      </c>
      <c r="T1296" s="165" t="s">
        <v>1319</v>
      </c>
      <c r="U1296" s="154" t="s">
        <v>1998</v>
      </c>
      <c r="W1296" s="160"/>
      <c r="AE1296" s="172">
        <f t="shared" si="157"/>
        <v>0</v>
      </c>
    </row>
    <row r="1297" spans="6:31" ht="24" customHeight="1">
      <c r="K1297" s="162"/>
      <c r="N1297" s="156"/>
      <c r="O1297" s="154" t="s">
        <v>1999</v>
      </c>
      <c r="Q1297" s="160"/>
      <c r="S1297" s="76"/>
      <c r="T1297" s="156"/>
      <c r="U1297" s="154" t="s">
        <v>1257</v>
      </c>
      <c r="W1297" s="160"/>
      <c r="AE1297" s="172">
        <f t="shared" si="157"/>
        <v>0</v>
      </c>
    </row>
    <row r="1298" spans="6:31" ht="24" customHeight="1">
      <c r="F1298" s="155" t="s">
        <v>719</v>
      </c>
      <c r="G1298" s="165" t="s">
        <v>307</v>
      </c>
      <c r="H1298" s="154" t="s">
        <v>1942</v>
      </c>
      <c r="N1298" s="156"/>
      <c r="O1298" s="157" t="s">
        <v>2000</v>
      </c>
      <c r="Q1298" s="160"/>
      <c r="S1298" s="167">
        <v>10</v>
      </c>
      <c r="T1298" s="165" t="s">
        <v>250</v>
      </c>
      <c r="U1298" s="154" t="s">
        <v>2001</v>
      </c>
      <c r="V1298" s="174">
        <v>1506.6</v>
      </c>
      <c r="W1298" s="155" t="s">
        <v>250</v>
      </c>
      <c r="X1298" s="167">
        <f t="shared" ref="X1298:X1304" si="158">(S1298*V1298)</f>
        <v>15066</v>
      </c>
      <c r="AE1298" s="172">
        <f t="shared" si="157"/>
        <v>0</v>
      </c>
    </row>
    <row r="1299" spans="6:31" ht="24" customHeight="1">
      <c r="H1299" s="154" t="s">
        <v>2002</v>
      </c>
      <c r="N1299" s="156"/>
      <c r="O1299" s="162" t="s">
        <v>534</v>
      </c>
      <c r="Q1299" s="160"/>
      <c r="S1299" s="167">
        <v>0.21</v>
      </c>
      <c r="T1299" s="165" t="s">
        <v>577</v>
      </c>
      <c r="U1299" s="154" t="s">
        <v>1326</v>
      </c>
      <c r="V1299" s="263">
        <f>P1333</f>
        <v>4357.67</v>
      </c>
      <c r="W1299" s="155" t="s">
        <v>577</v>
      </c>
      <c r="X1299" s="167">
        <f t="shared" si="158"/>
        <v>915.11069999999995</v>
      </c>
      <c r="AE1299" s="172">
        <f t="shared" si="157"/>
        <v>0</v>
      </c>
    </row>
    <row r="1300" spans="6:31" ht="24" customHeight="1">
      <c r="H1300" s="154" t="s">
        <v>2003</v>
      </c>
      <c r="M1300" s="167">
        <v>3.2</v>
      </c>
      <c r="N1300" s="165" t="s">
        <v>420</v>
      </c>
      <c r="O1300" s="223" t="s">
        <v>2004</v>
      </c>
      <c r="P1300" s="172">
        <v>225</v>
      </c>
      <c r="Q1300" s="155" t="s">
        <v>420</v>
      </c>
      <c r="R1300" s="167">
        <f>(M1300*P1300)</f>
        <v>720</v>
      </c>
      <c r="S1300" s="167">
        <v>1.1000000000000001</v>
      </c>
      <c r="T1300" s="165" t="s">
        <v>1261</v>
      </c>
      <c r="U1300" s="154" t="s">
        <v>1262</v>
      </c>
      <c r="V1300" s="263">
        <f>P1334</f>
        <v>717.2</v>
      </c>
      <c r="W1300" s="155" t="s">
        <v>332</v>
      </c>
      <c r="X1300" s="167">
        <f t="shared" si="158"/>
        <v>788.92000000000007</v>
      </c>
      <c r="AE1300" s="172">
        <f t="shared" si="157"/>
        <v>0</v>
      </c>
    </row>
    <row r="1301" spans="6:31" ht="24" customHeight="1">
      <c r="H1301" s="154" t="s">
        <v>2005</v>
      </c>
      <c r="M1301" s="167">
        <v>0.98</v>
      </c>
      <c r="N1301" s="165" t="s">
        <v>2006</v>
      </c>
      <c r="O1301" s="154" t="s">
        <v>2007</v>
      </c>
      <c r="P1301" s="167">
        <f>P1320</f>
        <v>143.30000000000001</v>
      </c>
      <c r="Q1301" s="155" t="s">
        <v>2006</v>
      </c>
      <c r="R1301" s="167">
        <f t="shared" ref="R1301:R1306" si="159">(M1301*P1301)</f>
        <v>140.434</v>
      </c>
      <c r="S1301" s="167">
        <v>1.1000000000000001</v>
      </c>
      <c r="T1301" s="165" t="s">
        <v>1261</v>
      </c>
      <c r="U1301" s="154" t="s">
        <v>1938</v>
      </c>
      <c r="V1301" s="263">
        <f>P1260</f>
        <v>669.90000000000009</v>
      </c>
      <c r="W1301" s="155" t="s">
        <v>332</v>
      </c>
      <c r="X1301" s="167">
        <f t="shared" si="158"/>
        <v>736.89000000000021</v>
      </c>
      <c r="AE1301" s="172">
        <f t="shared" si="157"/>
        <v>0</v>
      </c>
    </row>
    <row r="1302" spans="6:31" ht="24" customHeight="1">
      <c r="H1302" s="162" t="s">
        <v>534</v>
      </c>
      <c r="M1302" s="167">
        <v>0.5</v>
      </c>
      <c r="N1302" s="165" t="s">
        <v>680</v>
      </c>
      <c r="O1302" s="154" t="s">
        <v>2008</v>
      </c>
      <c r="P1302" s="167">
        <f>AE13</f>
        <v>574.20000000000005</v>
      </c>
      <c r="Q1302" s="165" t="s">
        <v>680</v>
      </c>
      <c r="R1302" s="167">
        <f t="shared" si="159"/>
        <v>287.10000000000002</v>
      </c>
      <c r="S1302" s="167">
        <v>2.2000000000000002</v>
      </c>
      <c r="T1302" s="165" t="s">
        <v>1261</v>
      </c>
      <c r="U1302" s="154" t="s">
        <v>1264</v>
      </c>
      <c r="V1302" s="263">
        <f>P1335</f>
        <v>468.6</v>
      </c>
      <c r="W1302" s="155" t="s">
        <v>332</v>
      </c>
      <c r="X1302" s="167">
        <f t="shared" si="158"/>
        <v>1030.92</v>
      </c>
      <c r="AE1302" s="172">
        <f t="shared" si="157"/>
        <v>0</v>
      </c>
    </row>
    <row r="1303" spans="6:31" ht="24" customHeight="1">
      <c r="F1303" s="167">
        <v>0.24</v>
      </c>
      <c r="G1303" s="165" t="s">
        <v>577</v>
      </c>
      <c r="H1303" s="154" t="s">
        <v>2009</v>
      </c>
      <c r="I1303" s="167">
        <f>(C70)</f>
        <v>846.21</v>
      </c>
      <c r="J1303" s="154" t="s">
        <v>577</v>
      </c>
      <c r="K1303" s="167">
        <f>(F1303*I1303)</f>
        <v>203.09039999999999</v>
      </c>
      <c r="M1303" s="167">
        <v>0.7</v>
      </c>
      <c r="N1303" s="165" t="s">
        <v>680</v>
      </c>
      <c r="O1303" s="154" t="s">
        <v>2010</v>
      </c>
      <c r="P1303" s="167">
        <f>AE14</f>
        <v>555.5</v>
      </c>
      <c r="Q1303" s="165" t="s">
        <v>680</v>
      </c>
      <c r="R1303" s="167">
        <f t="shared" si="159"/>
        <v>388.84999999999997</v>
      </c>
      <c r="S1303" s="167">
        <v>2.2000000000000002</v>
      </c>
      <c r="T1303" s="165" t="s">
        <v>1261</v>
      </c>
      <c r="U1303" s="154" t="s">
        <v>2011</v>
      </c>
      <c r="V1303" s="263">
        <f>P1305</f>
        <v>404.8</v>
      </c>
      <c r="W1303" s="155" t="s">
        <v>332</v>
      </c>
      <c r="X1303" s="167">
        <f t="shared" si="158"/>
        <v>890.56000000000006</v>
      </c>
      <c r="AE1303" s="172">
        <f t="shared" si="157"/>
        <v>0</v>
      </c>
    </row>
    <row r="1304" spans="6:31" ht="24" customHeight="1">
      <c r="F1304" s="198">
        <v>0.11700000000000001</v>
      </c>
      <c r="G1304" s="165" t="s">
        <v>567</v>
      </c>
      <c r="H1304" s="154" t="s">
        <v>568</v>
      </c>
      <c r="I1304" s="167">
        <f>(C67)</f>
        <v>5750</v>
      </c>
      <c r="J1304" s="154" t="s">
        <v>567</v>
      </c>
      <c r="K1304" s="167">
        <f>(F1304*I1304)</f>
        <v>672.75</v>
      </c>
      <c r="M1304" s="167">
        <v>0.5</v>
      </c>
      <c r="N1304" s="165" t="s">
        <v>680</v>
      </c>
      <c r="O1304" s="154" t="s">
        <v>754</v>
      </c>
      <c r="P1304" s="167">
        <f>I1306</f>
        <v>468.6</v>
      </c>
      <c r="Q1304" s="165" t="s">
        <v>680</v>
      </c>
      <c r="R1304" s="167">
        <f t="shared" si="159"/>
        <v>234.3</v>
      </c>
      <c r="S1304" s="167">
        <v>10</v>
      </c>
      <c r="T1304" s="165" t="s">
        <v>589</v>
      </c>
      <c r="U1304" s="154" t="s">
        <v>2012</v>
      </c>
      <c r="V1304" s="263">
        <v>153.47</v>
      </c>
      <c r="W1304" s="155" t="s">
        <v>589</v>
      </c>
      <c r="X1304" s="167">
        <f t="shared" si="158"/>
        <v>1534.7</v>
      </c>
      <c r="AE1304" s="172">
        <f t="shared" si="157"/>
        <v>0</v>
      </c>
    </row>
    <row r="1305" spans="6:31" ht="24" customHeight="1">
      <c r="F1305" s="167">
        <v>0.5</v>
      </c>
      <c r="G1305" s="165" t="s">
        <v>680</v>
      </c>
      <c r="H1305" s="154" t="s">
        <v>778</v>
      </c>
      <c r="I1305" s="167">
        <f>(C10)</f>
        <v>717.2</v>
      </c>
      <c r="J1305" s="154" t="s">
        <v>680</v>
      </c>
      <c r="K1305" s="167">
        <f>(F1305*I1305)</f>
        <v>358.6</v>
      </c>
      <c r="M1305" s="167">
        <v>0.8</v>
      </c>
      <c r="N1305" s="165" t="s">
        <v>680</v>
      </c>
      <c r="O1305" s="154" t="s">
        <v>756</v>
      </c>
      <c r="P1305" s="167">
        <f>I1307</f>
        <v>404.8</v>
      </c>
      <c r="Q1305" s="165" t="s">
        <v>680</v>
      </c>
      <c r="R1305" s="167">
        <f t="shared" si="159"/>
        <v>323.84000000000003</v>
      </c>
      <c r="S1305" s="76"/>
      <c r="T1305" s="156"/>
      <c r="U1305" s="154"/>
      <c r="V1305" s="263">
        <f>P1337</f>
        <v>0</v>
      </c>
      <c r="W1305" s="160"/>
      <c r="X1305" s="162" t="s">
        <v>534</v>
      </c>
      <c r="AE1305" s="172">
        <f t="shared" si="157"/>
        <v>0</v>
      </c>
    </row>
    <row r="1306" spans="6:31" ht="24" customHeight="1">
      <c r="F1306" s="167">
        <v>1.1000000000000001</v>
      </c>
      <c r="G1306" s="165" t="s">
        <v>680</v>
      </c>
      <c r="H1306" s="154" t="s">
        <v>1944</v>
      </c>
      <c r="I1306" s="167">
        <f>(C12)</f>
        <v>468.6</v>
      </c>
      <c r="J1306" s="154" t="s">
        <v>680</v>
      </c>
      <c r="K1306" s="167">
        <f>(F1306*I1306)</f>
        <v>515.46</v>
      </c>
      <c r="M1306" s="167">
        <v>10</v>
      </c>
      <c r="N1306" s="165" t="s">
        <v>250</v>
      </c>
      <c r="O1306" s="154" t="s">
        <v>2013</v>
      </c>
      <c r="P1306" s="173">
        <f>C460</f>
        <v>2.8</v>
      </c>
      <c r="Q1306" s="165" t="s">
        <v>250</v>
      </c>
      <c r="R1306" s="167">
        <f t="shared" si="159"/>
        <v>28</v>
      </c>
      <c r="S1306" s="76"/>
      <c r="T1306" s="156"/>
      <c r="U1306" s="155" t="s">
        <v>1336</v>
      </c>
      <c r="V1306" s="263"/>
      <c r="W1306" s="160"/>
      <c r="X1306" s="167">
        <f>SUM(X1298:X1304)</f>
        <v>20963.100700000003</v>
      </c>
      <c r="AE1306" s="172">
        <f t="shared" si="157"/>
        <v>0</v>
      </c>
    </row>
    <row r="1307" spans="6:31" ht="24" customHeight="1">
      <c r="F1307" s="167">
        <v>4.3</v>
      </c>
      <c r="G1307" s="165" t="s">
        <v>680</v>
      </c>
      <c r="H1307" s="154" t="s">
        <v>756</v>
      </c>
      <c r="I1307" s="167">
        <f>(C13)</f>
        <v>404.8</v>
      </c>
      <c r="J1307" s="154" t="s">
        <v>680</v>
      </c>
      <c r="K1307" s="167">
        <f>(F1307*I1307)</f>
        <v>1740.6399999999999</v>
      </c>
      <c r="N1307" s="165" t="s">
        <v>589</v>
      </c>
      <c r="O1307" s="154" t="s">
        <v>1914</v>
      </c>
      <c r="P1307" s="154" t="s">
        <v>22</v>
      </c>
      <c r="Q1307" s="155" t="s">
        <v>589</v>
      </c>
      <c r="R1307" s="167">
        <v>0</v>
      </c>
      <c r="S1307" s="76"/>
      <c r="T1307" s="156"/>
      <c r="W1307" s="160"/>
      <c r="X1307" s="162" t="s">
        <v>534</v>
      </c>
      <c r="AE1307" s="172">
        <f t="shared" si="157"/>
        <v>0</v>
      </c>
    </row>
    <row r="1308" spans="6:31" ht="24" customHeight="1">
      <c r="G1308" s="165" t="s">
        <v>589</v>
      </c>
      <c r="H1308" s="154" t="s">
        <v>590</v>
      </c>
      <c r="J1308" s="154" t="s">
        <v>589</v>
      </c>
      <c r="K1308" s="167">
        <v>0</v>
      </c>
      <c r="N1308" s="156"/>
      <c r="Q1308" s="160"/>
      <c r="R1308" s="162" t="s">
        <v>534</v>
      </c>
      <c r="S1308" s="76"/>
      <c r="T1308" s="156"/>
      <c r="U1308" s="155" t="s">
        <v>1341</v>
      </c>
      <c r="W1308" s="160"/>
      <c r="X1308" s="166">
        <f>X1306/10</f>
        <v>2096.3100700000005</v>
      </c>
      <c r="AE1308" s="172">
        <f t="shared" si="157"/>
        <v>0</v>
      </c>
    </row>
    <row r="1309" spans="6:31" ht="24" customHeight="1">
      <c r="K1309" s="162" t="s">
        <v>534</v>
      </c>
      <c r="N1309" s="156"/>
      <c r="O1309" s="154" t="s">
        <v>879</v>
      </c>
      <c r="Q1309" s="160"/>
      <c r="R1309" s="167">
        <f>SUM(R1300:R1307)</f>
        <v>2122.5239999999999</v>
      </c>
      <c r="S1309" s="76"/>
      <c r="T1309" s="156"/>
      <c r="U1309" s="154" t="s">
        <v>789</v>
      </c>
      <c r="W1309" s="160">
        <f>X1313+Y1308</f>
        <v>2098.5300700000007</v>
      </c>
      <c r="X1309" s="167">
        <f>X1308+Y1306</f>
        <v>2096.3100700000005</v>
      </c>
      <c r="AE1309" s="172">
        <f t="shared" si="157"/>
        <v>0</v>
      </c>
    </row>
    <row r="1310" spans="6:31" ht="24" customHeight="1">
      <c r="H1310" s="154" t="s">
        <v>879</v>
      </c>
      <c r="K1310" s="167">
        <f>SUM(K1303:K1308)</f>
        <v>3490.5403999999999</v>
      </c>
      <c r="N1310" s="156"/>
      <c r="Q1310" s="160"/>
      <c r="R1310" s="162" t="s">
        <v>534</v>
      </c>
      <c r="S1310" s="76"/>
      <c r="T1310" s="156"/>
      <c r="U1310" s="154" t="s">
        <v>793</v>
      </c>
      <c r="W1310" s="160">
        <f>W1309+Y1308</f>
        <v>2098.5300700000007</v>
      </c>
      <c r="X1310" s="167">
        <f>X1309+1.11</f>
        <v>2097.4200700000006</v>
      </c>
      <c r="AE1310" s="172">
        <f t="shared" si="157"/>
        <v>0</v>
      </c>
    </row>
    <row r="1311" spans="6:31" ht="24" customHeight="1">
      <c r="K1311" s="162" t="s">
        <v>534</v>
      </c>
      <c r="N1311" s="156"/>
      <c r="O1311" s="157" t="s">
        <v>881</v>
      </c>
      <c r="Q1311" s="160"/>
      <c r="R1311" s="166">
        <f>(R1309/10)</f>
        <v>212.25239999999999</v>
      </c>
      <c r="S1311" s="76"/>
      <c r="T1311" s="156"/>
      <c r="U1311" s="154" t="s">
        <v>796</v>
      </c>
      <c r="W1311" s="160"/>
      <c r="X1311" s="167">
        <f>X1310+1.11</f>
        <v>2098.5300700000007</v>
      </c>
      <c r="AE1311" s="172">
        <f t="shared" si="157"/>
        <v>0</v>
      </c>
    </row>
    <row r="1312" spans="6:31" ht="24" customHeight="1">
      <c r="H1312" s="169" t="s">
        <v>881</v>
      </c>
      <c r="K1312" s="166">
        <f>K1310/10</f>
        <v>349.05403999999999</v>
      </c>
      <c r="M1312" s="154" t="s">
        <v>22</v>
      </c>
      <c r="N1312" s="156"/>
      <c r="Q1312" s="160"/>
      <c r="S1312" s="76"/>
      <c r="T1312" s="156"/>
      <c r="U1312" s="154" t="s">
        <v>798</v>
      </c>
      <c r="W1312" s="160"/>
      <c r="X1312" s="167">
        <f>X1311+Y1308</f>
        <v>2098.5300700000007</v>
      </c>
      <c r="AE1312" s="172">
        <f t="shared" si="157"/>
        <v>0</v>
      </c>
    </row>
    <row r="1313" spans="6:31" ht="24" customHeight="1">
      <c r="F1313" s="154" t="s">
        <v>22</v>
      </c>
      <c r="N1313" s="156"/>
      <c r="Q1313" s="160"/>
      <c r="R1313" s="162" t="s">
        <v>528</v>
      </c>
      <c r="S1313" s="76"/>
      <c r="T1313" s="156"/>
      <c r="U1313" s="154" t="s">
        <v>1180</v>
      </c>
      <c r="W1313" s="160"/>
      <c r="X1313" s="167">
        <f>X1312+Y1308</f>
        <v>2098.5300700000007</v>
      </c>
      <c r="AE1313" s="172">
        <f t="shared" si="157"/>
        <v>0</v>
      </c>
    </row>
    <row r="1314" spans="6:31" ht="24" customHeight="1">
      <c r="K1314" s="162" t="s">
        <v>528</v>
      </c>
      <c r="N1314" s="156"/>
      <c r="Q1314" s="160"/>
      <c r="S1314" s="76"/>
      <c r="T1314" s="156"/>
      <c r="W1314" s="160"/>
      <c r="AE1314" s="172">
        <f t="shared" si="157"/>
        <v>0</v>
      </c>
    </row>
    <row r="1315" spans="6:31" ht="24" customHeight="1">
      <c r="F1315" s="155" t="s">
        <v>2014</v>
      </c>
      <c r="G1315" s="165" t="s">
        <v>307</v>
      </c>
      <c r="H1315" s="157" t="s">
        <v>2015</v>
      </c>
      <c r="M1315" s="155" t="s">
        <v>2016</v>
      </c>
      <c r="N1315" s="165" t="s">
        <v>307</v>
      </c>
      <c r="O1315" s="154" t="s">
        <v>2017</v>
      </c>
      <c r="Q1315" s="160"/>
      <c r="AE1315" s="172">
        <f t="shared" si="157"/>
        <v>0</v>
      </c>
    </row>
    <row r="1316" spans="6:31" ht="24" customHeight="1">
      <c r="H1316" s="154" t="s">
        <v>2018</v>
      </c>
      <c r="N1316" s="156"/>
      <c r="O1316" s="154" t="s">
        <v>1999</v>
      </c>
      <c r="Q1316" s="160"/>
      <c r="S1316" s="257">
        <v>15.1</v>
      </c>
      <c r="T1316" s="165" t="s">
        <v>1319</v>
      </c>
      <c r="U1316" s="154" t="s">
        <v>2019</v>
      </c>
      <c r="W1316" s="160"/>
      <c r="AE1316" s="172">
        <f t="shared" si="157"/>
        <v>0</v>
      </c>
    </row>
    <row r="1317" spans="6:31" ht="24" customHeight="1">
      <c r="H1317" s="154" t="s">
        <v>2020</v>
      </c>
      <c r="N1317" s="156"/>
      <c r="O1317" s="157" t="s">
        <v>2021</v>
      </c>
      <c r="Q1317" s="160"/>
      <c r="S1317" s="76"/>
      <c r="T1317" s="156"/>
      <c r="U1317" s="154" t="s">
        <v>1257</v>
      </c>
      <c r="W1317" s="160"/>
      <c r="AE1317" s="172">
        <f t="shared" si="157"/>
        <v>0</v>
      </c>
    </row>
    <row r="1318" spans="6:31" ht="24" customHeight="1">
      <c r="H1318" s="154" t="s">
        <v>2022</v>
      </c>
      <c r="N1318" s="156"/>
      <c r="O1318" s="162" t="s">
        <v>534</v>
      </c>
      <c r="Q1318" s="160"/>
      <c r="S1318" s="167">
        <v>10</v>
      </c>
      <c r="T1318" s="165" t="s">
        <v>250</v>
      </c>
      <c r="U1318" s="154" t="s">
        <v>2023</v>
      </c>
      <c r="V1318" s="174">
        <f>AB1188</f>
        <v>1690</v>
      </c>
      <c r="W1318" s="155" t="s">
        <v>250</v>
      </c>
      <c r="X1318" s="167">
        <f>(S1318*V1318)</f>
        <v>16900</v>
      </c>
      <c r="AE1318" s="172">
        <f t="shared" si="157"/>
        <v>0</v>
      </c>
    </row>
    <row r="1319" spans="6:31" ht="24" customHeight="1">
      <c r="H1319" s="154" t="s">
        <v>2024</v>
      </c>
      <c r="M1319" s="167">
        <v>1.4</v>
      </c>
      <c r="N1319" s="165" t="s">
        <v>2006</v>
      </c>
      <c r="O1319" s="333" t="s">
        <v>2025</v>
      </c>
      <c r="P1319" s="194">
        <v>287</v>
      </c>
      <c r="Q1319" s="155" t="s">
        <v>2006</v>
      </c>
      <c r="R1319" s="167">
        <f>M1319*P1319</f>
        <v>401.79999999999995</v>
      </c>
      <c r="S1319" s="167">
        <v>0.21</v>
      </c>
      <c r="T1319" s="165" t="s">
        <v>577</v>
      </c>
      <c r="U1319" s="154" t="s">
        <v>1326</v>
      </c>
      <c r="V1319" s="263">
        <f>V1299</f>
        <v>4357.67</v>
      </c>
      <c r="W1319" s="155" t="s">
        <v>577</v>
      </c>
      <c r="X1319" s="167">
        <f t="shared" ref="X1319:X1324" si="160">(S1319*V1319)</f>
        <v>915.11069999999995</v>
      </c>
      <c r="AE1319" s="172">
        <f t="shared" si="157"/>
        <v>0</v>
      </c>
    </row>
    <row r="1320" spans="6:31" ht="24" customHeight="1">
      <c r="H1320" s="162" t="s">
        <v>534</v>
      </c>
      <c r="M1320" s="167">
        <v>0.98</v>
      </c>
      <c r="N1320" s="165" t="s">
        <v>2006</v>
      </c>
      <c r="O1320" s="223" t="s">
        <v>2026</v>
      </c>
      <c r="P1320" s="173">
        <f>C196</f>
        <v>143.30000000000001</v>
      </c>
      <c r="Q1320" s="155" t="s">
        <v>2006</v>
      </c>
      <c r="R1320" s="167">
        <f>(M1320*P1320)</f>
        <v>140.434</v>
      </c>
      <c r="S1320" s="167">
        <v>1.1000000000000001</v>
      </c>
      <c r="T1320" s="165" t="s">
        <v>1261</v>
      </c>
      <c r="U1320" s="154" t="s">
        <v>1262</v>
      </c>
      <c r="V1320" s="174">
        <f t="shared" ref="V1320:V1325" si="161">V1300</f>
        <v>717.2</v>
      </c>
      <c r="W1320" s="155" t="s">
        <v>332</v>
      </c>
      <c r="X1320" s="167">
        <f t="shared" si="160"/>
        <v>788.92000000000007</v>
      </c>
      <c r="AE1320" s="172">
        <f t="shared" si="157"/>
        <v>0</v>
      </c>
    </row>
    <row r="1321" spans="6:31" ht="24" customHeight="1">
      <c r="F1321" s="167">
        <v>12.8</v>
      </c>
      <c r="G1321" s="165" t="s">
        <v>577</v>
      </c>
      <c r="H1321" s="154" t="s">
        <v>2027</v>
      </c>
      <c r="I1321" s="167">
        <f>(C82)</f>
        <v>854</v>
      </c>
      <c r="J1321" s="154" t="s">
        <v>577</v>
      </c>
      <c r="K1321" s="167">
        <f>(F1321*I1321)</f>
        <v>10931.2</v>
      </c>
      <c r="M1321" s="167">
        <v>2.2000000000000002</v>
      </c>
      <c r="N1321" s="165" t="s">
        <v>680</v>
      </c>
      <c r="O1321" s="154" t="s">
        <v>2008</v>
      </c>
      <c r="P1321" s="167">
        <f>P1302</f>
        <v>574.20000000000005</v>
      </c>
      <c r="Q1321" s="155" t="s">
        <v>680</v>
      </c>
      <c r="R1321" s="167">
        <f>(M1321*P1321)</f>
        <v>1263.2400000000002</v>
      </c>
      <c r="S1321" s="167">
        <v>1.1000000000000001</v>
      </c>
      <c r="T1321" s="165" t="s">
        <v>1261</v>
      </c>
      <c r="U1321" s="154" t="s">
        <v>1938</v>
      </c>
      <c r="V1321" s="174">
        <f t="shared" si="161"/>
        <v>669.90000000000009</v>
      </c>
      <c r="W1321" s="155" t="s">
        <v>332</v>
      </c>
      <c r="X1321" s="167">
        <f t="shared" si="160"/>
        <v>736.89000000000021</v>
      </c>
      <c r="AE1321" s="172">
        <f t="shared" si="157"/>
        <v>0</v>
      </c>
    </row>
    <row r="1322" spans="6:31" ht="24" customHeight="1">
      <c r="F1322" s="167">
        <v>5</v>
      </c>
      <c r="G1322" s="165" t="s">
        <v>577</v>
      </c>
      <c r="H1322" s="154" t="s">
        <v>2028</v>
      </c>
      <c r="I1322" s="167">
        <f>(C85)</f>
        <v>1007</v>
      </c>
      <c r="J1322" s="154" t="s">
        <v>577</v>
      </c>
      <c r="K1322" s="167">
        <f>(F1322*I1322)</f>
        <v>5035</v>
      </c>
      <c r="N1322" s="165" t="s">
        <v>589</v>
      </c>
      <c r="O1322" s="154" t="s">
        <v>1914</v>
      </c>
      <c r="P1322" s="154" t="s">
        <v>22</v>
      </c>
      <c r="Q1322" s="155" t="s">
        <v>589</v>
      </c>
      <c r="R1322" s="167">
        <v>2.5499999999999998</v>
      </c>
      <c r="S1322" s="167">
        <v>2.2000000000000002</v>
      </c>
      <c r="T1322" s="165" t="s">
        <v>1261</v>
      </c>
      <c r="U1322" s="154" t="s">
        <v>1264</v>
      </c>
      <c r="V1322" s="174">
        <f t="shared" si="161"/>
        <v>468.6</v>
      </c>
      <c r="W1322" s="155" t="s">
        <v>332</v>
      </c>
      <c r="X1322" s="167">
        <f t="shared" si="160"/>
        <v>1030.92</v>
      </c>
      <c r="AE1322" s="172">
        <f t="shared" si="157"/>
        <v>0</v>
      </c>
    </row>
    <row r="1323" spans="6:31" ht="24" customHeight="1">
      <c r="F1323" s="167">
        <v>1.8</v>
      </c>
      <c r="G1323" s="165" t="s">
        <v>680</v>
      </c>
      <c r="H1323" s="154" t="s">
        <v>778</v>
      </c>
      <c r="I1323" s="167">
        <f>(C10)</f>
        <v>717.2</v>
      </c>
      <c r="J1323" s="154" t="s">
        <v>680</v>
      </c>
      <c r="K1323" s="167">
        <f>(F1323*I1323)</f>
        <v>1290.96</v>
      </c>
      <c r="N1323" s="156"/>
      <c r="Q1323" s="160"/>
      <c r="R1323" s="162"/>
      <c r="S1323" s="167">
        <v>2.2000000000000002</v>
      </c>
      <c r="T1323" s="165" t="s">
        <v>1261</v>
      </c>
      <c r="U1323" s="154" t="s">
        <v>2011</v>
      </c>
      <c r="V1323" s="174">
        <f t="shared" si="161"/>
        <v>404.8</v>
      </c>
      <c r="W1323" s="155" t="s">
        <v>332</v>
      </c>
      <c r="X1323" s="167">
        <f t="shared" si="160"/>
        <v>890.56000000000006</v>
      </c>
      <c r="AE1323" s="172">
        <f t="shared" si="157"/>
        <v>0</v>
      </c>
    </row>
    <row r="1324" spans="6:31" ht="24" customHeight="1">
      <c r="F1324" s="167">
        <v>17.7</v>
      </c>
      <c r="G1324" s="165" t="s">
        <v>680</v>
      </c>
      <c r="H1324" s="154" t="s">
        <v>1944</v>
      </c>
      <c r="I1324" s="167">
        <f>(C12)</f>
        <v>468.6</v>
      </c>
      <c r="J1324" s="154" t="s">
        <v>680</v>
      </c>
      <c r="K1324" s="167">
        <f>(F1324*I1324)</f>
        <v>8294.2199999999993</v>
      </c>
      <c r="N1324" s="156"/>
      <c r="O1324" s="154" t="s">
        <v>879</v>
      </c>
      <c r="Q1324" s="160"/>
      <c r="R1324" s="167">
        <f>SUM(R1319:R1322)</f>
        <v>1808.0240000000001</v>
      </c>
      <c r="S1324" s="167">
        <v>10</v>
      </c>
      <c r="T1324" s="165" t="s">
        <v>589</v>
      </c>
      <c r="U1324" s="154" t="s">
        <v>2012</v>
      </c>
      <c r="V1324" s="174">
        <f t="shared" si="161"/>
        <v>153.47</v>
      </c>
      <c r="W1324" s="155" t="s">
        <v>589</v>
      </c>
      <c r="X1324" s="167">
        <f t="shared" si="160"/>
        <v>1534.7</v>
      </c>
      <c r="AE1324" s="172">
        <f t="shared" si="157"/>
        <v>0</v>
      </c>
    </row>
    <row r="1325" spans="6:31" ht="24" customHeight="1">
      <c r="F1325" s="167">
        <v>14.1</v>
      </c>
      <c r="G1325" s="165" t="s">
        <v>680</v>
      </c>
      <c r="H1325" s="154" t="s">
        <v>756</v>
      </c>
      <c r="I1325" s="167">
        <f>(C13)</f>
        <v>404.8</v>
      </c>
      <c r="J1325" s="154" t="s">
        <v>680</v>
      </c>
      <c r="K1325" s="167">
        <f>(F1325*I1325)</f>
        <v>5707.68</v>
      </c>
      <c r="N1325" s="156"/>
      <c r="Q1325" s="160"/>
      <c r="R1325" s="162" t="s">
        <v>534</v>
      </c>
      <c r="S1325" s="76"/>
      <c r="T1325" s="156"/>
      <c r="U1325" s="154"/>
      <c r="V1325" s="174">
        <f t="shared" si="161"/>
        <v>0</v>
      </c>
      <c r="W1325" s="160"/>
      <c r="X1325" s="162" t="s">
        <v>534</v>
      </c>
      <c r="AE1325" s="172">
        <f t="shared" si="157"/>
        <v>0</v>
      </c>
    </row>
    <row r="1326" spans="6:31" ht="24" customHeight="1">
      <c r="G1326" s="165" t="s">
        <v>589</v>
      </c>
      <c r="H1326" s="154" t="s">
        <v>590</v>
      </c>
      <c r="J1326" s="154" t="s">
        <v>589</v>
      </c>
      <c r="K1326" s="167">
        <v>0</v>
      </c>
      <c r="N1326" s="156"/>
      <c r="O1326" s="154" t="s">
        <v>881</v>
      </c>
      <c r="Q1326" s="160"/>
      <c r="R1326" s="166">
        <f>(R1324/10)</f>
        <v>180.80240000000001</v>
      </c>
      <c r="S1326" s="76">
        <f>R1326-157</f>
        <v>23.802400000000006</v>
      </c>
      <c r="T1326" s="156"/>
      <c r="U1326" s="155" t="s">
        <v>1336</v>
      </c>
      <c r="W1326" s="160"/>
      <c r="X1326" s="167">
        <f>SUM(X1318:X1324)</f>
        <v>22797.100700000003</v>
      </c>
      <c r="AE1326" s="172">
        <f t="shared" si="157"/>
        <v>0</v>
      </c>
    </row>
    <row r="1327" spans="6:31" ht="24" customHeight="1">
      <c r="K1327" s="162" t="s">
        <v>534</v>
      </c>
      <c r="M1327" s="154" t="s">
        <v>22</v>
      </c>
      <c r="N1327" s="156"/>
      <c r="Q1327" s="160"/>
      <c r="S1327" s="76"/>
      <c r="T1327" s="156"/>
      <c r="W1327" s="160"/>
      <c r="X1327" s="162" t="s">
        <v>534</v>
      </c>
      <c r="AE1327" s="172">
        <f t="shared" si="157"/>
        <v>0</v>
      </c>
    </row>
    <row r="1328" spans="6:31" ht="24" customHeight="1">
      <c r="H1328" s="154" t="s">
        <v>760</v>
      </c>
      <c r="K1328" s="167">
        <f>SUM(K1321:K1327)</f>
        <v>31259.059999999998</v>
      </c>
      <c r="N1328" s="156"/>
      <c r="Q1328" s="160"/>
      <c r="R1328" s="162" t="s">
        <v>528</v>
      </c>
      <c r="S1328" s="76"/>
      <c r="T1328" s="156"/>
      <c r="U1328" s="155" t="s">
        <v>1341</v>
      </c>
      <c r="W1328" s="160"/>
      <c r="X1328" s="166">
        <f>X1326/10</f>
        <v>2279.7100700000001</v>
      </c>
      <c r="AE1328" s="172">
        <f t="shared" si="157"/>
        <v>0</v>
      </c>
    </row>
    <row r="1329" spans="6:31" ht="24" customHeight="1">
      <c r="K1329" s="162" t="s">
        <v>534</v>
      </c>
      <c r="N1329" s="156"/>
      <c r="Q1329" s="160"/>
      <c r="AE1329" s="172">
        <f t="shared" si="157"/>
        <v>0</v>
      </c>
    </row>
    <row r="1330" spans="6:31" ht="24" customHeight="1">
      <c r="H1330" s="169" t="s">
        <v>685</v>
      </c>
      <c r="K1330" s="166">
        <f>(K1328/10)</f>
        <v>3125.9059999999999</v>
      </c>
      <c r="M1330" s="257">
        <v>15.1</v>
      </c>
      <c r="N1330" s="165" t="s">
        <v>1319</v>
      </c>
      <c r="O1330" s="154" t="s">
        <v>2019</v>
      </c>
      <c r="Q1330" s="160"/>
      <c r="T1330" s="157" t="s">
        <v>2029</v>
      </c>
      <c r="AE1330" s="172">
        <f t="shared" si="157"/>
        <v>0</v>
      </c>
    </row>
    <row r="1331" spans="6:31" ht="24" customHeight="1">
      <c r="K1331" s="162" t="s">
        <v>528</v>
      </c>
      <c r="N1331" s="156"/>
      <c r="O1331" s="154" t="s">
        <v>1257</v>
      </c>
      <c r="Q1331" s="160"/>
      <c r="S1331" s="167">
        <v>10</v>
      </c>
      <c r="T1331" s="165" t="s">
        <v>916</v>
      </c>
      <c r="U1331" s="154" t="s">
        <v>2030</v>
      </c>
      <c r="V1331" s="174">
        <v>464</v>
      </c>
      <c r="W1331" s="154" t="s">
        <v>916</v>
      </c>
      <c r="X1331" s="167">
        <f>(S1331*V1331)</f>
        <v>4640</v>
      </c>
      <c r="Z1331" s="76">
        <v>9</v>
      </c>
      <c r="AA1331" s="76" t="s">
        <v>2031</v>
      </c>
      <c r="AB1331" s="76">
        <f>AC44</f>
        <v>917.38</v>
      </c>
      <c r="AC1331" s="76">
        <f>AB1331*Z1331</f>
        <v>8256.42</v>
      </c>
      <c r="AE1331" s="172">
        <f t="shared" si="157"/>
        <v>0</v>
      </c>
    </row>
    <row r="1332" spans="6:31" ht="38.25" customHeight="1">
      <c r="M1332" s="167">
        <v>10</v>
      </c>
      <c r="N1332" s="165" t="s">
        <v>250</v>
      </c>
      <c r="O1332" s="334" t="s">
        <v>2032</v>
      </c>
      <c r="P1332" s="174">
        <v>1580</v>
      </c>
      <c r="Q1332" s="155" t="s">
        <v>250</v>
      </c>
      <c r="R1332" s="167">
        <f>(M1332*P1332)</f>
        <v>15800</v>
      </c>
      <c r="S1332" s="167">
        <v>0.21</v>
      </c>
      <c r="T1332" s="165" t="s">
        <v>577</v>
      </c>
      <c r="U1332" s="154" t="s">
        <v>1951</v>
      </c>
      <c r="V1332" s="167">
        <f>P1333</f>
        <v>4357.67</v>
      </c>
      <c r="W1332" s="154" t="s">
        <v>577</v>
      </c>
      <c r="X1332" s="167">
        <f>(S1332*V1332)</f>
        <v>915.11069999999995</v>
      </c>
      <c r="Z1332" s="76">
        <v>4.5</v>
      </c>
      <c r="AA1332" s="154" t="s">
        <v>1987</v>
      </c>
      <c r="AB1332" s="76">
        <f>K23</f>
        <v>5737.67</v>
      </c>
      <c r="AC1332" s="76">
        <f>AB1332*Z1332</f>
        <v>25819.514999999999</v>
      </c>
      <c r="AE1332" s="172">
        <f t="shared" si="157"/>
        <v>0</v>
      </c>
    </row>
    <row r="1333" spans="6:31" ht="24" customHeight="1">
      <c r="G1333" s="165" t="s">
        <v>865</v>
      </c>
      <c r="H1333" s="154" t="s">
        <v>2033</v>
      </c>
      <c r="M1333" s="167">
        <v>0.12</v>
      </c>
      <c r="N1333" s="165" t="s">
        <v>577</v>
      </c>
      <c r="O1333" s="154" t="s">
        <v>1326</v>
      </c>
      <c r="P1333" s="167">
        <f>K32</f>
        <v>4357.67</v>
      </c>
      <c r="Q1333" s="155" t="s">
        <v>577</v>
      </c>
      <c r="R1333" s="167">
        <f>(M1333*P1333)</f>
        <v>522.92039999999997</v>
      </c>
      <c r="S1333" s="76">
        <v>10</v>
      </c>
      <c r="T1333" s="156"/>
      <c r="U1333" s="154" t="s">
        <v>2034</v>
      </c>
      <c r="V1333" s="263">
        <f>K1344</f>
        <v>232.76668000000004</v>
      </c>
      <c r="W1333" s="158"/>
      <c r="X1333" s="167">
        <f>(S1333*V1333)</f>
        <v>2327.6668000000004</v>
      </c>
      <c r="Z1333" s="76">
        <v>1.8</v>
      </c>
      <c r="AA1333" s="154" t="s">
        <v>752</v>
      </c>
      <c r="AB1333" s="76">
        <f>V1335</f>
        <v>669.90000000000009</v>
      </c>
      <c r="AC1333" s="76">
        <f>AB1333*Z1333</f>
        <v>1205.8200000000002</v>
      </c>
      <c r="AE1333" s="172">
        <f t="shared" si="157"/>
        <v>0</v>
      </c>
    </row>
    <row r="1334" spans="6:31" ht="31.5" customHeight="1">
      <c r="H1334" s="154" t="s">
        <v>2035</v>
      </c>
      <c r="M1334" s="167">
        <v>1</v>
      </c>
      <c r="N1334" s="165" t="s">
        <v>1261</v>
      </c>
      <c r="O1334" s="154" t="s">
        <v>1262</v>
      </c>
      <c r="P1334" s="167">
        <f>I1305</f>
        <v>717.2</v>
      </c>
      <c r="Q1334" s="155" t="s">
        <v>332</v>
      </c>
      <c r="R1334" s="167">
        <f>(M1334*P1334)</f>
        <v>717.2</v>
      </c>
      <c r="S1334" s="167">
        <v>1.1000000000000001</v>
      </c>
      <c r="T1334" s="335" t="s">
        <v>680</v>
      </c>
      <c r="U1334" s="154" t="s">
        <v>778</v>
      </c>
      <c r="V1334" s="167">
        <f>AE9</f>
        <v>717.2</v>
      </c>
      <c r="W1334" s="155" t="s">
        <v>680</v>
      </c>
      <c r="X1334" s="167">
        <f t="shared" ref="X1334:X1341" si="162">S1334*V1334</f>
        <v>788.92000000000007</v>
      </c>
      <c r="Z1334" s="76">
        <v>17.7</v>
      </c>
      <c r="AA1334" s="154" t="s">
        <v>754</v>
      </c>
      <c r="AB1334" s="76">
        <f>V1336</f>
        <v>468.6</v>
      </c>
      <c r="AC1334" s="76">
        <f>AB1334*Z1334</f>
        <v>8294.2199999999993</v>
      </c>
      <c r="AE1334" s="172">
        <f t="shared" si="157"/>
        <v>0</v>
      </c>
    </row>
    <row r="1335" spans="6:31" ht="38.25" customHeight="1">
      <c r="H1335" s="162" t="s">
        <v>534</v>
      </c>
      <c r="L1335" s="76">
        <f>SUM(K1355:K1360)</f>
        <v>6063.4868000000006</v>
      </c>
      <c r="M1335" s="167">
        <v>1</v>
      </c>
      <c r="N1335" s="165" t="s">
        <v>1261</v>
      </c>
      <c r="O1335" s="154" t="s">
        <v>1264</v>
      </c>
      <c r="P1335" s="167">
        <f>I1306</f>
        <v>468.6</v>
      </c>
      <c r="Q1335" s="155" t="s">
        <v>332</v>
      </c>
      <c r="R1335" s="167">
        <f>(M1335*P1335)</f>
        <v>468.6</v>
      </c>
      <c r="S1335" s="167">
        <v>2.1</v>
      </c>
      <c r="T1335" s="335" t="s">
        <v>680</v>
      </c>
      <c r="U1335" s="154" t="s">
        <v>752</v>
      </c>
      <c r="V1335" s="167">
        <f>AE10</f>
        <v>669.90000000000009</v>
      </c>
      <c r="W1335" s="155" t="s">
        <v>680</v>
      </c>
      <c r="X1335" s="167">
        <f t="shared" si="162"/>
        <v>1406.7900000000002</v>
      </c>
      <c r="Z1335" s="76">
        <v>14.1</v>
      </c>
      <c r="AA1335" s="154" t="s">
        <v>756</v>
      </c>
      <c r="AB1335" s="76">
        <f>V1337</f>
        <v>404.8</v>
      </c>
      <c r="AC1335" s="76">
        <f>AB1335*Z1335</f>
        <v>5707.68</v>
      </c>
      <c r="AE1335" s="172">
        <f t="shared" si="157"/>
        <v>0</v>
      </c>
    </row>
    <row r="1336" spans="6:31" ht="24" customHeight="1">
      <c r="F1336" s="167">
        <v>0.04</v>
      </c>
      <c r="G1336" s="165" t="s">
        <v>577</v>
      </c>
      <c r="H1336" s="154" t="s">
        <v>2036</v>
      </c>
      <c r="I1336" s="167">
        <f>(K32)</f>
        <v>4357.67</v>
      </c>
      <c r="J1336" s="154" t="s">
        <v>577</v>
      </c>
      <c r="K1336" s="167">
        <f>(F1336*I1336)</f>
        <v>174.30680000000001</v>
      </c>
      <c r="N1336" s="165" t="s">
        <v>589</v>
      </c>
      <c r="O1336" s="154" t="s">
        <v>1266</v>
      </c>
      <c r="Q1336" s="155" t="s">
        <v>589</v>
      </c>
      <c r="R1336" s="167">
        <v>0.33</v>
      </c>
      <c r="S1336" s="167">
        <v>2.2000000000000002</v>
      </c>
      <c r="T1336" s="335" t="s">
        <v>680</v>
      </c>
      <c r="U1336" s="154" t="s">
        <v>754</v>
      </c>
      <c r="V1336" s="167">
        <f>AE11</f>
        <v>468.6</v>
      </c>
      <c r="W1336" s="155" t="s">
        <v>680</v>
      </c>
      <c r="X1336" s="167">
        <f t="shared" si="162"/>
        <v>1030.92</v>
      </c>
      <c r="AC1336" s="76">
        <f>SUM(AC1331:AC1335)</f>
        <v>49283.654999999999</v>
      </c>
      <c r="AE1336" s="172">
        <f t="shared" si="157"/>
        <v>0</v>
      </c>
    </row>
    <row r="1337" spans="6:31" ht="24" customHeight="1">
      <c r="F1337" s="167">
        <v>2.2000000000000002</v>
      </c>
      <c r="G1337" s="165" t="s">
        <v>680</v>
      </c>
      <c r="H1337" s="154" t="s">
        <v>752</v>
      </c>
      <c r="I1337" s="167">
        <f>(C11)</f>
        <v>669.90000000000009</v>
      </c>
      <c r="J1337" s="154" t="s">
        <v>680</v>
      </c>
      <c r="K1337" s="167">
        <f>(F1337*I1337)</f>
        <v>1473.7800000000004</v>
      </c>
      <c r="L1337" s="76">
        <f>SUM(K1355:K1360)</f>
        <v>6063.4868000000006</v>
      </c>
      <c r="N1337" s="156"/>
      <c r="O1337" s="154" t="s">
        <v>1268</v>
      </c>
      <c r="Q1337" s="160"/>
      <c r="R1337" s="162" t="s">
        <v>534</v>
      </c>
      <c r="S1337" s="167">
        <v>1.1000000000000001</v>
      </c>
      <c r="T1337" s="335" t="s">
        <v>680</v>
      </c>
      <c r="U1337" s="154" t="s">
        <v>756</v>
      </c>
      <c r="V1337" s="167">
        <f>AE12</f>
        <v>404.8</v>
      </c>
      <c r="W1337" s="155" t="s">
        <v>680</v>
      </c>
      <c r="X1337" s="167">
        <f t="shared" si="162"/>
        <v>445.28000000000003</v>
      </c>
      <c r="AC1337" s="76">
        <f>AC1336/10</f>
        <v>4928.3654999999999</v>
      </c>
      <c r="AE1337" s="172">
        <f t="shared" si="157"/>
        <v>0</v>
      </c>
    </row>
    <row r="1338" spans="6:31" ht="24" customHeight="1">
      <c r="F1338" s="167">
        <v>0.5</v>
      </c>
      <c r="G1338" s="165" t="s">
        <v>680</v>
      </c>
      <c r="H1338" s="154" t="s">
        <v>754</v>
      </c>
      <c r="I1338" s="167">
        <f>(C12)</f>
        <v>468.6</v>
      </c>
      <c r="J1338" s="154" t="s">
        <v>680</v>
      </c>
      <c r="K1338" s="167">
        <f>(F1338*I1338)</f>
        <v>234.3</v>
      </c>
      <c r="N1338" s="156"/>
      <c r="O1338" s="155" t="s">
        <v>1336</v>
      </c>
      <c r="Q1338" s="160"/>
      <c r="R1338" s="167">
        <f>SUM(R1332:R1336)</f>
        <v>17509.0504</v>
      </c>
      <c r="S1338" s="198">
        <v>6.5</v>
      </c>
      <c r="T1338" s="335" t="s">
        <v>420</v>
      </c>
      <c r="U1338" s="154" t="s">
        <v>2037</v>
      </c>
      <c r="V1338" s="167">
        <v>17.18</v>
      </c>
      <c r="W1338" s="155" t="s">
        <v>567</v>
      </c>
      <c r="X1338" s="167">
        <f t="shared" si="162"/>
        <v>111.67</v>
      </c>
      <c r="AE1338" s="172">
        <f t="shared" si="157"/>
        <v>0</v>
      </c>
    </row>
    <row r="1339" spans="6:31" ht="24" customHeight="1">
      <c r="F1339" s="167">
        <v>1.1000000000000001</v>
      </c>
      <c r="G1339" s="165" t="s">
        <v>680</v>
      </c>
      <c r="H1339" s="154" t="s">
        <v>756</v>
      </c>
      <c r="I1339" s="167">
        <f>(C13)</f>
        <v>404.8</v>
      </c>
      <c r="J1339" s="154" t="s">
        <v>680</v>
      </c>
      <c r="K1339" s="167">
        <f>(F1339*I1339)</f>
        <v>445.28000000000003</v>
      </c>
      <c r="N1339" s="156"/>
      <c r="Q1339" s="160"/>
      <c r="R1339" s="162" t="s">
        <v>534</v>
      </c>
      <c r="S1339" s="198">
        <v>3</v>
      </c>
      <c r="T1339" s="335" t="s">
        <v>420</v>
      </c>
      <c r="U1339" s="154" t="s">
        <v>2038</v>
      </c>
      <c r="V1339" s="174">
        <f>C610</f>
        <v>26.6</v>
      </c>
      <c r="W1339" s="155" t="s">
        <v>420</v>
      </c>
      <c r="X1339" s="167">
        <f t="shared" si="162"/>
        <v>79.800000000000011</v>
      </c>
      <c r="AE1339" s="172">
        <f t="shared" si="157"/>
        <v>0</v>
      </c>
    </row>
    <row r="1340" spans="6:31" ht="24" customHeight="1">
      <c r="G1340" s="165" t="s">
        <v>589</v>
      </c>
      <c r="H1340" s="154" t="s">
        <v>590</v>
      </c>
      <c r="J1340" s="154" t="s">
        <v>589</v>
      </c>
      <c r="K1340" s="167">
        <v>0</v>
      </c>
      <c r="N1340" s="156"/>
      <c r="O1340" s="155" t="s">
        <v>1341</v>
      </c>
      <c r="Q1340" s="160"/>
      <c r="R1340" s="166">
        <f>R1338/10</f>
        <v>1750.9050400000001</v>
      </c>
      <c r="S1340" s="167">
        <v>2.15</v>
      </c>
      <c r="T1340" s="335" t="s">
        <v>680</v>
      </c>
      <c r="U1340" s="154" t="s">
        <v>2039</v>
      </c>
      <c r="V1340" s="167">
        <v>45.8</v>
      </c>
      <c r="W1340" s="155" t="s">
        <v>680</v>
      </c>
      <c r="X1340" s="167">
        <f t="shared" si="162"/>
        <v>98.469999999999985</v>
      </c>
      <c r="AE1340" s="172">
        <f t="shared" si="157"/>
        <v>0</v>
      </c>
    </row>
    <row r="1341" spans="6:31" ht="24" customHeight="1">
      <c r="K1341" s="162" t="s">
        <v>534</v>
      </c>
      <c r="N1341" s="156"/>
      <c r="O1341" s="154" t="s">
        <v>789</v>
      </c>
      <c r="Q1341" s="160">
        <f>R1345+S1302</f>
        <v>1759.9350400000001</v>
      </c>
      <c r="R1341" s="167">
        <f>R1340+S1299</f>
        <v>1751.1150400000001</v>
      </c>
      <c r="S1341" s="336">
        <v>0.4</v>
      </c>
      <c r="T1341" s="337" t="s">
        <v>680</v>
      </c>
      <c r="U1341" s="338" t="s">
        <v>2040</v>
      </c>
      <c r="V1341" s="336"/>
      <c r="W1341" s="339" t="s">
        <v>680</v>
      </c>
      <c r="X1341" s="167">
        <f t="shared" si="162"/>
        <v>0</v>
      </c>
      <c r="AE1341" s="172">
        <f t="shared" si="157"/>
        <v>0</v>
      </c>
    </row>
    <row r="1342" spans="6:31" ht="24" customHeight="1">
      <c r="H1342" s="154" t="s">
        <v>879</v>
      </c>
      <c r="K1342" s="167">
        <f>SUM(K1336:K1340)</f>
        <v>2327.6668000000004</v>
      </c>
      <c r="N1342" s="156"/>
      <c r="O1342" s="154" t="s">
        <v>793</v>
      </c>
      <c r="Q1342" s="160">
        <f>Q1341+S1302</f>
        <v>1762.1350400000001</v>
      </c>
      <c r="R1342" s="167">
        <f>R1341+1.11</f>
        <v>1752.22504</v>
      </c>
      <c r="S1342" s="167"/>
      <c r="T1342" s="335"/>
      <c r="U1342" s="154"/>
      <c r="V1342" s="167"/>
      <c r="W1342" s="155" t="s">
        <v>680</v>
      </c>
      <c r="X1342" s="167">
        <f>(S1342*V1342)</f>
        <v>0</v>
      </c>
      <c r="AE1342" s="172">
        <f t="shared" ref="AE1342:AE1405" si="163">AG1342</f>
        <v>0</v>
      </c>
    </row>
    <row r="1343" spans="6:31" ht="24" customHeight="1">
      <c r="K1343" s="162" t="s">
        <v>534</v>
      </c>
      <c r="N1343" s="156"/>
      <c r="O1343" s="154" t="s">
        <v>796</v>
      </c>
      <c r="Q1343" s="160"/>
      <c r="R1343" s="167">
        <f>R1342+1.11</f>
        <v>1753.3350399999999</v>
      </c>
      <c r="S1343" s="76"/>
      <c r="T1343" s="335" t="s">
        <v>589</v>
      </c>
      <c r="U1343" s="154" t="s">
        <v>590</v>
      </c>
      <c r="V1343" s="167"/>
      <c r="W1343" s="155" t="s">
        <v>589</v>
      </c>
      <c r="X1343" s="167">
        <v>0.8</v>
      </c>
      <c r="AE1343" s="172">
        <f t="shared" si="163"/>
        <v>0</v>
      </c>
    </row>
    <row r="1344" spans="6:31" ht="24" customHeight="1">
      <c r="H1344" s="169" t="s">
        <v>881</v>
      </c>
      <c r="K1344" s="166">
        <f>(K1342/10)</f>
        <v>232.76668000000004</v>
      </c>
      <c r="N1344" s="156"/>
      <c r="O1344" s="154" t="s">
        <v>798</v>
      </c>
      <c r="Q1344" s="160"/>
      <c r="R1344" s="167">
        <f>R1343+S1302</f>
        <v>1755.53504</v>
      </c>
      <c r="S1344" s="76"/>
      <c r="T1344" s="340"/>
      <c r="W1344" s="160"/>
      <c r="X1344" s="162" t="s">
        <v>534</v>
      </c>
      <c r="AE1344" s="172">
        <f t="shared" si="163"/>
        <v>0</v>
      </c>
    </row>
    <row r="1345" spans="6:31" ht="24" customHeight="1">
      <c r="K1345" s="162" t="s">
        <v>528</v>
      </c>
      <c r="N1345" s="156"/>
      <c r="O1345" s="154" t="s">
        <v>1180</v>
      </c>
      <c r="Q1345" s="160"/>
      <c r="R1345" s="167">
        <f>R1344+S1302</f>
        <v>1757.73504</v>
      </c>
      <c r="S1345" s="76"/>
      <c r="T1345" s="340"/>
      <c r="U1345" s="154" t="s">
        <v>879</v>
      </c>
      <c r="W1345" s="160"/>
      <c r="X1345" s="167">
        <f>SUM(X1331:X1344)</f>
        <v>11845.4275</v>
      </c>
      <c r="AE1345" s="172">
        <f t="shared" si="163"/>
        <v>0</v>
      </c>
    </row>
    <row r="1346" spans="6:31" ht="24" customHeight="1">
      <c r="N1346" s="156"/>
      <c r="Q1346" s="160"/>
      <c r="S1346" s="76"/>
      <c r="T1346" s="340"/>
      <c r="W1346" s="160"/>
      <c r="X1346" s="162" t="s">
        <v>534</v>
      </c>
      <c r="AE1346" s="172">
        <f t="shared" si="163"/>
        <v>0</v>
      </c>
    </row>
    <row r="1347" spans="6:31" ht="24" customHeight="1">
      <c r="F1347" s="200">
        <v>32.1</v>
      </c>
      <c r="G1347" s="165" t="s">
        <v>307</v>
      </c>
      <c r="H1347" s="154" t="s">
        <v>2041</v>
      </c>
      <c r="N1347" s="156"/>
      <c r="Q1347" s="158"/>
      <c r="S1347" s="76"/>
      <c r="T1347" s="340"/>
      <c r="U1347" s="154" t="s">
        <v>881</v>
      </c>
      <c r="W1347" s="160"/>
      <c r="X1347" s="166">
        <f>(X1345/10)</f>
        <v>1184.5427500000001</v>
      </c>
      <c r="Y1347" s="76">
        <f>0.8-0.77</f>
        <v>3.0000000000000027E-2</v>
      </c>
      <c r="AE1347" s="172">
        <f t="shared" si="163"/>
        <v>0</v>
      </c>
    </row>
    <row r="1348" spans="6:31" ht="24" customHeight="1">
      <c r="H1348" s="154" t="s">
        <v>2042</v>
      </c>
      <c r="N1348" s="156"/>
      <c r="Q1348" s="158"/>
      <c r="S1348" s="76"/>
      <c r="T1348" s="340"/>
      <c r="W1348" s="160"/>
      <c r="X1348" s="162" t="s">
        <v>528</v>
      </c>
      <c r="AE1348" s="172">
        <f t="shared" si="163"/>
        <v>0</v>
      </c>
    </row>
    <row r="1349" spans="6:31" ht="24" customHeight="1">
      <c r="H1349" s="154" t="s">
        <v>2043</v>
      </c>
      <c r="N1349" s="156"/>
      <c r="Q1349" s="158"/>
      <c r="AE1349" s="172">
        <f t="shared" si="163"/>
        <v>0</v>
      </c>
    </row>
    <row r="1350" spans="6:31" ht="24" customHeight="1">
      <c r="H1350" s="154" t="s">
        <v>2044</v>
      </c>
      <c r="N1350" s="156"/>
      <c r="Q1350" s="158"/>
      <c r="Y1350" s="233">
        <v>3.02</v>
      </c>
      <c r="Z1350" s="165" t="s">
        <v>31</v>
      </c>
      <c r="AA1350" s="154" t="s">
        <v>2045</v>
      </c>
      <c r="AB1350" s="167">
        <f t="shared" ref="AB1350:AB1361" si="164">V1352</f>
        <v>287</v>
      </c>
      <c r="AC1350" s="165" t="s">
        <v>31</v>
      </c>
      <c r="AD1350" s="167">
        <f t="shared" ref="AD1350:AD1361" si="165">AB1350*Y1350</f>
        <v>866.74</v>
      </c>
      <c r="AE1350" s="172">
        <f t="shared" si="163"/>
        <v>0</v>
      </c>
    </row>
    <row r="1351" spans="6:31" ht="24" customHeight="1">
      <c r="H1351" s="154" t="s">
        <v>2046</v>
      </c>
      <c r="N1351" s="156"/>
      <c r="O1351" s="76" t="s">
        <v>2047</v>
      </c>
      <c r="Q1351" s="160"/>
      <c r="T1351" s="156"/>
      <c r="U1351" s="308" t="s">
        <v>2048</v>
      </c>
      <c r="W1351" s="158"/>
      <c r="Y1351" s="233">
        <v>2.19</v>
      </c>
      <c r="Z1351" s="165" t="s">
        <v>31</v>
      </c>
      <c r="AA1351" s="154" t="s">
        <v>2045</v>
      </c>
      <c r="AB1351" s="167">
        <f t="shared" si="164"/>
        <v>287</v>
      </c>
      <c r="AC1351" s="165" t="s">
        <v>31</v>
      </c>
      <c r="AD1351" s="167">
        <f t="shared" si="165"/>
        <v>628.53</v>
      </c>
      <c r="AE1351" s="172">
        <f t="shared" si="163"/>
        <v>0</v>
      </c>
    </row>
    <row r="1352" spans="6:31" ht="24" customHeight="1">
      <c r="H1352" s="162" t="s">
        <v>534</v>
      </c>
      <c r="N1352" s="156"/>
      <c r="Q1352" s="160"/>
      <c r="S1352" s="198">
        <v>3.72</v>
      </c>
      <c r="T1352" s="165" t="s">
        <v>31</v>
      </c>
      <c r="U1352" s="154" t="s">
        <v>2045</v>
      </c>
      <c r="V1352" s="167">
        <f>P1391</f>
        <v>287</v>
      </c>
      <c r="W1352" s="165" t="s">
        <v>31</v>
      </c>
      <c r="X1352" s="167">
        <f>V1352*S1352</f>
        <v>1067.6400000000001</v>
      </c>
      <c r="Y1352" s="233">
        <v>4.96</v>
      </c>
      <c r="Z1352" s="165" t="s">
        <v>31</v>
      </c>
      <c r="AA1352" s="154" t="s">
        <v>2045</v>
      </c>
      <c r="AB1352" s="167">
        <f t="shared" si="164"/>
        <v>287</v>
      </c>
      <c r="AC1352" s="165" t="s">
        <v>31</v>
      </c>
      <c r="AD1352" s="167">
        <f t="shared" si="165"/>
        <v>1423.52</v>
      </c>
      <c r="AE1352" s="172">
        <f t="shared" si="163"/>
        <v>0</v>
      </c>
    </row>
    <row r="1353" spans="6:31" ht="24" customHeight="1">
      <c r="F1353" s="167">
        <v>190</v>
      </c>
      <c r="G1353" s="165" t="s">
        <v>1882</v>
      </c>
      <c r="H1353" s="154" t="s">
        <v>2049</v>
      </c>
      <c r="I1353" s="167">
        <f>(C83)</f>
        <v>15487</v>
      </c>
      <c r="J1353" s="154" t="s">
        <v>805</v>
      </c>
      <c r="K1353" s="167">
        <f>(F1353*I1353)/1000</f>
        <v>2942.53</v>
      </c>
      <c r="M1353" s="76">
        <v>70</v>
      </c>
      <c r="N1353" s="156" t="s">
        <v>41</v>
      </c>
      <c r="O1353" s="341" t="s">
        <v>2050</v>
      </c>
      <c r="P1353" s="231">
        <v>33</v>
      </c>
      <c r="Q1353" s="160" t="s">
        <v>41</v>
      </c>
      <c r="R1353" s="76">
        <f>P1353*M1353</f>
        <v>2310</v>
      </c>
      <c r="S1353" s="198">
        <v>3.87</v>
      </c>
      <c r="T1353" s="165" t="s">
        <v>31</v>
      </c>
      <c r="U1353" s="154" t="s">
        <v>2045</v>
      </c>
      <c r="V1353" s="167">
        <f t="shared" ref="V1353:V1363" si="166">P1392</f>
        <v>287</v>
      </c>
      <c r="W1353" s="165" t="s">
        <v>31</v>
      </c>
      <c r="X1353" s="167">
        <f t="shared" ref="X1353:X1363" si="167">V1353*S1353</f>
        <v>1110.69</v>
      </c>
      <c r="Y1353" s="233">
        <v>0.85</v>
      </c>
      <c r="Z1353" s="165" t="s">
        <v>31</v>
      </c>
      <c r="AA1353" s="154" t="s">
        <v>2045</v>
      </c>
      <c r="AB1353" s="167">
        <f t="shared" si="164"/>
        <v>287</v>
      </c>
      <c r="AC1353" s="165" t="s">
        <v>31</v>
      </c>
      <c r="AD1353" s="167">
        <f t="shared" si="165"/>
        <v>243.95</v>
      </c>
      <c r="AE1353" s="172">
        <f t="shared" si="163"/>
        <v>0</v>
      </c>
    </row>
    <row r="1354" spans="6:31" ht="24" customHeight="1">
      <c r="F1354" s="167">
        <v>0.12</v>
      </c>
      <c r="G1354" s="165" t="s">
        <v>577</v>
      </c>
      <c r="H1354" s="154" t="s">
        <v>1951</v>
      </c>
      <c r="I1354" s="167">
        <f>(K32)</f>
        <v>4357.67</v>
      </c>
      <c r="J1354" s="154" t="s">
        <v>577</v>
      </c>
      <c r="K1354" s="165">
        <f t="shared" ref="K1354:K1360" si="168">(F1354*I1354)</f>
        <v>522.92039999999997</v>
      </c>
      <c r="N1354" s="156"/>
      <c r="Q1354" s="160"/>
      <c r="S1354" s="198">
        <v>7.46</v>
      </c>
      <c r="T1354" s="165" t="s">
        <v>31</v>
      </c>
      <c r="U1354" s="154" t="s">
        <v>2045</v>
      </c>
      <c r="V1354" s="167">
        <f t="shared" si="166"/>
        <v>287</v>
      </c>
      <c r="W1354" s="165" t="s">
        <v>31</v>
      </c>
      <c r="X1354" s="167">
        <f t="shared" si="167"/>
        <v>2141.02</v>
      </c>
      <c r="Y1354" s="233">
        <v>0.73199999999999998</v>
      </c>
      <c r="Z1354" s="165" t="s">
        <v>141</v>
      </c>
      <c r="AA1354" s="154" t="s">
        <v>2051</v>
      </c>
      <c r="AB1354" s="167">
        <f>V1356</f>
        <v>208.8</v>
      </c>
      <c r="AC1354" s="165" t="s">
        <v>141</v>
      </c>
      <c r="AD1354" s="167">
        <f t="shared" si="165"/>
        <v>152.8416</v>
      </c>
      <c r="AE1354" s="172">
        <f t="shared" si="163"/>
        <v>0</v>
      </c>
    </row>
    <row r="1355" spans="6:31" ht="24" customHeight="1">
      <c r="F1355" s="167">
        <v>10</v>
      </c>
      <c r="G1355" s="165" t="s">
        <v>916</v>
      </c>
      <c r="H1355" s="154" t="s">
        <v>2052</v>
      </c>
      <c r="I1355" s="167">
        <f>(K1344)</f>
        <v>232.76668000000004</v>
      </c>
      <c r="J1355" s="154" t="s">
        <v>916</v>
      </c>
      <c r="K1355" s="165">
        <f t="shared" si="168"/>
        <v>2327.6668000000004</v>
      </c>
      <c r="M1355" s="76">
        <v>0.3</v>
      </c>
      <c r="N1355" s="156" t="s">
        <v>238</v>
      </c>
      <c r="O1355" s="341" t="s">
        <v>2053</v>
      </c>
      <c r="P1355" s="231">
        <v>17600</v>
      </c>
      <c r="Q1355" s="160" t="s">
        <v>238</v>
      </c>
      <c r="R1355" s="76">
        <f>P1355*M1355</f>
        <v>5280</v>
      </c>
      <c r="S1355" s="198">
        <v>1.28</v>
      </c>
      <c r="T1355" s="165" t="s">
        <v>31</v>
      </c>
      <c r="U1355" s="154" t="s">
        <v>2045</v>
      </c>
      <c r="V1355" s="167">
        <f t="shared" si="166"/>
        <v>287</v>
      </c>
      <c r="W1355" s="165" t="s">
        <v>31</v>
      </c>
      <c r="X1355" s="167">
        <f t="shared" si="167"/>
        <v>367.36</v>
      </c>
      <c r="Y1355" s="233">
        <v>6.8719999999999999</v>
      </c>
      <c r="Z1355" s="165" t="s">
        <v>41</v>
      </c>
      <c r="AA1355" s="154" t="s">
        <v>2054</v>
      </c>
      <c r="AB1355" s="167">
        <f t="shared" si="164"/>
        <v>28.4</v>
      </c>
      <c r="AC1355" s="165" t="s">
        <v>41</v>
      </c>
      <c r="AD1355" s="167">
        <f t="shared" si="165"/>
        <v>195.16479999999999</v>
      </c>
      <c r="AE1355" s="172">
        <f t="shared" si="163"/>
        <v>0</v>
      </c>
    </row>
    <row r="1356" spans="6:31" ht="24" customHeight="1">
      <c r="F1356" s="198">
        <v>1.54</v>
      </c>
      <c r="G1356" s="165" t="s">
        <v>420</v>
      </c>
      <c r="H1356" s="154" t="s">
        <v>2055</v>
      </c>
      <c r="I1356" s="173">
        <f>C653</f>
        <v>41.5</v>
      </c>
      <c r="J1356" s="154" t="s">
        <v>420</v>
      </c>
      <c r="K1356" s="167">
        <f t="shared" si="168"/>
        <v>63.910000000000004</v>
      </c>
      <c r="N1356" s="156"/>
      <c r="Q1356" s="160"/>
      <c r="S1356" s="198">
        <v>1.107</v>
      </c>
      <c r="T1356" s="165" t="s">
        <v>141</v>
      </c>
      <c r="U1356" s="154" t="s">
        <v>2051</v>
      </c>
      <c r="V1356" s="167">
        <f t="shared" si="166"/>
        <v>208.8</v>
      </c>
      <c r="W1356" s="165" t="s">
        <v>141</v>
      </c>
      <c r="X1356" s="167">
        <f t="shared" si="167"/>
        <v>231.14160000000001</v>
      </c>
      <c r="Y1356" s="233">
        <v>8</v>
      </c>
      <c r="Z1356" s="165" t="s">
        <v>680</v>
      </c>
      <c r="AA1356" s="154" t="s">
        <v>2056</v>
      </c>
      <c r="AB1356" s="167">
        <f t="shared" si="164"/>
        <v>62.9</v>
      </c>
      <c r="AC1356" s="165" t="s">
        <v>680</v>
      </c>
      <c r="AD1356" s="167">
        <f t="shared" si="165"/>
        <v>503.2</v>
      </c>
      <c r="AE1356" s="172">
        <f t="shared" si="163"/>
        <v>0</v>
      </c>
    </row>
    <row r="1357" spans="6:31" ht="24" customHeight="1">
      <c r="F1357" s="167">
        <v>1.1000000000000001</v>
      </c>
      <c r="G1357" s="165" t="s">
        <v>680</v>
      </c>
      <c r="H1357" s="154" t="s">
        <v>778</v>
      </c>
      <c r="I1357" s="167">
        <f>(C10)</f>
        <v>717.2</v>
      </c>
      <c r="J1357" s="154" t="s">
        <v>680</v>
      </c>
      <c r="K1357" s="167">
        <f t="shared" si="168"/>
        <v>788.92000000000007</v>
      </c>
      <c r="N1357" s="156"/>
      <c r="O1357" s="76" t="s">
        <v>2057</v>
      </c>
      <c r="Q1357" s="160"/>
      <c r="R1357" s="76">
        <f>SUM(R1353:R1355)</f>
        <v>7590</v>
      </c>
      <c r="S1357" s="198">
        <v>10.343999999999999</v>
      </c>
      <c r="T1357" s="165" t="s">
        <v>41</v>
      </c>
      <c r="U1357" s="154" t="s">
        <v>2054</v>
      </c>
      <c r="V1357" s="167">
        <f t="shared" si="166"/>
        <v>28.4</v>
      </c>
      <c r="W1357" s="165" t="s">
        <v>41</v>
      </c>
      <c r="X1357" s="167">
        <f t="shared" si="167"/>
        <v>293.76959999999997</v>
      </c>
      <c r="Y1357" s="233">
        <v>4</v>
      </c>
      <c r="Z1357" s="165" t="s">
        <v>680</v>
      </c>
      <c r="AA1357" s="154" t="s">
        <v>2058</v>
      </c>
      <c r="AB1357" s="167">
        <f t="shared" si="164"/>
        <v>50.4</v>
      </c>
      <c r="AC1357" s="165" t="s">
        <v>680</v>
      </c>
      <c r="AD1357" s="167">
        <f t="shared" si="165"/>
        <v>201.6</v>
      </c>
      <c r="AE1357" s="172">
        <f t="shared" si="163"/>
        <v>0</v>
      </c>
    </row>
    <row r="1358" spans="6:31" ht="24" customHeight="1">
      <c r="F1358" s="167">
        <v>2.1</v>
      </c>
      <c r="G1358" s="165" t="s">
        <v>680</v>
      </c>
      <c r="H1358" s="154" t="s">
        <v>752</v>
      </c>
      <c r="I1358" s="167">
        <f>(C11)</f>
        <v>669.90000000000009</v>
      </c>
      <c r="J1358" s="154" t="s">
        <v>680</v>
      </c>
      <c r="K1358" s="167">
        <f t="shared" si="168"/>
        <v>1406.7900000000002</v>
      </c>
      <c r="N1358" s="156"/>
      <c r="O1358" s="342" t="s">
        <v>2059</v>
      </c>
      <c r="Q1358" s="160"/>
      <c r="R1358" s="199">
        <f>R1357/10</f>
        <v>759</v>
      </c>
      <c r="S1358" s="198">
        <v>12</v>
      </c>
      <c r="T1358" s="165" t="s">
        <v>680</v>
      </c>
      <c r="U1358" s="154" t="s">
        <v>2060</v>
      </c>
      <c r="V1358" s="167">
        <f t="shared" si="166"/>
        <v>62.9</v>
      </c>
      <c r="W1358" s="165" t="s">
        <v>680</v>
      </c>
      <c r="X1358" s="167">
        <f t="shared" si="167"/>
        <v>754.8</v>
      </c>
      <c r="Y1358" s="233">
        <v>4</v>
      </c>
      <c r="Z1358" s="165" t="s">
        <v>680</v>
      </c>
      <c r="AA1358" s="154" t="s">
        <v>2061</v>
      </c>
      <c r="AB1358" s="167">
        <f t="shared" si="164"/>
        <v>30</v>
      </c>
      <c r="AC1358" s="165" t="s">
        <v>680</v>
      </c>
      <c r="AD1358" s="167">
        <f t="shared" si="165"/>
        <v>120</v>
      </c>
      <c r="AE1358" s="172">
        <f t="shared" si="163"/>
        <v>0</v>
      </c>
    </row>
    <row r="1359" spans="6:31" ht="24" customHeight="1">
      <c r="F1359" s="167">
        <v>2.2000000000000002</v>
      </c>
      <c r="G1359" s="165" t="s">
        <v>680</v>
      </c>
      <c r="H1359" s="154" t="s">
        <v>754</v>
      </c>
      <c r="I1359" s="167">
        <f>(C12)</f>
        <v>468.6</v>
      </c>
      <c r="J1359" s="154" t="s">
        <v>680</v>
      </c>
      <c r="K1359" s="167">
        <f t="shared" si="168"/>
        <v>1030.92</v>
      </c>
      <c r="N1359" s="156"/>
      <c r="Q1359" s="160"/>
      <c r="S1359" s="198">
        <v>6</v>
      </c>
      <c r="T1359" s="165" t="s">
        <v>680</v>
      </c>
      <c r="U1359" s="154" t="s">
        <v>2058</v>
      </c>
      <c r="V1359" s="167">
        <f t="shared" si="166"/>
        <v>50.4</v>
      </c>
      <c r="W1359" s="165" t="s">
        <v>680</v>
      </c>
      <c r="X1359" s="167">
        <f t="shared" si="167"/>
        <v>302.39999999999998</v>
      </c>
      <c r="Y1359" s="233">
        <v>4</v>
      </c>
      <c r="Z1359" s="165" t="s">
        <v>680</v>
      </c>
      <c r="AA1359" s="154" t="s">
        <v>2062</v>
      </c>
      <c r="AB1359" s="167">
        <f t="shared" si="164"/>
        <v>20</v>
      </c>
      <c r="AC1359" s="165" t="s">
        <v>680</v>
      </c>
      <c r="AD1359" s="167">
        <f t="shared" si="165"/>
        <v>80</v>
      </c>
      <c r="AE1359" s="172">
        <f t="shared" si="163"/>
        <v>0</v>
      </c>
    </row>
    <row r="1360" spans="6:31" ht="24" customHeight="1">
      <c r="F1360" s="167">
        <v>1.1000000000000001</v>
      </c>
      <c r="G1360" s="165" t="s">
        <v>680</v>
      </c>
      <c r="H1360" s="154" t="s">
        <v>756</v>
      </c>
      <c r="I1360" s="167">
        <f>(C13)</f>
        <v>404.8</v>
      </c>
      <c r="J1360" s="154" t="s">
        <v>680</v>
      </c>
      <c r="K1360" s="167">
        <f t="shared" si="168"/>
        <v>445.28000000000003</v>
      </c>
      <c r="M1360" s="76">
        <v>2</v>
      </c>
      <c r="N1360" s="156" t="s">
        <v>3</v>
      </c>
      <c r="O1360" s="76" t="s">
        <v>1912</v>
      </c>
      <c r="P1360" s="76">
        <f>C12</f>
        <v>468.6</v>
      </c>
      <c r="Q1360" s="160" t="s">
        <v>412</v>
      </c>
      <c r="R1360" s="76">
        <f>P1360*M1360</f>
        <v>937.2</v>
      </c>
      <c r="S1360" s="198">
        <v>6</v>
      </c>
      <c r="T1360" s="165" t="s">
        <v>680</v>
      </c>
      <c r="U1360" s="154" t="s">
        <v>2061</v>
      </c>
      <c r="V1360" s="167">
        <f t="shared" si="166"/>
        <v>30</v>
      </c>
      <c r="W1360" s="165" t="s">
        <v>680</v>
      </c>
      <c r="X1360" s="167">
        <f t="shared" si="167"/>
        <v>180</v>
      </c>
      <c r="Y1360" s="233">
        <v>4</v>
      </c>
      <c r="Z1360" s="165" t="s">
        <v>680</v>
      </c>
      <c r="AA1360" s="154" t="s">
        <v>2063</v>
      </c>
      <c r="AB1360" s="167">
        <f t="shared" si="164"/>
        <v>15</v>
      </c>
      <c r="AC1360" s="165" t="s">
        <v>680</v>
      </c>
      <c r="AD1360" s="167">
        <f t="shared" si="165"/>
        <v>60</v>
      </c>
      <c r="AE1360" s="172">
        <f t="shared" si="163"/>
        <v>0</v>
      </c>
    </row>
    <row r="1361" spans="6:31" ht="24" customHeight="1">
      <c r="G1361" s="165" t="s">
        <v>589</v>
      </c>
      <c r="H1361" s="154" t="s">
        <v>590</v>
      </c>
      <c r="J1361" s="154" t="s">
        <v>589</v>
      </c>
      <c r="K1361" s="167">
        <v>0</v>
      </c>
      <c r="N1361" s="156"/>
      <c r="Q1361" s="160"/>
      <c r="S1361" s="198">
        <v>6</v>
      </c>
      <c r="T1361" s="165" t="s">
        <v>680</v>
      </c>
      <c r="U1361" s="154" t="s">
        <v>2062</v>
      </c>
      <c r="V1361" s="167">
        <f t="shared" si="166"/>
        <v>20</v>
      </c>
      <c r="W1361" s="165" t="s">
        <v>680</v>
      </c>
      <c r="X1361" s="167">
        <f t="shared" si="167"/>
        <v>120</v>
      </c>
      <c r="Y1361" s="233">
        <v>0.94499999999999995</v>
      </c>
      <c r="Z1361" s="165" t="s">
        <v>250</v>
      </c>
      <c r="AA1361" s="154" t="s">
        <v>2064</v>
      </c>
      <c r="AB1361" s="167">
        <f t="shared" si="164"/>
        <v>1437.15</v>
      </c>
      <c r="AC1361" s="165" t="s">
        <v>250</v>
      </c>
      <c r="AD1361" s="167">
        <f t="shared" si="165"/>
        <v>1358.1067499999999</v>
      </c>
      <c r="AE1361" s="172">
        <f t="shared" si="163"/>
        <v>0</v>
      </c>
    </row>
    <row r="1362" spans="6:31" ht="24" customHeight="1">
      <c r="K1362" s="162" t="s">
        <v>534</v>
      </c>
      <c r="N1362" s="156"/>
      <c r="O1362" s="76" t="s">
        <v>2065</v>
      </c>
      <c r="P1362" s="76" t="s">
        <v>519</v>
      </c>
      <c r="Q1362" s="160"/>
      <c r="R1362" s="76">
        <v>11.5</v>
      </c>
      <c r="S1362" s="198">
        <v>4</v>
      </c>
      <c r="T1362" s="165" t="s">
        <v>680</v>
      </c>
      <c r="U1362" s="154" t="s">
        <v>2063</v>
      </c>
      <c r="V1362" s="167">
        <f t="shared" si="166"/>
        <v>15</v>
      </c>
      <c r="W1362" s="165" t="s">
        <v>680</v>
      </c>
      <c r="X1362" s="167">
        <f t="shared" si="167"/>
        <v>60</v>
      </c>
      <c r="Z1362" s="156"/>
      <c r="AA1362" s="154" t="s">
        <v>2066</v>
      </c>
      <c r="AC1362" s="160"/>
      <c r="AD1362" s="167">
        <v>0.81</v>
      </c>
      <c r="AE1362" s="172">
        <f t="shared" si="163"/>
        <v>0</v>
      </c>
    </row>
    <row r="1363" spans="6:31" ht="24" customHeight="1">
      <c r="H1363" s="154" t="s">
        <v>879</v>
      </c>
      <c r="K1363" s="167">
        <f>SUM(K1353:K1361)</f>
        <v>9528.9372000000021</v>
      </c>
      <c r="N1363" s="156"/>
      <c r="O1363" s="342" t="s">
        <v>2067</v>
      </c>
      <c r="Q1363" s="160"/>
      <c r="R1363" s="76">
        <f>SUM(R1358:R1362)</f>
        <v>1707.7</v>
      </c>
      <c r="S1363" s="198">
        <v>1.4179999999999999</v>
      </c>
      <c r="T1363" s="165" t="s">
        <v>250</v>
      </c>
      <c r="U1363" s="154" t="s">
        <v>2064</v>
      </c>
      <c r="V1363" s="167">
        <f t="shared" si="166"/>
        <v>1437.15</v>
      </c>
      <c r="W1363" s="165" t="s">
        <v>250</v>
      </c>
      <c r="X1363" s="167">
        <f t="shared" si="167"/>
        <v>2037.8787</v>
      </c>
      <c r="AA1363" s="164" t="s">
        <v>2068</v>
      </c>
      <c r="AD1363" s="166">
        <f>SUM(AD1350:AD1362)</f>
        <v>5834.4631500000005</v>
      </c>
      <c r="AE1363" s="172">
        <f t="shared" si="163"/>
        <v>0</v>
      </c>
    </row>
    <row r="1364" spans="6:31" ht="24" customHeight="1">
      <c r="K1364" s="162" t="s">
        <v>534</v>
      </c>
      <c r="N1364" s="156"/>
      <c r="Q1364" s="160"/>
      <c r="T1364" s="156"/>
      <c r="U1364" s="154" t="s">
        <v>2066</v>
      </c>
      <c r="W1364" s="160"/>
      <c r="X1364" s="167"/>
      <c r="AE1364" s="172">
        <f t="shared" si="163"/>
        <v>0</v>
      </c>
    </row>
    <row r="1365" spans="6:31" ht="24" customHeight="1">
      <c r="H1365" s="169" t="s">
        <v>881</v>
      </c>
      <c r="K1365" s="166">
        <f>(K1363/10)</f>
        <v>952.89372000000026</v>
      </c>
      <c r="N1365" s="156"/>
      <c r="O1365" s="342" t="s">
        <v>2069</v>
      </c>
      <c r="Q1365" s="160"/>
      <c r="R1365" s="199">
        <f>R1363/6</f>
        <v>284.61666666666667</v>
      </c>
      <c r="U1365" s="164" t="s">
        <v>2068</v>
      </c>
      <c r="X1365" s="166">
        <f>SUM(X1352:X1364)</f>
        <v>8666.6998999999996</v>
      </c>
      <c r="AE1365" s="172">
        <f t="shared" si="163"/>
        <v>0</v>
      </c>
    </row>
    <row r="1366" spans="6:31" ht="24" customHeight="1">
      <c r="K1366" s="162" t="s">
        <v>528</v>
      </c>
      <c r="N1366" s="156"/>
      <c r="Q1366" s="160"/>
      <c r="Z1366" s="156"/>
      <c r="AA1366" s="308" t="s">
        <v>2070</v>
      </c>
      <c r="AC1366" s="158"/>
      <c r="AE1366" s="172">
        <f t="shared" si="163"/>
        <v>0</v>
      </c>
    </row>
    <row r="1367" spans="6:31" ht="24" customHeight="1">
      <c r="K1367" s="162"/>
      <c r="N1367" s="156"/>
      <c r="Q1367" s="158"/>
      <c r="Y1367" s="233">
        <v>3.72</v>
      </c>
      <c r="Z1367" s="165" t="s">
        <v>31</v>
      </c>
      <c r="AA1367" s="154" t="s">
        <v>2045</v>
      </c>
      <c r="AB1367" s="167">
        <f>AB1350</f>
        <v>287</v>
      </c>
      <c r="AC1367" s="165" t="s">
        <v>31</v>
      </c>
      <c r="AD1367" s="167">
        <f t="shared" ref="AD1367:AD1378" si="169">AB1367*Y1367</f>
        <v>1067.6400000000001</v>
      </c>
      <c r="AE1367" s="172">
        <f t="shared" si="163"/>
        <v>0</v>
      </c>
    </row>
    <row r="1368" spans="6:31" ht="24" customHeight="1">
      <c r="K1368" s="162"/>
      <c r="M1368" s="200">
        <v>29.5</v>
      </c>
      <c r="N1368" s="165" t="s">
        <v>307</v>
      </c>
      <c r="O1368" s="154" t="s">
        <v>2071</v>
      </c>
      <c r="Q1368" s="160"/>
      <c r="T1368" s="156"/>
      <c r="U1368" s="308" t="s">
        <v>2072</v>
      </c>
      <c r="W1368" s="158"/>
      <c r="Y1368" s="233">
        <v>2.69</v>
      </c>
      <c r="Z1368" s="165" t="s">
        <v>31</v>
      </c>
      <c r="AA1368" s="154" t="s">
        <v>2045</v>
      </c>
      <c r="AB1368" s="167">
        <f t="shared" ref="AB1368:AB1378" si="170">AB1351</f>
        <v>287</v>
      </c>
      <c r="AC1368" s="165" t="s">
        <v>31</v>
      </c>
      <c r="AD1368" s="167">
        <f t="shared" si="169"/>
        <v>772.03</v>
      </c>
      <c r="AE1368" s="172">
        <f t="shared" si="163"/>
        <v>0</v>
      </c>
    </row>
    <row r="1369" spans="6:31" ht="24" customHeight="1">
      <c r="F1369" s="200">
        <v>32.200000000000003</v>
      </c>
      <c r="G1369" s="165" t="s">
        <v>307</v>
      </c>
      <c r="H1369" s="154" t="s">
        <v>2041</v>
      </c>
      <c r="K1369" s="162"/>
      <c r="N1369" s="156"/>
      <c r="O1369" s="154" t="s">
        <v>1976</v>
      </c>
      <c r="Q1369" s="160"/>
      <c r="S1369" s="198">
        <v>3.49</v>
      </c>
      <c r="T1369" s="165" t="s">
        <v>31</v>
      </c>
      <c r="U1369" s="154" t="s">
        <v>2045</v>
      </c>
      <c r="V1369" s="167">
        <f>P1408</f>
        <v>287</v>
      </c>
      <c r="W1369" s="165" t="s">
        <v>31</v>
      </c>
      <c r="X1369" s="167">
        <f>V1369*S1369</f>
        <v>1001.6300000000001</v>
      </c>
      <c r="Y1369" s="233">
        <v>6.15</v>
      </c>
      <c r="Z1369" s="165" t="s">
        <v>31</v>
      </c>
      <c r="AA1369" s="154" t="s">
        <v>2045</v>
      </c>
      <c r="AB1369" s="167">
        <f t="shared" si="170"/>
        <v>287</v>
      </c>
      <c r="AC1369" s="165" t="s">
        <v>31</v>
      </c>
      <c r="AD1369" s="167">
        <f t="shared" si="169"/>
        <v>1765.0500000000002</v>
      </c>
      <c r="AE1369" s="172">
        <f t="shared" si="163"/>
        <v>0</v>
      </c>
    </row>
    <row r="1370" spans="6:31" ht="24" customHeight="1">
      <c r="H1370" s="154" t="s">
        <v>2042</v>
      </c>
      <c r="K1370" s="162"/>
      <c r="N1370" s="156"/>
      <c r="O1370" s="154" t="s">
        <v>1977</v>
      </c>
      <c r="Q1370" s="160"/>
      <c r="S1370" s="198">
        <v>2.5299999999999998</v>
      </c>
      <c r="T1370" s="165" t="s">
        <v>31</v>
      </c>
      <c r="U1370" s="154" t="s">
        <v>2045</v>
      </c>
      <c r="V1370" s="167">
        <f t="shared" ref="V1370:V1380" si="171">P1409</f>
        <v>287</v>
      </c>
      <c r="W1370" s="165" t="s">
        <v>31</v>
      </c>
      <c r="X1370" s="167">
        <f t="shared" ref="X1370:X1380" si="172">V1370*S1370</f>
        <v>726.1099999999999</v>
      </c>
      <c r="Y1370" s="233">
        <v>1.07</v>
      </c>
      <c r="Z1370" s="165" t="s">
        <v>31</v>
      </c>
      <c r="AA1370" s="154" t="s">
        <v>2045</v>
      </c>
      <c r="AB1370" s="167">
        <f t="shared" si="170"/>
        <v>287</v>
      </c>
      <c r="AC1370" s="165" t="s">
        <v>31</v>
      </c>
      <c r="AD1370" s="167">
        <f t="shared" si="169"/>
        <v>307.09000000000003</v>
      </c>
      <c r="AE1370" s="172">
        <f t="shared" si="163"/>
        <v>0</v>
      </c>
    </row>
    <row r="1371" spans="6:31" ht="24" customHeight="1">
      <c r="H1371" s="154" t="s">
        <v>2043</v>
      </c>
      <c r="K1371" s="162"/>
      <c r="N1371" s="156"/>
      <c r="O1371" s="162" t="s">
        <v>534</v>
      </c>
      <c r="P1371" s="162" t="s">
        <v>534</v>
      </c>
      <c r="Q1371" s="160"/>
      <c r="R1371" s="167"/>
      <c r="S1371" s="198">
        <v>5.75</v>
      </c>
      <c r="T1371" s="165" t="s">
        <v>31</v>
      </c>
      <c r="U1371" s="154" t="s">
        <v>2045</v>
      </c>
      <c r="V1371" s="167">
        <f t="shared" si="171"/>
        <v>287</v>
      </c>
      <c r="W1371" s="165" t="s">
        <v>31</v>
      </c>
      <c r="X1371" s="167">
        <f t="shared" si="172"/>
        <v>1650.25</v>
      </c>
      <c r="Y1371" s="233">
        <v>1.153</v>
      </c>
      <c r="Z1371" s="165" t="s">
        <v>141</v>
      </c>
      <c r="AA1371" s="154" t="s">
        <v>2051</v>
      </c>
      <c r="AB1371" s="167">
        <f t="shared" si="170"/>
        <v>208.8</v>
      </c>
      <c r="AC1371" s="165" t="s">
        <v>141</v>
      </c>
      <c r="AD1371" s="167">
        <f t="shared" si="169"/>
        <v>240.74640000000002</v>
      </c>
      <c r="AE1371" s="172">
        <f t="shared" si="163"/>
        <v>0</v>
      </c>
    </row>
    <row r="1372" spans="6:31" ht="24" customHeight="1">
      <c r="H1372" s="154" t="s">
        <v>2044</v>
      </c>
      <c r="K1372" s="162"/>
      <c r="M1372" s="167">
        <v>10</v>
      </c>
      <c r="N1372" s="165" t="s">
        <v>916</v>
      </c>
      <c r="O1372" s="154" t="s">
        <v>2073</v>
      </c>
      <c r="P1372" s="263">
        <f>P1332</f>
        <v>1580</v>
      </c>
      <c r="Q1372" s="155" t="s">
        <v>916</v>
      </c>
      <c r="R1372" s="167">
        <f>M1372*P1372</f>
        <v>15800</v>
      </c>
      <c r="S1372" s="198">
        <v>1</v>
      </c>
      <c r="T1372" s="165" t="s">
        <v>31</v>
      </c>
      <c r="U1372" s="154" t="s">
        <v>2045</v>
      </c>
      <c r="V1372" s="167">
        <f t="shared" si="171"/>
        <v>287</v>
      </c>
      <c r="W1372" s="165" t="s">
        <v>31</v>
      </c>
      <c r="X1372" s="167">
        <f t="shared" si="172"/>
        <v>287</v>
      </c>
      <c r="Y1372" s="233">
        <v>8.6720000000000006</v>
      </c>
      <c r="Z1372" s="165" t="s">
        <v>41</v>
      </c>
      <c r="AA1372" s="154" t="s">
        <v>2054</v>
      </c>
      <c r="AB1372" s="167">
        <f t="shared" si="170"/>
        <v>28.4</v>
      </c>
      <c r="AC1372" s="165" t="s">
        <v>41</v>
      </c>
      <c r="AD1372" s="167">
        <f t="shared" si="169"/>
        <v>246.28480000000002</v>
      </c>
      <c r="AE1372" s="172">
        <f t="shared" si="163"/>
        <v>0</v>
      </c>
    </row>
    <row r="1373" spans="6:31" ht="24" customHeight="1">
      <c r="H1373" s="154" t="s">
        <v>2046</v>
      </c>
      <c r="K1373" s="162"/>
      <c r="M1373" s="167">
        <v>0.21</v>
      </c>
      <c r="N1373" s="165" t="s">
        <v>577</v>
      </c>
      <c r="O1373" s="154" t="s">
        <v>1951</v>
      </c>
      <c r="P1373" s="167">
        <f>P1333</f>
        <v>4357.67</v>
      </c>
      <c r="Q1373" s="155" t="s">
        <v>577</v>
      </c>
      <c r="R1373" s="167">
        <f>(M1373*P1373)</f>
        <v>915.11069999999995</v>
      </c>
      <c r="S1373" s="198">
        <v>0.96699999999999997</v>
      </c>
      <c r="T1373" s="165" t="s">
        <v>141</v>
      </c>
      <c r="U1373" s="154" t="s">
        <v>2051</v>
      </c>
      <c r="V1373" s="167">
        <f t="shared" si="171"/>
        <v>208.8</v>
      </c>
      <c r="W1373" s="165" t="s">
        <v>141</v>
      </c>
      <c r="X1373" s="167">
        <f t="shared" si="172"/>
        <v>201.90960000000001</v>
      </c>
      <c r="Y1373" s="233">
        <v>8</v>
      </c>
      <c r="Z1373" s="165" t="s">
        <v>680</v>
      </c>
      <c r="AA1373" s="154" t="s">
        <v>2056</v>
      </c>
      <c r="AB1373" s="167">
        <f t="shared" si="170"/>
        <v>62.9</v>
      </c>
      <c r="AC1373" s="165" t="s">
        <v>680</v>
      </c>
      <c r="AD1373" s="167">
        <f t="shared" si="169"/>
        <v>503.2</v>
      </c>
      <c r="AE1373" s="172">
        <f t="shared" si="163"/>
        <v>0</v>
      </c>
    </row>
    <row r="1374" spans="6:31" ht="24" customHeight="1">
      <c r="H1374" s="162" t="s">
        <v>534</v>
      </c>
      <c r="K1374" s="162"/>
      <c r="N1374" s="156"/>
      <c r="O1374" s="154" t="s">
        <v>1955</v>
      </c>
      <c r="P1374" s="154" t="s">
        <v>22</v>
      </c>
      <c r="Q1374" s="160"/>
      <c r="R1374" s="154" t="s">
        <v>22</v>
      </c>
      <c r="S1374" s="198">
        <v>8.0719999999999992</v>
      </c>
      <c r="T1374" s="165" t="s">
        <v>41</v>
      </c>
      <c r="U1374" s="154" t="s">
        <v>2054</v>
      </c>
      <c r="V1374" s="167">
        <f t="shared" si="171"/>
        <v>28.4</v>
      </c>
      <c r="W1374" s="165" t="s">
        <v>41</v>
      </c>
      <c r="X1374" s="167">
        <f t="shared" si="172"/>
        <v>229.24479999999997</v>
      </c>
      <c r="Y1374" s="233">
        <v>4</v>
      </c>
      <c r="Z1374" s="165" t="s">
        <v>680</v>
      </c>
      <c r="AA1374" s="154" t="s">
        <v>2058</v>
      </c>
      <c r="AB1374" s="167">
        <f t="shared" si="170"/>
        <v>50.4</v>
      </c>
      <c r="AC1374" s="165" t="s">
        <v>680</v>
      </c>
      <c r="AD1374" s="167">
        <f t="shared" si="169"/>
        <v>201.6</v>
      </c>
      <c r="AE1374" s="172">
        <f t="shared" si="163"/>
        <v>0</v>
      </c>
    </row>
    <row r="1375" spans="6:31" ht="24" customHeight="1">
      <c r="F1375" s="167">
        <v>190</v>
      </c>
      <c r="G1375" s="165" t="s">
        <v>1882</v>
      </c>
      <c r="H1375" s="154" t="s">
        <v>2074</v>
      </c>
      <c r="I1375" s="343">
        <f>E83</f>
        <v>8710</v>
      </c>
      <c r="J1375" s="154" t="s">
        <v>805</v>
      </c>
      <c r="K1375" s="167">
        <f>(F1375*I1375)/1000</f>
        <v>1654.9</v>
      </c>
      <c r="M1375" s="167">
        <v>1.1000000000000001</v>
      </c>
      <c r="N1375" s="165" t="s">
        <v>680</v>
      </c>
      <c r="O1375" s="154" t="s">
        <v>778</v>
      </c>
      <c r="P1375" s="167">
        <f>AE9</f>
        <v>717.2</v>
      </c>
      <c r="Q1375" s="155" t="s">
        <v>680</v>
      </c>
      <c r="R1375" s="167">
        <f>(M1375*P1375)</f>
        <v>788.92000000000007</v>
      </c>
      <c r="S1375" s="198">
        <v>8</v>
      </c>
      <c r="T1375" s="165" t="s">
        <v>680</v>
      </c>
      <c r="U1375" s="154" t="s">
        <v>2056</v>
      </c>
      <c r="V1375" s="167">
        <f t="shared" si="171"/>
        <v>62.9</v>
      </c>
      <c r="W1375" s="165" t="s">
        <v>680</v>
      </c>
      <c r="X1375" s="167">
        <f t="shared" si="172"/>
        <v>503.2</v>
      </c>
      <c r="Y1375" s="233">
        <v>4</v>
      </c>
      <c r="Z1375" s="165" t="s">
        <v>680</v>
      </c>
      <c r="AA1375" s="154" t="s">
        <v>2061</v>
      </c>
      <c r="AB1375" s="167">
        <f t="shared" si="170"/>
        <v>30</v>
      </c>
      <c r="AC1375" s="165" t="s">
        <v>680</v>
      </c>
      <c r="AD1375" s="167">
        <f t="shared" si="169"/>
        <v>120</v>
      </c>
      <c r="AE1375" s="172">
        <f t="shared" si="163"/>
        <v>0</v>
      </c>
    </row>
    <row r="1376" spans="6:31" ht="24" customHeight="1">
      <c r="F1376" s="167">
        <v>0.12</v>
      </c>
      <c r="G1376" s="165" t="s">
        <v>577</v>
      </c>
      <c r="H1376" s="154" t="s">
        <v>1951</v>
      </c>
      <c r="I1376" s="76">
        <f>K32</f>
        <v>4357.67</v>
      </c>
      <c r="J1376" s="154" t="s">
        <v>577</v>
      </c>
      <c r="K1376" s="167">
        <f t="shared" ref="K1376:K1382" si="173">(F1376*I1376)</f>
        <v>522.92039999999997</v>
      </c>
      <c r="M1376" s="167">
        <v>1.1000000000000001</v>
      </c>
      <c r="N1376" s="165" t="s">
        <v>680</v>
      </c>
      <c r="O1376" s="154" t="s">
        <v>752</v>
      </c>
      <c r="P1376" s="167">
        <f>AE10</f>
        <v>669.90000000000009</v>
      </c>
      <c r="Q1376" s="155" t="s">
        <v>680</v>
      </c>
      <c r="R1376" s="167">
        <f>(M1376*P1376)</f>
        <v>736.89000000000021</v>
      </c>
      <c r="S1376" s="198">
        <v>4</v>
      </c>
      <c r="T1376" s="165" t="s">
        <v>680</v>
      </c>
      <c r="U1376" s="154" t="s">
        <v>2058</v>
      </c>
      <c r="V1376" s="167">
        <f t="shared" si="171"/>
        <v>50.4</v>
      </c>
      <c r="W1376" s="165" t="s">
        <v>680</v>
      </c>
      <c r="X1376" s="167">
        <f t="shared" si="172"/>
        <v>201.6</v>
      </c>
      <c r="Y1376" s="233">
        <v>4</v>
      </c>
      <c r="Z1376" s="165" t="s">
        <v>680</v>
      </c>
      <c r="AA1376" s="154" t="s">
        <v>2062</v>
      </c>
      <c r="AB1376" s="167">
        <f t="shared" si="170"/>
        <v>20</v>
      </c>
      <c r="AC1376" s="165" t="s">
        <v>680</v>
      </c>
      <c r="AD1376" s="167">
        <f t="shared" si="169"/>
        <v>80</v>
      </c>
      <c r="AE1376" s="172">
        <f t="shared" si="163"/>
        <v>0</v>
      </c>
    </row>
    <row r="1377" spans="6:31" ht="24" customHeight="1">
      <c r="F1377" s="167">
        <v>10</v>
      </c>
      <c r="G1377" s="165" t="s">
        <v>916</v>
      </c>
      <c r="H1377" s="154" t="s">
        <v>2052</v>
      </c>
      <c r="I1377" s="76">
        <f>K1344</f>
        <v>232.76668000000004</v>
      </c>
      <c r="J1377" s="154" t="s">
        <v>916</v>
      </c>
      <c r="K1377" s="167">
        <f t="shared" si="173"/>
        <v>2327.6668000000004</v>
      </c>
      <c r="M1377" s="167">
        <v>2.2000000000000002</v>
      </c>
      <c r="N1377" s="165" t="s">
        <v>680</v>
      </c>
      <c r="O1377" s="154" t="s">
        <v>754</v>
      </c>
      <c r="P1377" s="167">
        <f>AE11</f>
        <v>468.6</v>
      </c>
      <c r="Q1377" s="155" t="s">
        <v>680</v>
      </c>
      <c r="R1377" s="167">
        <f>(M1377*P1377)</f>
        <v>1030.92</v>
      </c>
      <c r="S1377" s="198">
        <v>4</v>
      </c>
      <c r="T1377" s="165" t="s">
        <v>680</v>
      </c>
      <c r="U1377" s="154" t="s">
        <v>2061</v>
      </c>
      <c r="V1377" s="167">
        <f t="shared" si="171"/>
        <v>30</v>
      </c>
      <c r="W1377" s="165" t="s">
        <v>680</v>
      </c>
      <c r="X1377" s="167">
        <f t="shared" si="172"/>
        <v>120</v>
      </c>
      <c r="Y1377" s="233">
        <v>4</v>
      </c>
      <c r="Z1377" s="165" t="s">
        <v>680</v>
      </c>
      <c r="AA1377" s="154" t="s">
        <v>2063</v>
      </c>
      <c r="AB1377" s="167">
        <f t="shared" si="170"/>
        <v>15</v>
      </c>
      <c r="AC1377" s="165" t="s">
        <v>680</v>
      </c>
      <c r="AD1377" s="167">
        <f t="shared" si="169"/>
        <v>60</v>
      </c>
      <c r="AE1377" s="172">
        <f t="shared" si="163"/>
        <v>0</v>
      </c>
    </row>
    <row r="1378" spans="6:31" ht="24" customHeight="1">
      <c r="F1378" s="167">
        <v>5.8</v>
      </c>
      <c r="G1378" s="165" t="s">
        <v>420</v>
      </c>
      <c r="H1378" s="154" t="s">
        <v>2055</v>
      </c>
      <c r="I1378" s="76">
        <f>C653</f>
        <v>41.5</v>
      </c>
      <c r="J1378" s="154" t="s">
        <v>420</v>
      </c>
      <c r="K1378" s="167">
        <f t="shared" si="173"/>
        <v>240.7</v>
      </c>
      <c r="M1378" s="167">
        <v>2.2000000000000002</v>
      </c>
      <c r="N1378" s="165" t="s">
        <v>680</v>
      </c>
      <c r="O1378" s="154" t="s">
        <v>756</v>
      </c>
      <c r="P1378" s="167">
        <f>AE12</f>
        <v>404.8</v>
      </c>
      <c r="Q1378" s="155" t="s">
        <v>680</v>
      </c>
      <c r="R1378" s="167">
        <f>(M1378*P1378)</f>
        <v>890.56000000000006</v>
      </c>
      <c r="S1378" s="198">
        <v>4</v>
      </c>
      <c r="T1378" s="165" t="s">
        <v>680</v>
      </c>
      <c r="U1378" s="154" t="s">
        <v>2062</v>
      </c>
      <c r="V1378" s="167">
        <f t="shared" si="171"/>
        <v>20</v>
      </c>
      <c r="W1378" s="165" t="s">
        <v>680</v>
      </c>
      <c r="X1378" s="167">
        <f t="shared" si="172"/>
        <v>80</v>
      </c>
      <c r="Y1378" s="233">
        <v>1.42</v>
      </c>
      <c r="Z1378" s="165" t="s">
        <v>250</v>
      </c>
      <c r="AA1378" s="154" t="s">
        <v>2064</v>
      </c>
      <c r="AB1378" s="167">
        <f t="shared" si="170"/>
        <v>1437.15</v>
      </c>
      <c r="AC1378" s="165" t="s">
        <v>250</v>
      </c>
      <c r="AD1378" s="167">
        <f t="shared" si="169"/>
        <v>2040.7529999999999</v>
      </c>
      <c r="AE1378" s="172">
        <f t="shared" si="163"/>
        <v>0</v>
      </c>
    </row>
    <row r="1379" spans="6:31" ht="24" customHeight="1">
      <c r="F1379" s="167">
        <v>1.1000000000000001</v>
      </c>
      <c r="G1379" s="165" t="s">
        <v>680</v>
      </c>
      <c r="H1379" s="154" t="s">
        <v>778</v>
      </c>
      <c r="I1379" s="76">
        <f>C10</f>
        <v>717.2</v>
      </c>
      <c r="J1379" s="154" t="s">
        <v>680</v>
      </c>
      <c r="K1379" s="167">
        <f t="shared" si="173"/>
        <v>788.92000000000007</v>
      </c>
      <c r="M1379" s="198">
        <v>20</v>
      </c>
      <c r="N1379" s="165" t="s">
        <v>420</v>
      </c>
      <c r="O1379" s="154" t="s">
        <v>568</v>
      </c>
      <c r="P1379" s="167">
        <f>AC31</f>
        <v>5750</v>
      </c>
      <c r="Q1379" s="155" t="s">
        <v>567</v>
      </c>
      <c r="R1379" s="167">
        <f>(M1379*P1379)/1000</f>
        <v>115</v>
      </c>
      <c r="S1379" s="198">
        <v>4</v>
      </c>
      <c r="T1379" s="165" t="s">
        <v>680</v>
      </c>
      <c r="U1379" s="154" t="s">
        <v>2063</v>
      </c>
      <c r="V1379" s="167">
        <f t="shared" si="171"/>
        <v>15</v>
      </c>
      <c r="W1379" s="165" t="s">
        <v>680</v>
      </c>
      <c r="X1379" s="167">
        <f t="shared" si="172"/>
        <v>60</v>
      </c>
      <c r="Z1379" s="156"/>
      <c r="AA1379" s="154" t="s">
        <v>2066</v>
      </c>
      <c r="AC1379" s="160"/>
      <c r="AD1379" s="167">
        <v>0.85</v>
      </c>
      <c r="AE1379" s="172">
        <f t="shared" si="163"/>
        <v>0</v>
      </c>
    </row>
    <row r="1380" spans="6:31" ht="24" customHeight="1">
      <c r="F1380" s="167">
        <v>2.1</v>
      </c>
      <c r="G1380" s="165" t="s">
        <v>680</v>
      </c>
      <c r="H1380" s="154" t="s">
        <v>752</v>
      </c>
      <c r="I1380" s="76">
        <f>C11</f>
        <v>669.90000000000009</v>
      </c>
      <c r="J1380" s="154" t="s">
        <v>680</v>
      </c>
      <c r="K1380" s="167">
        <f t="shared" si="173"/>
        <v>1406.7900000000002</v>
      </c>
      <c r="M1380" s="198">
        <v>2</v>
      </c>
      <c r="N1380" s="165" t="s">
        <v>420</v>
      </c>
      <c r="O1380" s="154" t="s">
        <v>1959</v>
      </c>
      <c r="P1380" s="253">
        <f>P1264</f>
        <v>36.1</v>
      </c>
      <c r="Q1380" s="155" t="s">
        <v>420</v>
      </c>
      <c r="R1380" s="167">
        <f>(M1380*P1380)</f>
        <v>72.2</v>
      </c>
      <c r="S1380" s="198">
        <v>1.2150000000000001</v>
      </c>
      <c r="T1380" s="165" t="s">
        <v>250</v>
      </c>
      <c r="U1380" s="154" t="s">
        <v>2064</v>
      </c>
      <c r="V1380" s="167">
        <f t="shared" si="171"/>
        <v>1437.15</v>
      </c>
      <c r="W1380" s="165" t="s">
        <v>250</v>
      </c>
      <c r="X1380" s="167">
        <f t="shared" si="172"/>
        <v>1746.1372500000002</v>
      </c>
      <c r="AA1380" s="164" t="s">
        <v>2068</v>
      </c>
      <c r="AD1380" s="166">
        <f>SUM(AD1367:AD1379)</f>
        <v>7405.244200000001</v>
      </c>
      <c r="AE1380" s="172">
        <f t="shared" si="163"/>
        <v>0</v>
      </c>
    </row>
    <row r="1381" spans="6:31" ht="24" customHeight="1">
      <c r="F1381" s="167">
        <v>2.2000000000000002</v>
      </c>
      <c r="G1381" s="165" t="s">
        <v>680</v>
      </c>
      <c r="H1381" s="154" t="s">
        <v>754</v>
      </c>
      <c r="I1381" s="76">
        <f>C12</f>
        <v>468.6</v>
      </c>
      <c r="J1381" s="154" t="s">
        <v>680</v>
      </c>
      <c r="K1381" s="167">
        <f t="shared" si="173"/>
        <v>1030.92</v>
      </c>
      <c r="M1381" s="167">
        <v>1.6</v>
      </c>
      <c r="N1381" s="165" t="s">
        <v>680</v>
      </c>
      <c r="O1381" s="154" t="s">
        <v>752</v>
      </c>
      <c r="P1381" s="167">
        <f>P1265</f>
        <v>669.90000000000009</v>
      </c>
      <c r="Q1381" s="155" t="s">
        <v>680</v>
      </c>
      <c r="R1381" s="167">
        <f>(M1381*P1381)</f>
        <v>1071.8400000000001</v>
      </c>
      <c r="T1381" s="156"/>
      <c r="U1381" s="154" t="s">
        <v>2066</v>
      </c>
      <c r="W1381" s="160"/>
      <c r="X1381" s="167">
        <v>0.23</v>
      </c>
      <c r="AE1381" s="172">
        <f t="shared" si="163"/>
        <v>0</v>
      </c>
    </row>
    <row r="1382" spans="6:31" ht="24" customHeight="1">
      <c r="F1382" s="167">
        <v>1.1000000000000001</v>
      </c>
      <c r="G1382" s="165" t="s">
        <v>680</v>
      </c>
      <c r="H1382" s="154" t="s">
        <v>756</v>
      </c>
      <c r="I1382" s="76">
        <f>C13</f>
        <v>404.8</v>
      </c>
      <c r="J1382" s="154" t="s">
        <v>680</v>
      </c>
      <c r="K1382" s="167">
        <f t="shared" si="173"/>
        <v>445.28000000000003</v>
      </c>
      <c r="M1382" s="167">
        <v>0.5</v>
      </c>
      <c r="N1382" s="165" t="s">
        <v>680</v>
      </c>
      <c r="O1382" s="154" t="s">
        <v>754</v>
      </c>
      <c r="P1382" s="167">
        <f>P1266</f>
        <v>468.6</v>
      </c>
      <c r="Q1382" s="155" t="s">
        <v>680</v>
      </c>
      <c r="R1382" s="167">
        <f>(M1382*P1382)</f>
        <v>234.3</v>
      </c>
      <c r="U1382" s="164" t="s">
        <v>2068</v>
      </c>
      <c r="X1382" s="166">
        <f>SUM(X1369:X1381)</f>
        <v>6807.3116499999996</v>
      </c>
      <c r="AE1382" s="172">
        <f t="shared" si="163"/>
        <v>0</v>
      </c>
    </row>
    <row r="1383" spans="6:31" ht="24" customHeight="1">
      <c r="G1383" s="165" t="s">
        <v>589</v>
      </c>
      <c r="H1383" s="154" t="s">
        <v>590</v>
      </c>
      <c r="J1383" s="154" t="s">
        <v>589</v>
      </c>
      <c r="K1383" s="167">
        <v>0</v>
      </c>
      <c r="M1383" s="167">
        <v>1.1000000000000001</v>
      </c>
      <c r="N1383" s="165" t="s">
        <v>680</v>
      </c>
      <c r="O1383" s="154" t="s">
        <v>756</v>
      </c>
      <c r="P1383" s="167">
        <f>P1267</f>
        <v>404.8</v>
      </c>
      <c r="Q1383" s="155" t="s">
        <v>680</v>
      </c>
      <c r="R1383" s="167">
        <f>(M1383*P1383)</f>
        <v>445.28000000000003</v>
      </c>
      <c r="Z1383" s="156"/>
      <c r="AA1383" s="308" t="s">
        <v>2075</v>
      </c>
      <c r="AC1383" s="158"/>
      <c r="AE1383" s="172">
        <f t="shared" si="163"/>
        <v>0</v>
      </c>
    </row>
    <row r="1384" spans="6:31" ht="24" customHeight="1">
      <c r="K1384" s="162" t="s">
        <v>534</v>
      </c>
      <c r="N1384" s="165" t="s">
        <v>589</v>
      </c>
      <c r="O1384" s="154" t="s">
        <v>590</v>
      </c>
      <c r="P1384" s="167"/>
      <c r="Q1384" s="155" t="s">
        <v>589</v>
      </c>
      <c r="R1384" s="167">
        <v>0.28000000000000003</v>
      </c>
      <c r="Y1384" s="233">
        <v>2.87</v>
      </c>
      <c r="Z1384" s="165" t="s">
        <v>31</v>
      </c>
      <c r="AA1384" s="154" t="s">
        <v>2045</v>
      </c>
      <c r="AB1384" s="167">
        <f>AB1367</f>
        <v>287</v>
      </c>
      <c r="AC1384" s="165" t="s">
        <v>31</v>
      </c>
      <c r="AD1384" s="167">
        <f t="shared" ref="AD1384:AD1395" si="174">AB1384*Y1384</f>
        <v>823.69</v>
      </c>
      <c r="AE1384" s="172">
        <f t="shared" si="163"/>
        <v>0</v>
      </c>
    </row>
    <row r="1385" spans="6:31" ht="24" customHeight="1">
      <c r="H1385" s="154" t="s">
        <v>879</v>
      </c>
      <c r="K1385" s="167">
        <f>SUM(K1375:K1383)</f>
        <v>8418.0972000000002</v>
      </c>
      <c r="N1385" s="156"/>
      <c r="Q1385" s="160"/>
      <c r="R1385" s="162" t="s">
        <v>534</v>
      </c>
      <c r="T1385" s="156"/>
      <c r="U1385" s="308" t="s">
        <v>2076</v>
      </c>
      <c r="W1385" s="158"/>
      <c r="Y1385" s="233">
        <v>0.56000000000000005</v>
      </c>
      <c r="Z1385" s="165" t="s">
        <v>31</v>
      </c>
      <c r="AA1385" s="154" t="s">
        <v>2045</v>
      </c>
      <c r="AB1385" s="167">
        <f t="shared" ref="AB1385:AB1395" si="175">AB1368</f>
        <v>287</v>
      </c>
      <c r="AC1385" s="165" t="s">
        <v>31</v>
      </c>
      <c r="AD1385" s="167">
        <f t="shared" si="174"/>
        <v>160.72000000000003</v>
      </c>
      <c r="AE1385" s="172">
        <f t="shared" si="163"/>
        <v>0</v>
      </c>
    </row>
    <row r="1386" spans="6:31" ht="24" customHeight="1">
      <c r="K1386" s="162" t="s">
        <v>534</v>
      </c>
      <c r="N1386" s="156"/>
      <c r="O1386" s="154" t="s">
        <v>879</v>
      </c>
      <c r="Q1386" s="160"/>
      <c r="R1386" s="167">
        <f>SUM(R1372:R1384)</f>
        <v>22101.3007</v>
      </c>
      <c r="S1386" s="198">
        <v>4.88</v>
      </c>
      <c r="T1386" s="165" t="s">
        <v>31</v>
      </c>
      <c r="U1386" s="154" t="s">
        <v>2045</v>
      </c>
      <c r="V1386" s="167">
        <f>V1369</f>
        <v>287</v>
      </c>
      <c r="W1386" s="165" t="s">
        <v>31</v>
      </c>
      <c r="X1386" s="167">
        <f>V1386*S1386</f>
        <v>1400.56</v>
      </c>
      <c r="Y1386" s="233">
        <v>2.98</v>
      </c>
      <c r="Z1386" s="165" t="s">
        <v>31</v>
      </c>
      <c r="AA1386" s="154" t="s">
        <v>2045</v>
      </c>
      <c r="AB1386" s="167">
        <f t="shared" si="175"/>
        <v>287</v>
      </c>
      <c r="AC1386" s="165" t="s">
        <v>31</v>
      </c>
      <c r="AD1386" s="167">
        <f t="shared" si="174"/>
        <v>855.26</v>
      </c>
      <c r="AE1386" s="172">
        <f t="shared" si="163"/>
        <v>0</v>
      </c>
    </row>
    <row r="1387" spans="6:31" ht="24" customHeight="1">
      <c r="H1387" s="169" t="s">
        <v>881</v>
      </c>
      <c r="K1387" s="166">
        <f>(K1385/10)</f>
        <v>841.80971999999997</v>
      </c>
      <c r="N1387" s="156"/>
      <c r="Q1387" s="160"/>
      <c r="R1387" s="162" t="s">
        <v>534</v>
      </c>
      <c r="S1387" s="198">
        <v>6.57</v>
      </c>
      <c r="T1387" s="165" t="s">
        <v>31</v>
      </c>
      <c r="U1387" s="154" t="s">
        <v>2045</v>
      </c>
      <c r="V1387" s="167">
        <f t="shared" ref="V1387:V1397" si="176">V1370</f>
        <v>287</v>
      </c>
      <c r="W1387" s="165" t="s">
        <v>31</v>
      </c>
      <c r="X1387" s="167">
        <f t="shared" ref="X1387:X1397" si="177">V1387*S1387</f>
        <v>1885.5900000000001</v>
      </c>
      <c r="Y1387" s="233">
        <v>0.52</v>
      </c>
      <c r="Z1387" s="165" t="s">
        <v>31</v>
      </c>
      <c r="AA1387" s="154" t="s">
        <v>2045</v>
      </c>
      <c r="AB1387" s="167">
        <f t="shared" si="175"/>
        <v>287</v>
      </c>
      <c r="AC1387" s="165" t="s">
        <v>31</v>
      </c>
      <c r="AD1387" s="167">
        <f t="shared" si="174"/>
        <v>149.24</v>
      </c>
      <c r="AE1387" s="172">
        <f t="shared" si="163"/>
        <v>0</v>
      </c>
    </row>
    <row r="1388" spans="6:31" ht="24" customHeight="1">
      <c r="K1388" s="162" t="s">
        <v>528</v>
      </c>
      <c r="N1388" s="156"/>
      <c r="O1388" s="154" t="s">
        <v>881</v>
      </c>
      <c r="Q1388" s="160"/>
      <c r="R1388" s="167">
        <f>(R1386/10)</f>
        <v>2210.1300700000002</v>
      </c>
      <c r="S1388" s="198">
        <v>11.56</v>
      </c>
      <c r="T1388" s="165" t="s">
        <v>31</v>
      </c>
      <c r="U1388" s="154" t="s">
        <v>2045</v>
      </c>
      <c r="V1388" s="167">
        <f t="shared" si="176"/>
        <v>287</v>
      </c>
      <c r="W1388" s="165" t="s">
        <v>31</v>
      </c>
      <c r="X1388" s="167">
        <f t="shared" si="177"/>
        <v>3317.7200000000003</v>
      </c>
      <c r="Y1388" s="233">
        <v>0.53300000000000003</v>
      </c>
      <c r="Z1388" s="165" t="s">
        <v>141</v>
      </c>
      <c r="AA1388" s="154" t="s">
        <v>2051</v>
      </c>
      <c r="AB1388" s="167">
        <f t="shared" si="175"/>
        <v>208.8</v>
      </c>
      <c r="AC1388" s="165" t="s">
        <v>141</v>
      </c>
      <c r="AD1388" s="167">
        <f t="shared" si="174"/>
        <v>111.29040000000001</v>
      </c>
      <c r="AE1388" s="172">
        <f t="shared" si="163"/>
        <v>0</v>
      </c>
    </row>
    <row r="1389" spans="6:31" ht="24" customHeight="1">
      <c r="K1389" s="162"/>
      <c r="N1389" s="156"/>
      <c r="Q1389" s="160"/>
      <c r="R1389" s="162" t="s">
        <v>528</v>
      </c>
      <c r="S1389" s="198">
        <v>2.0099999999999998</v>
      </c>
      <c r="T1389" s="165" t="s">
        <v>31</v>
      </c>
      <c r="U1389" s="154" t="s">
        <v>2045</v>
      </c>
      <c r="V1389" s="167">
        <f t="shared" si="176"/>
        <v>287</v>
      </c>
      <c r="W1389" s="165" t="s">
        <v>31</v>
      </c>
      <c r="X1389" s="167">
        <f t="shared" si="177"/>
        <v>576.86999999999989</v>
      </c>
      <c r="Y1389" s="233">
        <v>4.1959999999999997</v>
      </c>
      <c r="Z1389" s="165" t="s">
        <v>41</v>
      </c>
      <c r="AA1389" s="154" t="s">
        <v>2054</v>
      </c>
      <c r="AB1389" s="167">
        <f t="shared" si="175"/>
        <v>28.4</v>
      </c>
      <c r="AC1389" s="165" t="s">
        <v>41</v>
      </c>
      <c r="AD1389" s="167">
        <f t="shared" si="174"/>
        <v>119.16639999999998</v>
      </c>
      <c r="AE1389" s="172">
        <f t="shared" si="163"/>
        <v>0</v>
      </c>
    </row>
    <row r="1390" spans="6:31" ht="24" customHeight="1">
      <c r="F1390" s="155" t="s">
        <v>2077</v>
      </c>
      <c r="G1390" s="165" t="s">
        <v>307</v>
      </c>
      <c r="H1390" s="154" t="s">
        <v>2078</v>
      </c>
      <c r="N1390" s="156"/>
      <c r="O1390" s="308" t="s">
        <v>2079</v>
      </c>
      <c r="Q1390" s="158"/>
      <c r="S1390" s="198">
        <v>1.96</v>
      </c>
      <c r="T1390" s="165" t="s">
        <v>141</v>
      </c>
      <c r="U1390" s="154" t="s">
        <v>2051</v>
      </c>
      <c r="V1390" s="167">
        <f t="shared" si="176"/>
        <v>208.8</v>
      </c>
      <c r="W1390" s="165" t="s">
        <v>141</v>
      </c>
      <c r="X1390" s="167">
        <f t="shared" si="177"/>
        <v>409.24799999999999</v>
      </c>
      <c r="Y1390" s="233">
        <v>4</v>
      </c>
      <c r="Z1390" s="165" t="s">
        <v>680</v>
      </c>
      <c r="AA1390" s="154" t="s">
        <v>2056</v>
      </c>
      <c r="AB1390" s="167">
        <f t="shared" si="175"/>
        <v>62.9</v>
      </c>
      <c r="AC1390" s="165" t="s">
        <v>680</v>
      </c>
      <c r="AD1390" s="167">
        <f t="shared" si="174"/>
        <v>251.6</v>
      </c>
      <c r="AE1390" s="172">
        <f t="shared" si="163"/>
        <v>0</v>
      </c>
    </row>
    <row r="1391" spans="6:31" ht="24" customHeight="1">
      <c r="H1391" s="162" t="s">
        <v>534</v>
      </c>
      <c r="M1391" s="233">
        <v>4.1849999999999996</v>
      </c>
      <c r="N1391" s="165" t="s">
        <v>31</v>
      </c>
      <c r="O1391" s="223" t="s">
        <v>2080</v>
      </c>
      <c r="P1391" s="174">
        <v>287</v>
      </c>
      <c r="Q1391" s="165" t="s">
        <v>31</v>
      </c>
      <c r="R1391" s="167">
        <f>P1391*M1391</f>
        <v>1201.0949999999998</v>
      </c>
      <c r="S1391" s="198">
        <v>16.224</v>
      </c>
      <c r="T1391" s="165" t="s">
        <v>41</v>
      </c>
      <c r="U1391" s="154" t="s">
        <v>2054</v>
      </c>
      <c r="V1391" s="167">
        <f t="shared" si="176"/>
        <v>28.4</v>
      </c>
      <c r="W1391" s="165" t="s">
        <v>41</v>
      </c>
      <c r="X1391" s="167">
        <f t="shared" si="177"/>
        <v>460.76159999999999</v>
      </c>
      <c r="Y1391" s="233">
        <v>2</v>
      </c>
      <c r="Z1391" s="165" t="s">
        <v>680</v>
      </c>
      <c r="AA1391" s="154" t="s">
        <v>2058</v>
      </c>
      <c r="AB1391" s="167">
        <f t="shared" si="175"/>
        <v>50.4</v>
      </c>
      <c r="AC1391" s="165" t="s">
        <v>680</v>
      </c>
      <c r="AD1391" s="167">
        <f t="shared" si="174"/>
        <v>100.8</v>
      </c>
      <c r="AE1391" s="172">
        <f t="shared" si="163"/>
        <v>0</v>
      </c>
    </row>
    <row r="1392" spans="6:31" ht="24" customHeight="1">
      <c r="F1392" s="167">
        <v>0.14000000000000001</v>
      </c>
      <c r="G1392" s="165" t="s">
        <v>577</v>
      </c>
      <c r="H1392" s="154" t="s">
        <v>729</v>
      </c>
      <c r="I1392" s="167">
        <f>(K49)</f>
        <v>3253.6699999999996</v>
      </c>
      <c r="J1392" s="154" t="s">
        <v>577</v>
      </c>
      <c r="K1392" s="167">
        <f>(F1392*I1392)</f>
        <v>455.5138</v>
      </c>
      <c r="M1392" s="233">
        <v>4.55</v>
      </c>
      <c r="N1392" s="165" t="s">
        <v>31</v>
      </c>
      <c r="O1392" s="154" t="s">
        <v>2045</v>
      </c>
      <c r="P1392" s="167">
        <f>P1391</f>
        <v>287</v>
      </c>
      <c r="Q1392" s="165" t="s">
        <v>31</v>
      </c>
      <c r="R1392" s="167">
        <f t="shared" ref="R1392:R1402" si="178">P1392*M1392</f>
        <v>1305.8499999999999</v>
      </c>
      <c r="S1392" s="198">
        <v>16</v>
      </c>
      <c r="T1392" s="165" t="s">
        <v>680</v>
      </c>
      <c r="U1392" s="154" t="s">
        <v>2056</v>
      </c>
      <c r="V1392" s="167">
        <f t="shared" si="176"/>
        <v>62.9</v>
      </c>
      <c r="W1392" s="165" t="s">
        <v>680</v>
      </c>
      <c r="X1392" s="167">
        <f t="shared" si="177"/>
        <v>1006.4</v>
      </c>
      <c r="Y1392" s="233">
        <v>2</v>
      </c>
      <c r="Z1392" s="165" t="s">
        <v>680</v>
      </c>
      <c r="AA1392" s="154" t="s">
        <v>2061</v>
      </c>
      <c r="AB1392" s="167">
        <f t="shared" si="175"/>
        <v>30</v>
      </c>
      <c r="AC1392" s="165" t="s">
        <v>680</v>
      </c>
      <c r="AD1392" s="167">
        <f t="shared" si="174"/>
        <v>60</v>
      </c>
      <c r="AE1392" s="172">
        <f t="shared" si="163"/>
        <v>0</v>
      </c>
    </row>
    <row r="1393" spans="6:31" ht="24" customHeight="1">
      <c r="F1393" s="167">
        <v>1.1000000000000001</v>
      </c>
      <c r="G1393" s="165" t="s">
        <v>576</v>
      </c>
      <c r="H1393" s="154" t="s">
        <v>778</v>
      </c>
      <c r="I1393" s="167">
        <f>(C10)</f>
        <v>717.2</v>
      </c>
      <c r="J1393" s="154" t="s">
        <v>576</v>
      </c>
      <c r="K1393" s="167">
        <f>(F1393*I1393)</f>
        <v>788.92000000000007</v>
      </c>
      <c r="M1393" s="233">
        <v>8.66</v>
      </c>
      <c r="N1393" s="165" t="s">
        <v>31</v>
      </c>
      <c r="O1393" s="154" t="s">
        <v>2045</v>
      </c>
      <c r="P1393" s="167">
        <f>P1391</f>
        <v>287</v>
      </c>
      <c r="Q1393" s="165" t="s">
        <v>31</v>
      </c>
      <c r="R1393" s="167">
        <f t="shared" si="178"/>
        <v>2485.42</v>
      </c>
      <c r="S1393" s="198">
        <v>8</v>
      </c>
      <c r="T1393" s="165" t="s">
        <v>680</v>
      </c>
      <c r="U1393" s="154" t="s">
        <v>2058</v>
      </c>
      <c r="V1393" s="167">
        <f t="shared" si="176"/>
        <v>50.4</v>
      </c>
      <c r="W1393" s="165" t="s">
        <v>680</v>
      </c>
      <c r="X1393" s="167">
        <f t="shared" si="177"/>
        <v>403.2</v>
      </c>
      <c r="Y1393" s="233">
        <v>2</v>
      </c>
      <c r="Z1393" s="165" t="s">
        <v>680</v>
      </c>
      <c r="AA1393" s="154" t="s">
        <v>2062</v>
      </c>
      <c r="AB1393" s="167">
        <f t="shared" si="175"/>
        <v>20</v>
      </c>
      <c r="AC1393" s="165" t="s">
        <v>680</v>
      </c>
      <c r="AD1393" s="167">
        <f t="shared" si="174"/>
        <v>40</v>
      </c>
      <c r="AE1393" s="172">
        <f t="shared" si="163"/>
        <v>0</v>
      </c>
    </row>
    <row r="1394" spans="6:31" ht="24" customHeight="1">
      <c r="F1394" s="167">
        <v>0.5</v>
      </c>
      <c r="G1394" s="165" t="s">
        <v>576</v>
      </c>
      <c r="H1394" s="154" t="s">
        <v>754</v>
      </c>
      <c r="I1394" s="167">
        <f>(C12)</f>
        <v>468.6</v>
      </c>
      <c r="J1394" s="154" t="s">
        <v>576</v>
      </c>
      <c r="K1394" s="167">
        <f>(F1394*I1394)</f>
        <v>234.3</v>
      </c>
      <c r="M1394" s="233">
        <v>1.51</v>
      </c>
      <c r="N1394" s="165" t="s">
        <v>31</v>
      </c>
      <c r="O1394" s="154" t="s">
        <v>2045</v>
      </c>
      <c r="P1394" s="167">
        <f>P1391</f>
        <v>287</v>
      </c>
      <c r="Q1394" s="165" t="s">
        <v>31</v>
      </c>
      <c r="R1394" s="167">
        <f t="shared" si="178"/>
        <v>433.37</v>
      </c>
      <c r="S1394" s="198">
        <v>8</v>
      </c>
      <c r="T1394" s="165" t="s">
        <v>680</v>
      </c>
      <c r="U1394" s="154" t="s">
        <v>2061</v>
      </c>
      <c r="V1394" s="167">
        <f t="shared" si="176"/>
        <v>30</v>
      </c>
      <c r="W1394" s="165" t="s">
        <v>680</v>
      </c>
      <c r="X1394" s="167">
        <f t="shared" si="177"/>
        <v>240</v>
      </c>
      <c r="Y1394" s="233">
        <v>4</v>
      </c>
      <c r="Z1394" s="165" t="s">
        <v>680</v>
      </c>
      <c r="AA1394" s="154" t="s">
        <v>2063</v>
      </c>
      <c r="AB1394" s="167">
        <f t="shared" si="175"/>
        <v>15</v>
      </c>
      <c r="AC1394" s="165" t="s">
        <v>680</v>
      </c>
      <c r="AD1394" s="167">
        <f t="shared" si="174"/>
        <v>60</v>
      </c>
      <c r="AE1394" s="172">
        <f t="shared" si="163"/>
        <v>0</v>
      </c>
    </row>
    <row r="1395" spans="6:31" ht="24" customHeight="1">
      <c r="F1395" s="167">
        <v>1.1000000000000001</v>
      </c>
      <c r="G1395" s="165" t="s">
        <v>576</v>
      </c>
      <c r="H1395" s="154" t="s">
        <v>756</v>
      </c>
      <c r="I1395" s="167">
        <f>(C13)</f>
        <v>404.8</v>
      </c>
      <c r="J1395" s="154" t="s">
        <v>576</v>
      </c>
      <c r="K1395" s="167">
        <f>(F1395*I1395)</f>
        <v>445.28000000000003</v>
      </c>
      <c r="M1395" s="233">
        <v>1.462</v>
      </c>
      <c r="N1395" s="165" t="s">
        <v>141</v>
      </c>
      <c r="O1395" s="223" t="s">
        <v>2051</v>
      </c>
      <c r="P1395" s="195">
        <v>208.8</v>
      </c>
      <c r="Q1395" s="165" t="s">
        <v>141</v>
      </c>
      <c r="R1395" s="167">
        <f t="shared" si="178"/>
        <v>305.26560000000001</v>
      </c>
      <c r="S1395" s="198">
        <v>8</v>
      </c>
      <c r="T1395" s="165" t="s">
        <v>680</v>
      </c>
      <c r="U1395" s="154" t="s">
        <v>2062</v>
      </c>
      <c r="V1395" s="167">
        <f t="shared" si="176"/>
        <v>20</v>
      </c>
      <c r="W1395" s="165" t="s">
        <v>680</v>
      </c>
      <c r="X1395" s="167">
        <f t="shared" si="177"/>
        <v>160</v>
      </c>
      <c r="Y1395" s="233">
        <v>0.67500000000000004</v>
      </c>
      <c r="Z1395" s="165" t="s">
        <v>250</v>
      </c>
      <c r="AA1395" s="154" t="s">
        <v>2064</v>
      </c>
      <c r="AB1395" s="167">
        <f t="shared" si="175"/>
        <v>1437.15</v>
      </c>
      <c r="AC1395" s="165" t="s">
        <v>250</v>
      </c>
      <c r="AD1395" s="167">
        <f t="shared" si="174"/>
        <v>970.07625000000007</v>
      </c>
      <c r="AE1395" s="172">
        <f t="shared" si="163"/>
        <v>0</v>
      </c>
    </row>
    <row r="1396" spans="6:31" ht="24" customHeight="1">
      <c r="G1396" s="165" t="s">
        <v>589</v>
      </c>
      <c r="H1396" s="154" t="s">
        <v>1945</v>
      </c>
      <c r="I1396" s="154"/>
      <c r="J1396" s="154" t="s">
        <v>589</v>
      </c>
      <c r="K1396" s="167">
        <v>5</v>
      </c>
      <c r="M1396" s="233">
        <v>12.144</v>
      </c>
      <c r="N1396" s="165" t="s">
        <v>41</v>
      </c>
      <c r="O1396" s="223" t="s">
        <v>2081</v>
      </c>
      <c r="P1396" s="174">
        <v>28.4</v>
      </c>
      <c r="Q1396" s="165" t="s">
        <v>41</v>
      </c>
      <c r="R1396" s="167">
        <f t="shared" si="178"/>
        <v>344.88959999999997</v>
      </c>
      <c r="S1396" s="198">
        <v>4</v>
      </c>
      <c r="T1396" s="165" t="s">
        <v>680</v>
      </c>
      <c r="U1396" s="154" t="s">
        <v>2063</v>
      </c>
      <c r="V1396" s="167">
        <f t="shared" si="176"/>
        <v>15</v>
      </c>
      <c r="W1396" s="165" t="s">
        <v>680</v>
      </c>
      <c r="X1396" s="167">
        <f t="shared" si="177"/>
        <v>60</v>
      </c>
      <c r="Z1396" s="156"/>
      <c r="AA1396" s="154" t="s">
        <v>2066</v>
      </c>
      <c r="AC1396" s="160"/>
      <c r="AD1396" s="167">
        <v>0.39</v>
      </c>
      <c r="AE1396" s="172">
        <f t="shared" si="163"/>
        <v>0</v>
      </c>
    </row>
    <row r="1397" spans="6:31" ht="24" customHeight="1">
      <c r="K1397" s="162" t="s">
        <v>534</v>
      </c>
      <c r="M1397" s="233">
        <v>12</v>
      </c>
      <c r="N1397" s="165" t="s">
        <v>680</v>
      </c>
      <c r="O1397" s="223" t="s">
        <v>2082</v>
      </c>
      <c r="P1397" s="174">
        <v>62.9</v>
      </c>
      <c r="Q1397" s="165" t="s">
        <v>680</v>
      </c>
      <c r="R1397" s="167">
        <f t="shared" si="178"/>
        <v>754.8</v>
      </c>
      <c r="S1397" s="198">
        <v>2.4300000000000002</v>
      </c>
      <c r="T1397" s="165" t="s">
        <v>250</v>
      </c>
      <c r="U1397" s="154" t="s">
        <v>2064</v>
      </c>
      <c r="V1397" s="167">
        <f t="shared" si="176"/>
        <v>1437.15</v>
      </c>
      <c r="W1397" s="165" t="s">
        <v>250</v>
      </c>
      <c r="X1397" s="167">
        <f t="shared" si="177"/>
        <v>3492.2745000000004</v>
      </c>
      <c r="AA1397" s="164" t="s">
        <v>2068</v>
      </c>
      <c r="AD1397" s="166">
        <f>SUM(AD1384:AD1396)</f>
        <v>3702.2330500000003</v>
      </c>
      <c r="AE1397" s="172">
        <f t="shared" si="163"/>
        <v>0</v>
      </c>
    </row>
    <row r="1398" spans="6:31" ht="24" customHeight="1">
      <c r="H1398" s="154" t="s">
        <v>879</v>
      </c>
      <c r="K1398" s="167">
        <f>SUM(K1392:K1396)</f>
        <v>1929.0137999999999</v>
      </c>
      <c r="M1398" s="233">
        <v>6</v>
      </c>
      <c r="N1398" s="165" t="s">
        <v>680</v>
      </c>
      <c r="O1398" s="223" t="s">
        <v>2083</v>
      </c>
      <c r="P1398" s="173">
        <f>P1094</f>
        <v>50.4</v>
      </c>
      <c r="Q1398" s="165" t="s">
        <v>680</v>
      </c>
      <c r="R1398" s="167">
        <f t="shared" si="178"/>
        <v>302.39999999999998</v>
      </c>
      <c r="T1398" s="156"/>
      <c r="U1398" s="154" t="s">
        <v>2066</v>
      </c>
      <c r="W1398" s="160"/>
      <c r="X1398" s="167"/>
      <c r="AE1398" s="172">
        <f t="shared" si="163"/>
        <v>0</v>
      </c>
    </row>
    <row r="1399" spans="6:31" ht="24" customHeight="1">
      <c r="K1399" s="162" t="s">
        <v>534</v>
      </c>
      <c r="M1399" s="233">
        <v>6</v>
      </c>
      <c r="N1399" s="165" t="s">
        <v>680</v>
      </c>
      <c r="O1399" s="154" t="s">
        <v>2084</v>
      </c>
      <c r="P1399" s="167">
        <v>30</v>
      </c>
      <c r="Q1399" s="165" t="s">
        <v>680</v>
      </c>
      <c r="R1399" s="167">
        <f t="shared" si="178"/>
        <v>180</v>
      </c>
      <c r="U1399" s="164" t="s">
        <v>2068</v>
      </c>
      <c r="X1399" s="166">
        <f>SUM(X1386:X1398)</f>
        <v>13412.624100000001</v>
      </c>
      <c r="Z1399" s="156"/>
      <c r="AA1399" s="308" t="s">
        <v>2085</v>
      </c>
      <c r="AC1399" s="158"/>
      <c r="AE1399" s="172">
        <f t="shared" si="163"/>
        <v>0</v>
      </c>
    </row>
    <row r="1400" spans="6:31" ht="24" customHeight="1">
      <c r="H1400" s="169" t="s">
        <v>881</v>
      </c>
      <c r="K1400" s="166">
        <f>(K1398/10)</f>
        <v>192.90137999999999</v>
      </c>
      <c r="M1400" s="233">
        <v>6</v>
      </c>
      <c r="N1400" s="165" t="s">
        <v>680</v>
      </c>
      <c r="O1400" s="154" t="s">
        <v>2062</v>
      </c>
      <c r="P1400" s="167">
        <v>20</v>
      </c>
      <c r="Q1400" s="165" t="s">
        <v>680</v>
      </c>
      <c r="R1400" s="167">
        <f t="shared" si="178"/>
        <v>120</v>
      </c>
      <c r="Y1400" s="233">
        <v>2.33</v>
      </c>
      <c r="Z1400" s="165" t="s">
        <v>31</v>
      </c>
      <c r="AA1400" s="154" t="s">
        <v>2045</v>
      </c>
      <c r="AB1400" s="167">
        <f t="shared" ref="AB1400:AB1411" si="179">V1402</f>
        <v>287</v>
      </c>
      <c r="AC1400" s="165" t="s">
        <v>31</v>
      </c>
      <c r="AD1400" s="167">
        <f t="shared" ref="AD1400:AD1411" si="180">AB1400*Y1400</f>
        <v>668.71</v>
      </c>
      <c r="AE1400" s="172">
        <f t="shared" si="163"/>
        <v>0</v>
      </c>
    </row>
    <row r="1401" spans="6:31" ht="24" customHeight="1">
      <c r="F1401" s="154" t="s">
        <v>22</v>
      </c>
      <c r="M1401" s="233">
        <v>4</v>
      </c>
      <c r="N1401" s="165" t="s">
        <v>680</v>
      </c>
      <c r="O1401" s="154" t="s">
        <v>2063</v>
      </c>
      <c r="P1401" s="167">
        <v>15</v>
      </c>
      <c r="Q1401" s="165" t="s">
        <v>680</v>
      </c>
      <c r="R1401" s="167">
        <f t="shared" si="178"/>
        <v>60</v>
      </c>
      <c r="T1401" s="156"/>
      <c r="U1401" s="308" t="s">
        <v>2086</v>
      </c>
      <c r="W1401" s="158"/>
      <c r="Y1401" s="233">
        <v>0.67</v>
      </c>
      <c r="Z1401" s="165" t="s">
        <v>31</v>
      </c>
      <c r="AA1401" s="154" t="s">
        <v>2045</v>
      </c>
      <c r="AB1401" s="167">
        <f t="shared" si="179"/>
        <v>287</v>
      </c>
      <c r="AC1401" s="165" t="s">
        <v>31</v>
      </c>
      <c r="AD1401" s="167">
        <f t="shared" si="180"/>
        <v>192.29000000000002</v>
      </c>
      <c r="AE1401" s="172">
        <f t="shared" si="163"/>
        <v>0</v>
      </c>
    </row>
    <row r="1402" spans="6:31" ht="24" customHeight="1">
      <c r="K1402" s="162" t="s">
        <v>528</v>
      </c>
      <c r="M1402" s="233">
        <v>1.823</v>
      </c>
      <c r="N1402" s="165" t="s">
        <v>250</v>
      </c>
      <c r="O1402" s="154" t="s">
        <v>2064</v>
      </c>
      <c r="P1402" s="76">
        <f>ROUND(AE17+AE11+(AE20*0.5),2)</f>
        <v>1437.15</v>
      </c>
      <c r="Q1402" s="165" t="s">
        <v>250</v>
      </c>
      <c r="R1402" s="167">
        <f t="shared" si="178"/>
        <v>2619.92445</v>
      </c>
      <c r="S1402" s="198">
        <f>8*0.775</f>
        <v>6.2</v>
      </c>
      <c r="T1402" s="165" t="s">
        <v>31</v>
      </c>
      <c r="U1402" s="154" t="s">
        <v>2045</v>
      </c>
      <c r="V1402" s="167">
        <f>V1386</f>
        <v>287</v>
      </c>
      <c r="W1402" s="165" t="s">
        <v>31</v>
      </c>
      <c r="X1402" s="167">
        <f>V1402*S1402</f>
        <v>1779.4</v>
      </c>
      <c r="Y1402" s="233">
        <v>2.65</v>
      </c>
      <c r="Z1402" s="165" t="s">
        <v>31</v>
      </c>
      <c r="AA1402" s="154" t="s">
        <v>2045</v>
      </c>
      <c r="AB1402" s="167">
        <f t="shared" si="179"/>
        <v>287</v>
      </c>
      <c r="AC1402" s="165" t="s">
        <v>31</v>
      </c>
      <c r="AD1402" s="167">
        <f t="shared" si="180"/>
        <v>760.55</v>
      </c>
      <c r="AE1402" s="172">
        <f t="shared" si="163"/>
        <v>0</v>
      </c>
    </row>
    <row r="1403" spans="6:31" ht="24" customHeight="1">
      <c r="F1403" s="155" t="s">
        <v>2087</v>
      </c>
      <c r="G1403" s="165" t="s">
        <v>307</v>
      </c>
      <c r="H1403" s="154" t="s">
        <v>2088</v>
      </c>
      <c r="N1403" s="156"/>
      <c r="O1403" s="154" t="s">
        <v>2066</v>
      </c>
      <c r="Q1403" s="160"/>
      <c r="R1403" s="167">
        <v>0.51</v>
      </c>
      <c r="S1403" s="198">
        <f>8.4*1.123</f>
        <v>9.4332000000000011</v>
      </c>
      <c r="T1403" s="165" t="s">
        <v>31</v>
      </c>
      <c r="U1403" s="154" t="s">
        <v>2045</v>
      </c>
      <c r="V1403" s="167">
        <f t="shared" ref="V1403:V1413" si="181">V1387</f>
        <v>287</v>
      </c>
      <c r="W1403" s="165" t="s">
        <v>31</v>
      </c>
      <c r="X1403" s="167">
        <f t="shared" ref="X1403:X1413" si="182">V1403*S1403</f>
        <v>2707.3284000000003</v>
      </c>
      <c r="Y1403" s="233">
        <v>0.46</v>
      </c>
      <c r="Z1403" s="165" t="s">
        <v>31</v>
      </c>
      <c r="AA1403" s="154" t="s">
        <v>2045</v>
      </c>
      <c r="AB1403" s="167">
        <f t="shared" si="179"/>
        <v>287</v>
      </c>
      <c r="AC1403" s="165" t="s">
        <v>31</v>
      </c>
      <c r="AD1403" s="167">
        <f t="shared" si="180"/>
        <v>132.02000000000001</v>
      </c>
      <c r="AE1403" s="172">
        <f t="shared" si="163"/>
        <v>0</v>
      </c>
    </row>
    <row r="1404" spans="6:31" ht="24" customHeight="1">
      <c r="H1404" s="162" t="s">
        <v>534</v>
      </c>
      <c r="L1404" s="76">
        <f>5.85*1.123</f>
        <v>6.5695499999999996</v>
      </c>
      <c r="R1404" s="166">
        <f>SUM(R1391:R1403)</f>
        <v>10113.524649999999</v>
      </c>
      <c r="S1404" s="198">
        <f>24.24*0.663</f>
        <v>16.071120000000001</v>
      </c>
      <c r="T1404" s="165" t="s">
        <v>31</v>
      </c>
      <c r="U1404" s="154" t="s">
        <v>2045</v>
      </c>
      <c r="V1404" s="167">
        <f t="shared" si="181"/>
        <v>287</v>
      </c>
      <c r="W1404" s="165" t="s">
        <v>31</v>
      </c>
      <c r="X1404" s="167">
        <f t="shared" si="182"/>
        <v>4612.4114399999999</v>
      </c>
      <c r="Y1404" s="233">
        <v>0.41699999999999998</v>
      </c>
      <c r="Z1404" s="165" t="s">
        <v>141</v>
      </c>
      <c r="AA1404" s="154" t="s">
        <v>2051</v>
      </c>
      <c r="AB1404" s="167">
        <f t="shared" si="179"/>
        <v>208.8</v>
      </c>
      <c r="AC1404" s="165" t="s">
        <v>141</v>
      </c>
      <c r="AD1404" s="167">
        <f t="shared" si="180"/>
        <v>87.069599999999994</v>
      </c>
      <c r="AE1404" s="172">
        <f t="shared" si="163"/>
        <v>0</v>
      </c>
    </row>
    <row r="1405" spans="6:31" ht="24" customHeight="1">
      <c r="F1405" s="167">
        <v>0.14000000000000001</v>
      </c>
      <c r="G1405" s="165" t="s">
        <v>577</v>
      </c>
      <c r="H1405" s="154" t="s">
        <v>702</v>
      </c>
      <c r="I1405" s="167">
        <f>(K40)</f>
        <v>3667.67</v>
      </c>
      <c r="J1405" s="154" t="s">
        <v>577</v>
      </c>
      <c r="K1405" s="167">
        <f>(F1405*I1405)</f>
        <v>513.4738000000001</v>
      </c>
      <c r="O1405" s="344"/>
      <c r="S1405" s="198">
        <f>23.02*0.124</f>
        <v>2.8544800000000001</v>
      </c>
      <c r="T1405" s="165" t="s">
        <v>31</v>
      </c>
      <c r="U1405" s="154" t="s">
        <v>2045</v>
      </c>
      <c r="V1405" s="167">
        <f t="shared" si="181"/>
        <v>287</v>
      </c>
      <c r="W1405" s="165" t="s">
        <v>31</v>
      </c>
      <c r="X1405" s="167">
        <f t="shared" si="182"/>
        <v>819.23576000000003</v>
      </c>
      <c r="Y1405" s="233">
        <v>3.6960000000000002</v>
      </c>
      <c r="Z1405" s="165" t="s">
        <v>41</v>
      </c>
      <c r="AA1405" s="154" t="s">
        <v>2054</v>
      </c>
      <c r="AB1405" s="167">
        <f t="shared" si="179"/>
        <v>28.4</v>
      </c>
      <c r="AC1405" s="165" t="s">
        <v>41</v>
      </c>
      <c r="AD1405" s="167">
        <f t="shared" si="180"/>
        <v>104.96639999999999</v>
      </c>
      <c r="AE1405" s="172">
        <f t="shared" si="163"/>
        <v>0</v>
      </c>
    </row>
    <row r="1406" spans="6:31" ht="24" customHeight="1">
      <c r="F1406" s="167">
        <v>1.1000000000000001</v>
      </c>
      <c r="G1406" s="165" t="s">
        <v>576</v>
      </c>
      <c r="H1406" s="154" t="s">
        <v>778</v>
      </c>
      <c r="I1406" s="167">
        <f>(C10)</f>
        <v>717.2</v>
      </c>
      <c r="J1406" s="154" t="s">
        <v>576</v>
      </c>
      <c r="K1406" s="167">
        <f>(F1406*I1406)</f>
        <v>788.92000000000007</v>
      </c>
      <c r="S1406" s="198">
        <f>3.31</f>
        <v>3.31</v>
      </c>
      <c r="T1406" s="165" t="s">
        <v>141</v>
      </c>
      <c r="U1406" s="154" t="s">
        <v>2051</v>
      </c>
      <c r="V1406" s="167">
        <f t="shared" si="181"/>
        <v>208.8</v>
      </c>
      <c r="W1406" s="165" t="s">
        <v>141</v>
      </c>
      <c r="X1406" s="167">
        <f t="shared" si="182"/>
        <v>691.12800000000004</v>
      </c>
      <c r="Y1406" s="233">
        <v>4</v>
      </c>
      <c r="Z1406" s="165" t="s">
        <v>680</v>
      </c>
      <c r="AA1406" s="154" t="s">
        <v>2056</v>
      </c>
      <c r="AB1406" s="167">
        <f t="shared" si="179"/>
        <v>62.9</v>
      </c>
      <c r="AC1406" s="165" t="s">
        <v>680</v>
      </c>
      <c r="AD1406" s="167">
        <f t="shared" si="180"/>
        <v>251.6</v>
      </c>
      <c r="AE1406" s="172">
        <f t="shared" ref="AE1406:AE1469" si="183">AG1406</f>
        <v>0</v>
      </c>
    </row>
    <row r="1407" spans="6:31" ht="24" customHeight="1">
      <c r="F1407" s="167">
        <v>0.5</v>
      </c>
      <c r="G1407" s="165" t="s">
        <v>576</v>
      </c>
      <c r="H1407" s="154" t="s">
        <v>754</v>
      </c>
      <c r="I1407" s="167">
        <f>(C12)</f>
        <v>468.6</v>
      </c>
      <c r="J1407" s="154" t="s">
        <v>576</v>
      </c>
      <c r="K1407" s="167">
        <f>(F1407*I1407)</f>
        <v>234.3</v>
      </c>
      <c r="N1407" s="156"/>
      <c r="O1407" s="308" t="s">
        <v>2089</v>
      </c>
      <c r="Q1407" s="158"/>
      <c r="S1407" s="198">
        <v>23.02</v>
      </c>
      <c r="T1407" s="165" t="s">
        <v>41</v>
      </c>
      <c r="U1407" s="154" t="s">
        <v>2054</v>
      </c>
      <c r="V1407" s="167">
        <f t="shared" si="181"/>
        <v>28.4</v>
      </c>
      <c r="W1407" s="165" t="s">
        <v>41</v>
      </c>
      <c r="X1407" s="167">
        <f t="shared" si="182"/>
        <v>653.76799999999992</v>
      </c>
      <c r="Y1407" s="233">
        <v>2</v>
      </c>
      <c r="Z1407" s="165" t="s">
        <v>680</v>
      </c>
      <c r="AA1407" s="154" t="s">
        <v>2058</v>
      </c>
      <c r="AB1407" s="167">
        <f t="shared" si="179"/>
        <v>50.4</v>
      </c>
      <c r="AC1407" s="165" t="s">
        <v>680</v>
      </c>
      <c r="AD1407" s="167">
        <f t="shared" si="180"/>
        <v>100.8</v>
      </c>
      <c r="AE1407" s="172">
        <f t="shared" si="183"/>
        <v>0</v>
      </c>
    </row>
    <row r="1408" spans="6:31" ht="24" customHeight="1">
      <c r="F1408" s="167">
        <v>1.1000000000000001</v>
      </c>
      <c r="G1408" s="165" t="s">
        <v>576</v>
      </c>
      <c r="H1408" s="154" t="s">
        <v>756</v>
      </c>
      <c r="I1408" s="167">
        <f>(C13)</f>
        <v>404.8</v>
      </c>
      <c r="J1408" s="154" t="s">
        <v>576</v>
      </c>
      <c r="K1408" s="167">
        <f>(F1408*I1408)</f>
        <v>445.28000000000003</v>
      </c>
      <c r="M1408" s="233">
        <v>3.95</v>
      </c>
      <c r="N1408" s="165" t="s">
        <v>31</v>
      </c>
      <c r="O1408" s="223" t="s">
        <v>2090</v>
      </c>
      <c r="P1408" s="167">
        <f>P1391</f>
        <v>287</v>
      </c>
      <c r="Q1408" s="165" t="s">
        <v>31</v>
      </c>
      <c r="R1408" s="167">
        <f>P1408*M1408</f>
        <v>1133.6500000000001</v>
      </c>
      <c r="S1408" s="198">
        <v>16</v>
      </c>
      <c r="T1408" s="165" t="s">
        <v>680</v>
      </c>
      <c r="U1408" s="154" t="s">
        <v>2056</v>
      </c>
      <c r="V1408" s="167">
        <f t="shared" si="181"/>
        <v>62.9</v>
      </c>
      <c r="W1408" s="165" t="s">
        <v>680</v>
      </c>
      <c r="X1408" s="167">
        <f t="shared" si="182"/>
        <v>1006.4</v>
      </c>
      <c r="Y1408" s="233">
        <v>2</v>
      </c>
      <c r="Z1408" s="165" t="s">
        <v>680</v>
      </c>
      <c r="AA1408" s="154" t="s">
        <v>2061</v>
      </c>
      <c r="AB1408" s="167">
        <f t="shared" si="179"/>
        <v>30</v>
      </c>
      <c r="AC1408" s="165" t="s">
        <v>680</v>
      </c>
      <c r="AD1408" s="167">
        <f t="shared" si="180"/>
        <v>60</v>
      </c>
      <c r="AE1408" s="172">
        <f t="shared" si="183"/>
        <v>0</v>
      </c>
    </row>
    <row r="1409" spans="6:31" ht="24" customHeight="1">
      <c r="G1409" s="165" t="s">
        <v>589</v>
      </c>
      <c r="H1409" s="154" t="s">
        <v>1945</v>
      </c>
      <c r="I1409" s="154" t="s">
        <v>22</v>
      </c>
      <c r="J1409" s="154" t="s">
        <v>589</v>
      </c>
      <c r="K1409" s="167">
        <v>5</v>
      </c>
      <c r="M1409" s="233">
        <v>2.86</v>
      </c>
      <c r="N1409" s="165" t="s">
        <v>31</v>
      </c>
      <c r="O1409" s="154" t="s">
        <v>2045</v>
      </c>
      <c r="P1409" s="167">
        <f t="shared" ref="P1409:P1419" si="184">P1392</f>
        <v>287</v>
      </c>
      <c r="Q1409" s="165" t="s">
        <v>31</v>
      </c>
      <c r="R1409" s="167">
        <f t="shared" ref="R1409:R1419" si="185">P1409*M1409</f>
        <v>820.81999999999994</v>
      </c>
      <c r="S1409" s="198">
        <v>8</v>
      </c>
      <c r="T1409" s="165" t="s">
        <v>680</v>
      </c>
      <c r="U1409" s="154" t="s">
        <v>2058</v>
      </c>
      <c r="V1409" s="167">
        <f t="shared" si="181"/>
        <v>50.4</v>
      </c>
      <c r="W1409" s="165" t="s">
        <v>680</v>
      </c>
      <c r="X1409" s="167">
        <f t="shared" si="182"/>
        <v>403.2</v>
      </c>
      <c r="Y1409" s="233">
        <v>2</v>
      </c>
      <c r="Z1409" s="165" t="s">
        <v>680</v>
      </c>
      <c r="AA1409" s="154" t="s">
        <v>2062</v>
      </c>
      <c r="AB1409" s="167">
        <f t="shared" si="179"/>
        <v>20</v>
      </c>
      <c r="AC1409" s="165" t="s">
        <v>680</v>
      </c>
      <c r="AD1409" s="167">
        <f t="shared" si="180"/>
        <v>40</v>
      </c>
      <c r="AE1409" s="172">
        <f t="shared" si="183"/>
        <v>0</v>
      </c>
    </row>
    <row r="1410" spans="6:31" ht="24" customHeight="1">
      <c r="G1410" s="165"/>
      <c r="H1410" s="154"/>
      <c r="I1410" s="154"/>
      <c r="J1410" s="154"/>
      <c r="K1410" s="167"/>
      <c r="M1410" s="233">
        <v>6.55</v>
      </c>
      <c r="N1410" s="165" t="s">
        <v>31</v>
      </c>
      <c r="O1410" s="154" t="s">
        <v>2045</v>
      </c>
      <c r="P1410" s="167">
        <f t="shared" si="184"/>
        <v>287</v>
      </c>
      <c r="Q1410" s="165" t="s">
        <v>31</v>
      </c>
      <c r="R1410" s="167">
        <f t="shared" si="185"/>
        <v>1879.85</v>
      </c>
      <c r="S1410" s="198">
        <v>8</v>
      </c>
      <c r="T1410" s="165" t="s">
        <v>680</v>
      </c>
      <c r="U1410" s="154" t="s">
        <v>2061</v>
      </c>
      <c r="V1410" s="167">
        <f t="shared" si="181"/>
        <v>30</v>
      </c>
      <c r="W1410" s="165" t="s">
        <v>680</v>
      </c>
      <c r="X1410" s="167">
        <f t="shared" si="182"/>
        <v>240</v>
      </c>
      <c r="Y1410" s="233">
        <v>2</v>
      </c>
      <c r="Z1410" s="165" t="s">
        <v>680</v>
      </c>
      <c r="AA1410" s="154" t="s">
        <v>2063</v>
      </c>
      <c r="AB1410" s="167">
        <f t="shared" si="179"/>
        <v>15</v>
      </c>
      <c r="AC1410" s="165" t="s">
        <v>680</v>
      </c>
      <c r="AD1410" s="167">
        <f t="shared" si="180"/>
        <v>30</v>
      </c>
      <c r="AE1410" s="172">
        <f t="shared" si="183"/>
        <v>0</v>
      </c>
    </row>
    <row r="1411" spans="6:31" ht="24" customHeight="1">
      <c r="K1411" s="162" t="s">
        <v>534</v>
      </c>
      <c r="M1411" s="233">
        <v>1.1499999999999999</v>
      </c>
      <c r="N1411" s="165" t="s">
        <v>31</v>
      </c>
      <c r="O1411" s="154" t="s">
        <v>2045</v>
      </c>
      <c r="P1411" s="167">
        <f t="shared" si="184"/>
        <v>287</v>
      </c>
      <c r="Q1411" s="165" t="s">
        <v>31</v>
      </c>
      <c r="R1411" s="167">
        <f t="shared" si="185"/>
        <v>330.04999999999995</v>
      </c>
      <c r="S1411" s="198">
        <v>8</v>
      </c>
      <c r="T1411" s="165" t="s">
        <v>680</v>
      </c>
      <c r="U1411" s="154" t="s">
        <v>2062</v>
      </c>
      <c r="V1411" s="167">
        <f t="shared" si="181"/>
        <v>20</v>
      </c>
      <c r="W1411" s="165" t="s">
        <v>680</v>
      </c>
      <c r="X1411" s="167">
        <f t="shared" si="182"/>
        <v>160</v>
      </c>
      <c r="Y1411" s="233">
        <v>0.54</v>
      </c>
      <c r="Z1411" s="165" t="s">
        <v>250</v>
      </c>
      <c r="AA1411" s="154" t="s">
        <v>2064</v>
      </c>
      <c r="AB1411" s="167">
        <f t="shared" si="179"/>
        <v>1437.15</v>
      </c>
      <c r="AC1411" s="165" t="s">
        <v>250</v>
      </c>
      <c r="AD1411" s="167">
        <f t="shared" si="180"/>
        <v>776.06100000000015</v>
      </c>
      <c r="AE1411" s="172">
        <f t="shared" si="183"/>
        <v>0</v>
      </c>
    </row>
    <row r="1412" spans="6:31" ht="24" customHeight="1">
      <c r="H1412" s="154" t="s">
        <v>879</v>
      </c>
      <c r="K1412" s="167">
        <f>SUM(K1405:K1409)</f>
        <v>1986.9738000000002</v>
      </c>
      <c r="L1412" s="76">
        <f>SUM(K1433:K1436)</f>
        <v>2078.5738000000001</v>
      </c>
      <c r="M1412" s="233">
        <v>1.3380000000000001</v>
      </c>
      <c r="N1412" s="165" t="s">
        <v>141</v>
      </c>
      <c r="O1412" s="154" t="s">
        <v>2051</v>
      </c>
      <c r="P1412" s="167">
        <f t="shared" si="184"/>
        <v>208.8</v>
      </c>
      <c r="Q1412" s="165" t="s">
        <v>141</v>
      </c>
      <c r="R1412" s="167">
        <f t="shared" si="185"/>
        <v>279.37440000000004</v>
      </c>
      <c r="S1412" s="198">
        <v>4</v>
      </c>
      <c r="T1412" s="165" t="s">
        <v>680</v>
      </c>
      <c r="U1412" s="154" t="s">
        <v>2063</v>
      </c>
      <c r="V1412" s="167">
        <f t="shared" si="181"/>
        <v>15</v>
      </c>
      <c r="W1412" s="165" t="s">
        <v>680</v>
      </c>
      <c r="X1412" s="167">
        <f t="shared" si="182"/>
        <v>60</v>
      </c>
      <c r="Z1412" s="156"/>
      <c r="AA1412" s="154" t="s">
        <v>2066</v>
      </c>
      <c r="AC1412" s="160"/>
      <c r="AD1412" s="167">
        <v>0.7</v>
      </c>
      <c r="AE1412" s="172">
        <f t="shared" si="183"/>
        <v>0</v>
      </c>
    </row>
    <row r="1413" spans="6:31" ht="24" customHeight="1">
      <c r="K1413" s="162" t="s">
        <v>534</v>
      </c>
      <c r="M1413" s="233">
        <v>9.2720000000000002</v>
      </c>
      <c r="N1413" s="165" t="s">
        <v>41</v>
      </c>
      <c r="O1413" s="223" t="s">
        <v>2091</v>
      </c>
      <c r="P1413" s="167">
        <f t="shared" si="184"/>
        <v>28.4</v>
      </c>
      <c r="Q1413" s="165" t="s">
        <v>41</v>
      </c>
      <c r="R1413" s="167">
        <f t="shared" si="185"/>
        <v>263.32479999999998</v>
      </c>
      <c r="S1413" s="198">
        <v>3.96</v>
      </c>
      <c r="T1413" s="165" t="s">
        <v>250</v>
      </c>
      <c r="U1413" s="154" t="s">
        <v>2064</v>
      </c>
      <c r="V1413" s="167">
        <f t="shared" si="181"/>
        <v>1437.15</v>
      </c>
      <c r="W1413" s="165" t="s">
        <v>250</v>
      </c>
      <c r="X1413" s="167">
        <f t="shared" si="182"/>
        <v>5691.1140000000005</v>
      </c>
      <c r="AA1413" s="164" t="s">
        <v>2068</v>
      </c>
      <c r="AD1413" s="166">
        <f>SUM(AD1400:AD1412)</f>
        <v>3204.7670000000003</v>
      </c>
      <c r="AE1413" s="172">
        <f t="shared" si="183"/>
        <v>0</v>
      </c>
    </row>
    <row r="1414" spans="6:31" ht="24" customHeight="1">
      <c r="H1414" s="169" t="s">
        <v>881</v>
      </c>
      <c r="K1414" s="166">
        <f>(K1412/10)</f>
        <v>198.69738000000001</v>
      </c>
      <c r="M1414" s="233">
        <v>8</v>
      </c>
      <c r="N1414" s="165" t="s">
        <v>680</v>
      </c>
      <c r="O1414" s="223" t="s">
        <v>2092</v>
      </c>
      <c r="P1414" s="167">
        <f t="shared" si="184"/>
        <v>62.9</v>
      </c>
      <c r="Q1414" s="165" t="s">
        <v>680</v>
      </c>
      <c r="R1414" s="167">
        <f t="shared" si="185"/>
        <v>503.2</v>
      </c>
      <c r="T1414" s="156"/>
      <c r="U1414" s="154" t="s">
        <v>2066</v>
      </c>
      <c r="W1414" s="160"/>
      <c r="X1414" s="167">
        <v>0.09</v>
      </c>
      <c r="AE1414" s="172">
        <f t="shared" si="183"/>
        <v>0</v>
      </c>
    </row>
    <row r="1415" spans="6:31" ht="24" customHeight="1">
      <c r="K1415" s="162" t="s">
        <v>528</v>
      </c>
      <c r="M1415" s="233">
        <v>4</v>
      </c>
      <c r="N1415" s="165" t="s">
        <v>680</v>
      </c>
      <c r="O1415" s="223" t="s">
        <v>2083</v>
      </c>
      <c r="P1415" s="167">
        <f t="shared" si="184"/>
        <v>50.4</v>
      </c>
      <c r="Q1415" s="165" t="s">
        <v>680</v>
      </c>
      <c r="R1415" s="167">
        <f t="shared" si="185"/>
        <v>201.6</v>
      </c>
      <c r="U1415" s="164" t="s">
        <v>2068</v>
      </c>
      <c r="X1415" s="166">
        <f>SUM(X1402:X1414)</f>
        <v>18824.0756</v>
      </c>
      <c r="AE1415" s="172">
        <f t="shared" si="183"/>
        <v>0</v>
      </c>
    </row>
    <row r="1416" spans="6:31" ht="24" customHeight="1">
      <c r="F1416" s="155" t="s">
        <v>2093</v>
      </c>
      <c r="G1416" s="165" t="s">
        <v>307</v>
      </c>
      <c r="H1416" s="154" t="s">
        <v>2094</v>
      </c>
      <c r="M1416" s="233">
        <v>4</v>
      </c>
      <c r="N1416" s="165" t="s">
        <v>680</v>
      </c>
      <c r="O1416" s="154" t="s">
        <v>2061</v>
      </c>
      <c r="P1416" s="167">
        <f t="shared" si="184"/>
        <v>30</v>
      </c>
      <c r="Q1416" s="165" t="s">
        <v>680</v>
      </c>
      <c r="R1416" s="167">
        <f t="shared" si="185"/>
        <v>120</v>
      </c>
      <c r="Z1416" s="156"/>
      <c r="AA1416" s="308" t="s">
        <v>2095</v>
      </c>
      <c r="AC1416" s="158"/>
      <c r="AE1416" s="172">
        <f t="shared" si="183"/>
        <v>0</v>
      </c>
    </row>
    <row r="1417" spans="6:31" ht="24" customHeight="1">
      <c r="H1417" s="162" t="s">
        <v>534</v>
      </c>
      <c r="M1417" s="233">
        <v>4</v>
      </c>
      <c r="N1417" s="165" t="s">
        <v>680</v>
      </c>
      <c r="O1417" s="154" t="s">
        <v>2062</v>
      </c>
      <c r="P1417" s="167">
        <f t="shared" si="184"/>
        <v>20</v>
      </c>
      <c r="Q1417" s="165" t="s">
        <v>680</v>
      </c>
      <c r="R1417" s="167">
        <f t="shared" si="185"/>
        <v>80</v>
      </c>
      <c r="Y1417" s="233">
        <f>4.2*0.775</f>
        <v>3.2550000000000003</v>
      </c>
      <c r="Z1417" s="165" t="s">
        <v>31</v>
      </c>
      <c r="AA1417" s="154" t="s">
        <v>2045</v>
      </c>
      <c r="AB1417" s="167">
        <f>AB1400</f>
        <v>287</v>
      </c>
      <c r="AC1417" s="165" t="s">
        <v>31</v>
      </c>
      <c r="AD1417" s="167">
        <f t="shared" ref="AD1417:AD1428" si="186">AB1417*Y1417</f>
        <v>934.18500000000006</v>
      </c>
      <c r="AE1417" s="172">
        <f t="shared" si="183"/>
        <v>0</v>
      </c>
    </row>
    <row r="1418" spans="6:31" ht="24" customHeight="1">
      <c r="F1418" s="167">
        <v>0.1</v>
      </c>
      <c r="G1418" s="165" t="s">
        <v>577</v>
      </c>
      <c r="H1418" s="154" t="s">
        <v>660</v>
      </c>
      <c r="I1418" s="167">
        <f>(K32)</f>
        <v>4357.67</v>
      </c>
      <c r="J1418" s="154" t="s">
        <v>577</v>
      </c>
      <c r="K1418" s="167">
        <f>(F1418*I1418)</f>
        <v>435.76700000000005</v>
      </c>
      <c r="M1418" s="233">
        <v>4</v>
      </c>
      <c r="N1418" s="165" t="s">
        <v>680</v>
      </c>
      <c r="O1418" s="154" t="s">
        <v>2063</v>
      </c>
      <c r="P1418" s="167">
        <f t="shared" si="184"/>
        <v>15</v>
      </c>
      <c r="Q1418" s="165" t="s">
        <v>680</v>
      </c>
      <c r="R1418" s="167">
        <f t="shared" si="185"/>
        <v>60</v>
      </c>
      <c r="U1418" s="199" t="s">
        <v>2096</v>
      </c>
      <c r="Y1418" s="233">
        <v>2.3580000000000001</v>
      </c>
      <c r="Z1418" s="165" t="s">
        <v>31</v>
      </c>
      <c r="AA1418" s="154" t="s">
        <v>2045</v>
      </c>
      <c r="AB1418" s="167">
        <f t="shared" ref="AB1418:AB1428" si="187">AB1401</f>
        <v>287</v>
      </c>
      <c r="AC1418" s="165" t="s">
        <v>31</v>
      </c>
      <c r="AD1418" s="167">
        <f t="shared" si="186"/>
        <v>676.74599999999998</v>
      </c>
      <c r="AE1418" s="172">
        <f t="shared" si="183"/>
        <v>0</v>
      </c>
    </row>
    <row r="1419" spans="6:31" ht="24" customHeight="1">
      <c r="F1419" s="167">
        <v>1.1000000000000001</v>
      </c>
      <c r="G1419" s="165" t="s">
        <v>576</v>
      </c>
      <c r="H1419" s="154" t="s">
        <v>778</v>
      </c>
      <c r="I1419" s="167">
        <f>(C10)</f>
        <v>717.2</v>
      </c>
      <c r="J1419" s="154" t="s">
        <v>576</v>
      </c>
      <c r="K1419" s="167">
        <f>(F1419*I1419)</f>
        <v>788.92000000000007</v>
      </c>
      <c r="L1419" s="76">
        <f>M1458+M1459+M1460</f>
        <v>11.742000000000001</v>
      </c>
      <c r="M1419" s="233">
        <v>1.62</v>
      </c>
      <c r="N1419" s="165" t="s">
        <v>250</v>
      </c>
      <c r="O1419" s="154" t="s">
        <v>2064</v>
      </c>
      <c r="P1419" s="167">
        <f t="shared" si="184"/>
        <v>1437.15</v>
      </c>
      <c r="Q1419" s="165" t="s">
        <v>250</v>
      </c>
      <c r="R1419" s="167">
        <f t="shared" si="185"/>
        <v>2328.1830000000004</v>
      </c>
      <c r="S1419" s="198">
        <v>4.42</v>
      </c>
      <c r="T1419" s="165" t="s">
        <v>31</v>
      </c>
      <c r="U1419" s="154" t="s">
        <v>2045</v>
      </c>
      <c r="V1419" s="167">
        <f>P1458</f>
        <v>287</v>
      </c>
      <c r="W1419" s="165" t="s">
        <v>31</v>
      </c>
      <c r="X1419" s="172">
        <f>V1419*S1419</f>
        <v>1268.54</v>
      </c>
      <c r="Y1419" s="233">
        <f>8.08*0.663</f>
        <v>5.3570400000000005</v>
      </c>
      <c r="Z1419" s="165" t="s">
        <v>31</v>
      </c>
      <c r="AA1419" s="154" t="s">
        <v>2045</v>
      </c>
      <c r="AB1419" s="167">
        <f t="shared" si="187"/>
        <v>287</v>
      </c>
      <c r="AC1419" s="165" t="s">
        <v>31</v>
      </c>
      <c r="AD1419" s="167">
        <f t="shared" si="186"/>
        <v>1537.4704800000002</v>
      </c>
      <c r="AE1419" s="172">
        <f t="shared" si="183"/>
        <v>0</v>
      </c>
    </row>
    <row r="1420" spans="6:31" ht="24" customHeight="1">
      <c r="F1420" s="167">
        <v>1.1000000000000001</v>
      </c>
      <c r="G1420" s="165" t="s">
        <v>576</v>
      </c>
      <c r="H1420" s="154" t="s">
        <v>754</v>
      </c>
      <c r="I1420" s="167">
        <f>(C12)</f>
        <v>468.6</v>
      </c>
      <c r="J1420" s="154" t="s">
        <v>576</v>
      </c>
      <c r="K1420" s="167">
        <f>(F1420*I1420)</f>
        <v>515.46</v>
      </c>
      <c r="N1420" s="156"/>
      <c r="O1420" s="154" t="s">
        <v>2066</v>
      </c>
      <c r="Q1420" s="160"/>
      <c r="R1420" s="167">
        <v>0.25</v>
      </c>
      <c r="S1420" s="198">
        <v>4.72</v>
      </c>
      <c r="T1420" s="165" t="s">
        <v>31</v>
      </c>
      <c r="U1420" s="154" t="s">
        <v>2045</v>
      </c>
      <c r="V1420" s="167">
        <f>P1459</f>
        <v>287</v>
      </c>
      <c r="W1420" s="165" t="s">
        <v>31</v>
      </c>
      <c r="X1420" s="172">
        <f t="shared" ref="X1420:X1430" si="188">V1420*S1420</f>
        <v>1354.6399999999999</v>
      </c>
      <c r="Y1420" s="233">
        <v>0.92600000000000005</v>
      </c>
      <c r="Z1420" s="165" t="s">
        <v>31</v>
      </c>
      <c r="AA1420" s="154" t="s">
        <v>2045</v>
      </c>
      <c r="AB1420" s="167">
        <f t="shared" si="187"/>
        <v>287</v>
      </c>
      <c r="AC1420" s="165" t="s">
        <v>31</v>
      </c>
      <c r="AD1420" s="167">
        <f t="shared" si="186"/>
        <v>265.762</v>
      </c>
      <c r="AE1420" s="172">
        <f t="shared" si="183"/>
        <v>0</v>
      </c>
    </row>
    <row r="1421" spans="6:31" ht="24" customHeight="1">
      <c r="F1421" s="167">
        <v>1.1000000000000001</v>
      </c>
      <c r="G1421" s="165" t="s">
        <v>576</v>
      </c>
      <c r="H1421" s="154" t="s">
        <v>756</v>
      </c>
      <c r="I1421" s="167">
        <f>(C13)</f>
        <v>404.8</v>
      </c>
      <c r="J1421" s="154" t="s">
        <v>576</v>
      </c>
      <c r="K1421" s="167">
        <f>(F1421*I1421)</f>
        <v>445.28000000000003</v>
      </c>
      <c r="R1421" s="166">
        <f>SUM(R1408:R1420)</f>
        <v>8000.3022000000001</v>
      </c>
      <c r="S1421" s="198">
        <v>9.06</v>
      </c>
      <c r="T1421" s="165" t="s">
        <v>31</v>
      </c>
      <c r="U1421" s="154" t="s">
        <v>2045</v>
      </c>
      <c r="V1421" s="167">
        <f>P1460</f>
        <v>287</v>
      </c>
      <c r="W1421" s="165" t="s">
        <v>31</v>
      </c>
      <c r="X1421" s="172">
        <f t="shared" si="188"/>
        <v>2600.2200000000003</v>
      </c>
      <c r="Y1421" s="233">
        <v>0.85</v>
      </c>
      <c r="Z1421" s="165" t="s">
        <v>141</v>
      </c>
      <c r="AA1421" s="154" t="s">
        <v>2051</v>
      </c>
      <c r="AB1421" s="167">
        <f t="shared" si="187"/>
        <v>208.8</v>
      </c>
      <c r="AC1421" s="165" t="s">
        <v>141</v>
      </c>
      <c r="AD1421" s="167">
        <f t="shared" si="186"/>
        <v>177.48000000000002</v>
      </c>
      <c r="AE1421" s="172">
        <f t="shared" si="183"/>
        <v>0</v>
      </c>
    </row>
    <row r="1422" spans="6:31" ht="24" customHeight="1">
      <c r="G1422" s="165" t="s">
        <v>589</v>
      </c>
      <c r="H1422" s="154" t="s">
        <v>1945</v>
      </c>
      <c r="I1422" s="154" t="s">
        <v>22</v>
      </c>
      <c r="J1422" s="154" t="s">
        <v>589</v>
      </c>
      <c r="K1422" s="167">
        <v>5</v>
      </c>
      <c r="M1422" s="167"/>
      <c r="N1422" s="165"/>
      <c r="O1422" s="154"/>
      <c r="P1422" s="167"/>
      <c r="Q1422" s="155"/>
      <c r="R1422" s="167"/>
      <c r="S1422" s="198">
        <v>1.58</v>
      </c>
      <c r="T1422" s="165" t="s">
        <v>31</v>
      </c>
      <c r="U1422" s="154" t="s">
        <v>2045</v>
      </c>
      <c r="V1422" s="167">
        <f>P1461</f>
        <v>287</v>
      </c>
      <c r="W1422" s="165" t="s">
        <v>31</v>
      </c>
      <c r="X1422" s="172">
        <f t="shared" si="188"/>
        <v>453.46000000000004</v>
      </c>
      <c r="Y1422" s="233">
        <v>7.4720000000000004</v>
      </c>
      <c r="Z1422" s="165" t="s">
        <v>41</v>
      </c>
      <c r="AA1422" s="154" t="s">
        <v>2054</v>
      </c>
      <c r="AB1422" s="167">
        <f t="shared" si="187"/>
        <v>28.4</v>
      </c>
      <c r="AC1422" s="165" t="s">
        <v>41</v>
      </c>
      <c r="AD1422" s="167">
        <f t="shared" si="186"/>
        <v>212.20480000000001</v>
      </c>
      <c r="AE1422" s="172">
        <f t="shared" si="183"/>
        <v>0</v>
      </c>
    </row>
    <row r="1423" spans="6:31" ht="24" customHeight="1">
      <c r="K1423" s="162" t="s">
        <v>534</v>
      </c>
      <c r="M1423" s="167"/>
      <c r="N1423" s="165"/>
      <c r="O1423" s="154"/>
      <c r="P1423" s="167"/>
      <c r="Q1423" s="155"/>
      <c r="R1423" s="167"/>
      <c r="S1423" s="198">
        <v>1.65</v>
      </c>
      <c r="T1423" s="165" t="s">
        <v>141</v>
      </c>
      <c r="U1423" s="154" t="s">
        <v>2051</v>
      </c>
      <c r="V1423" s="167">
        <f>P1429</f>
        <v>208.8</v>
      </c>
      <c r="W1423" s="165" t="s">
        <v>141</v>
      </c>
      <c r="X1423" s="172">
        <f t="shared" si="188"/>
        <v>344.52</v>
      </c>
      <c r="Y1423" s="233">
        <v>8</v>
      </c>
      <c r="Z1423" s="165" t="s">
        <v>680</v>
      </c>
      <c r="AA1423" s="154" t="s">
        <v>2056</v>
      </c>
      <c r="AB1423" s="167">
        <f t="shared" si="187"/>
        <v>62.9</v>
      </c>
      <c r="AC1423" s="165" t="s">
        <v>680</v>
      </c>
      <c r="AD1423" s="167">
        <f t="shared" si="186"/>
        <v>503.2</v>
      </c>
      <c r="AE1423" s="172">
        <f t="shared" si="183"/>
        <v>0</v>
      </c>
    </row>
    <row r="1424" spans="6:31" ht="24" customHeight="1">
      <c r="H1424" s="154" t="s">
        <v>879</v>
      </c>
      <c r="K1424" s="167">
        <f>SUM(K1418:K1422)</f>
        <v>2190.4270000000001</v>
      </c>
      <c r="N1424" s="156"/>
      <c r="O1424" s="308" t="s">
        <v>2097</v>
      </c>
      <c r="Q1424" s="158"/>
      <c r="S1424" s="198">
        <v>12.74</v>
      </c>
      <c r="T1424" s="165" t="s">
        <v>41</v>
      </c>
      <c r="U1424" s="154" t="s">
        <v>2054</v>
      </c>
      <c r="V1424" s="167">
        <f>P1463</f>
        <v>28.4</v>
      </c>
      <c r="W1424" s="165" t="s">
        <v>41</v>
      </c>
      <c r="X1424" s="172">
        <f t="shared" si="188"/>
        <v>361.81599999999997</v>
      </c>
      <c r="Y1424" s="233">
        <v>4</v>
      </c>
      <c r="Z1424" s="165" t="s">
        <v>680</v>
      </c>
      <c r="AA1424" s="154" t="s">
        <v>2058</v>
      </c>
      <c r="AB1424" s="167">
        <f t="shared" si="187"/>
        <v>50.4</v>
      </c>
      <c r="AC1424" s="165" t="s">
        <v>680</v>
      </c>
      <c r="AD1424" s="167">
        <f t="shared" si="186"/>
        <v>201.6</v>
      </c>
      <c r="AE1424" s="172">
        <f t="shared" si="183"/>
        <v>0</v>
      </c>
    </row>
    <row r="1425" spans="6:31" ht="24" customHeight="1">
      <c r="H1425" s="160"/>
      <c r="K1425" s="162" t="s">
        <v>534</v>
      </c>
      <c r="M1425" s="233">
        <v>2.79</v>
      </c>
      <c r="N1425" s="165" t="s">
        <v>31</v>
      </c>
      <c r="O1425" s="223" t="s">
        <v>2090</v>
      </c>
      <c r="P1425" s="167">
        <f>P1408</f>
        <v>287</v>
      </c>
      <c r="Q1425" s="165" t="s">
        <v>31</v>
      </c>
      <c r="R1425" s="167">
        <f>P1425*M1425</f>
        <v>800.73</v>
      </c>
      <c r="S1425" s="198">
        <v>12</v>
      </c>
      <c r="T1425" s="165" t="s">
        <v>680</v>
      </c>
      <c r="U1425" s="154" t="s">
        <v>2056</v>
      </c>
      <c r="V1425" s="167">
        <f>P1464</f>
        <v>62.9</v>
      </c>
      <c r="W1425" s="165" t="s">
        <v>680</v>
      </c>
      <c r="X1425" s="172">
        <f t="shared" si="188"/>
        <v>754.8</v>
      </c>
      <c r="Y1425" s="233">
        <v>4</v>
      </c>
      <c r="Z1425" s="165" t="s">
        <v>680</v>
      </c>
      <c r="AA1425" s="154" t="s">
        <v>2061</v>
      </c>
      <c r="AB1425" s="167">
        <f t="shared" si="187"/>
        <v>30</v>
      </c>
      <c r="AC1425" s="165" t="s">
        <v>680</v>
      </c>
      <c r="AD1425" s="167">
        <f t="shared" si="186"/>
        <v>120</v>
      </c>
      <c r="AE1425" s="172">
        <f t="shared" si="183"/>
        <v>0</v>
      </c>
    </row>
    <row r="1426" spans="6:31" ht="24" customHeight="1">
      <c r="H1426" s="169" t="s">
        <v>881</v>
      </c>
      <c r="I1426" s="199"/>
      <c r="J1426" s="207"/>
      <c r="K1426" s="166">
        <f>(K1424/10)</f>
        <v>219.04270000000002</v>
      </c>
      <c r="M1426" s="233">
        <v>0.5</v>
      </c>
      <c r="N1426" s="165" t="s">
        <v>31</v>
      </c>
      <c r="O1426" s="154" t="s">
        <v>2045</v>
      </c>
      <c r="P1426" s="167">
        <f t="shared" ref="P1426:P1436" si="189">P1409</f>
        <v>287</v>
      </c>
      <c r="Q1426" s="165" t="s">
        <v>31</v>
      </c>
      <c r="R1426" s="167">
        <f t="shared" ref="R1426:R1436" si="190">P1426*M1426</f>
        <v>143.5</v>
      </c>
      <c r="S1426" s="198">
        <v>6</v>
      </c>
      <c r="T1426" s="165" t="s">
        <v>680</v>
      </c>
      <c r="U1426" s="154" t="s">
        <v>2058</v>
      </c>
      <c r="V1426" s="167">
        <f>P1465</f>
        <v>50.4</v>
      </c>
      <c r="W1426" s="165" t="s">
        <v>680</v>
      </c>
      <c r="X1426" s="172">
        <f t="shared" si="188"/>
        <v>302.39999999999998</v>
      </c>
      <c r="Y1426" s="233">
        <v>4</v>
      </c>
      <c r="Z1426" s="165" t="s">
        <v>680</v>
      </c>
      <c r="AA1426" s="154" t="s">
        <v>2062</v>
      </c>
      <c r="AB1426" s="167">
        <f t="shared" si="187"/>
        <v>20</v>
      </c>
      <c r="AC1426" s="165" t="s">
        <v>680</v>
      </c>
      <c r="AD1426" s="167">
        <f t="shared" si="186"/>
        <v>80</v>
      </c>
      <c r="AE1426" s="172">
        <f t="shared" si="183"/>
        <v>0</v>
      </c>
    </row>
    <row r="1427" spans="6:31" ht="24" customHeight="1">
      <c r="K1427" s="162" t="s">
        <v>528</v>
      </c>
      <c r="M1427" s="233">
        <v>2.85</v>
      </c>
      <c r="N1427" s="165" t="s">
        <v>31</v>
      </c>
      <c r="O1427" s="154" t="s">
        <v>2045</v>
      </c>
      <c r="P1427" s="167">
        <f t="shared" si="189"/>
        <v>287</v>
      </c>
      <c r="Q1427" s="165" t="s">
        <v>31</v>
      </c>
      <c r="R1427" s="167">
        <f t="shared" si="190"/>
        <v>817.95</v>
      </c>
      <c r="S1427" s="198">
        <v>6</v>
      </c>
      <c r="T1427" s="165" t="s">
        <v>680</v>
      </c>
      <c r="U1427" s="154" t="s">
        <v>2061</v>
      </c>
      <c r="V1427" s="167">
        <v>30</v>
      </c>
      <c r="W1427" s="165" t="s">
        <v>680</v>
      </c>
      <c r="X1427" s="172">
        <f t="shared" si="188"/>
        <v>180</v>
      </c>
      <c r="Y1427" s="233">
        <v>4</v>
      </c>
      <c r="Z1427" s="165" t="s">
        <v>680</v>
      </c>
      <c r="AA1427" s="154" t="s">
        <v>2063</v>
      </c>
      <c r="AB1427" s="167">
        <f t="shared" si="187"/>
        <v>15</v>
      </c>
      <c r="AC1427" s="165" t="s">
        <v>680</v>
      </c>
      <c r="AD1427" s="167">
        <f t="shared" si="186"/>
        <v>60</v>
      </c>
      <c r="AE1427" s="172">
        <f t="shared" si="183"/>
        <v>0</v>
      </c>
    </row>
    <row r="1428" spans="6:31" ht="24" customHeight="1">
      <c r="M1428" s="233">
        <v>0.5</v>
      </c>
      <c r="N1428" s="165" t="s">
        <v>31</v>
      </c>
      <c r="O1428" s="154" t="s">
        <v>2045</v>
      </c>
      <c r="P1428" s="167">
        <f t="shared" si="189"/>
        <v>287</v>
      </c>
      <c r="Q1428" s="165" t="s">
        <v>31</v>
      </c>
      <c r="R1428" s="167">
        <f t="shared" si="190"/>
        <v>143.5</v>
      </c>
      <c r="S1428" s="198">
        <v>6</v>
      </c>
      <c r="T1428" s="165" t="s">
        <v>680</v>
      </c>
      <c r="U1428" s="154" t="s">
        <v>2062</v>
      </c>
      <c r="V1428" s="167">
        <v>20</v>
      </c>
      <c r="W1428" s="165" t="s">
        <v>680</v>
      </c>
      <c r="X1428" s="172">
        <f t="shared" si="188"/>
        <v>120</v>
      </c>
      <c r="Y1428" s="233">
        <v>1.08</v>
      </c>
      <c r="Z1428" s="165" t="s">
        <v>250</v>
      </c>
      <c r="AA1428" s="154" t="s">
        <v>2064</v>
      </c>
      <c r="AB1428" s="167">
        <f t="shared" si="187"/>
        <v>1437.15</v>
      </c>
      <c r="AC1428" s="165" t="s">
        <v>250</v>
      </c>
      <c r="AD1428" s="167">
        <f t="shared" si="186"/>
        <v>1552.1220000000003</v>
      </c>
      <c r="AE1428" s="172">
        <f t="shared" si="183"/>
        <v>0</v>
      </c>
    </row>
    <row r="1429" spans="6:31" ht="24" customHeight="1">
      <c r="G1429" s="165" t="s">
        <v>307</v>
      </c>
      <c r="H1429" s="154" t="s">
        <v>2098</v>
      </c>
      <c r="M1429" s="233">
        <v>0.47099999999999997</v>
      </c>
      <c r="N1429" s="165" t="s">
        <v>141</v>
      </c>
      <c r="O1429" s="154" t="s">
        <v>2051</v>
      </c>
      <c r="P1429" s="195">
        <f t="shared" si="189"/>
        <v>208.8</v>
      </c>
      <c r="Q1429" s="165" t="s">
        <v>141</v>
      </c>
      <c r="R1429" s="167">
        <f t="shared" si="190"/>
        <v>98.344800000000006</v>
      </c>
      <c r="S1429" s="198">
        <v>4</v>
      </c>
      <c r="T1429" s="165" t="s">
        <v>680</v>
      </c>
      <c r="U1429" s="154" t="s">
        <v>2063</v>
      </c>
      <c r="V1429" s="167">
        <v>15</v>
      </c>
      <c r="W1429" s="165" t="s">
        <v>680</v>
      </c>
      <c r="X1429" s="172">
        <f t="shared" si="188"/>
        <v>60</v>
      </c>
      <c r="Z1429" s="156"/>
      <c r="AA1429" s="154" t="s">
        <v>2066</v>
      </c>
      <c r="AC1429" s="160"/>
      <c r="AD1429" s="167">
        <v>0.96</v>
      </c>
      <c r="AE1429" s="172">
        <f t="shared" si="183"/>
        <v>0</v>
      </c>
    </row>
    <row r="1430" spans="6:31" ht="24" customHeight="1">
      <c r="H1430" s="154" t="s">
        <v>2099</v>
      </c>
      <c r="M1430" s="233">
        <v>3.996</v>
      </c>
      <c r="N1430" s="165" t="s">
        <v>41</v>
      </c>
      <c r="O1430" s="223" t="s">
        <v>2091</v>
      </c>
      <c r="P1430" s="167">
        <f t="shared" si="189"/>
        <v>28.4</v>
      </c>
      <c r="Q1430" s="165" t="s">
        <v>41</v>
      </c>
      <c r="R1430" s="167">
        <f t="shared" si="190"/>
        <v>113.48639999999999</v>
      </c>
      <c r="S1430" s="198">
        <f>1.5*1.35</f>
        <v>2.0250000000000004</v>
      </c>
      <c r="T1430" s="165" t="s">
        <v>250</v>
      </c>
      <c r="U1430" s="154" t="s">
        <v>2064</v>
      </c>
      <c r="V1430" s="167">
        <f>P1469</f>
        <v>1437.15</v>
      </c>
      <c r="W1430" s="165" t="s">
        <v>250</v>
      </c>
      <c r="X1430" s="167">
        <f t="shared" si="188"/>
        <v>2910.2287500000007</v>
      </c>
      <c r="AA1430" s="164" t="s">
        <v>2068</v>
      </c>
      <c r="AD1430" s="166">
        <f>SUM(AD1417:AD1429)</f>
        <v>6321.7302800000016</v>
      </c>
      <c r="AE1430" s="172">
        <f t="shared" si="183"/>
        <v>0</v>
      </c>
    </row>
    <row r="1431" spans="6:31" ht="24" customHeight="1">
      <c r="H1431" s="154" t="s">
        <v>2100</v>
      </c>
      <c r="M1431" s="233">
        <v>4</v>
      </c>
      <c r="N1431" s="165" t="s">
        <v>680</v>
      </c>
      <c r="O1431" s="223" t="s">
        <v>2092</v>
      </c>
      <c r="P1431" s="167">
        <f t="shared" si="189"/>
        <v>62.9</v>
      </c>
      <c r="Q1431" s="165" t="s">
        <v>680</v>
      </c>
      <c r="R1431" s="167">
        <f t="shared" si="190"/>
        <v>251.6</v>
      </c>
      <c r="T1431" s="156"/>
      <c r="U1431" s="154" t="s">
        <v>2066</v>
      </c>
      <c r="W1431" s="160"/>
      <c r="X1431" s="167">
        <v>0.31</v>
      </c>
      <c r="AE1431" s="172">
        <f t="shared" si="183"/>
        <v>0</v>
      </c>
    </row>
    <row r="1432" spans="6:31" ht="24" customHeight="1">
      <c r="H1432" s="162" t="s">
        <v>534</v>
      </c>
      <c r="M1432" s="233">
        <v>2</v>
      </c>
      <c r="N1432" s="165" t="s">
        <v>680</v>
      </c>
      <c r="O1432" s="223" t="s">
        <v>2083</v>
      </c>
      <c r="P1432" s="167">
        <f t="shared" si="189"/>
        <v>50.4</v>
      </c>
      <c r="Q1432" s="165" t="s">
        <v>680</v>
      </c>
      <c r="R1432" s="167">
        <f t="shared" si="190"/>
        <v>100.8</v>
      </c>
      <c r="U1432" s="164" t="s">
        <v>2068</v>
      </c>
      <c r="X1432" s="166">
        <f>SUM(X1419:X1431)</f>
        <v>10710.934749999999</v>
      </c>
      <c r="AE1432" s="172">
        <f t="shared" si="183"/>
        <v>0</v>
      </c>
    </row>
    <row r="1433" spans="6:31" ht="24" customHeight="1">
      <c r="F1433" s="167">
        <v>0.14000000000000001</v>
      </c>
      <c r="G1433" s="165" t="s">
        <v>577</v>
      </c>
      <c r="H1433" s="154" t="s">
        <v>660</v>
      </c>
      <c r="I1433" s="167">
        <f>(K32)</f>
        <v>4357.67</v>
      </c>
      <c r="J1433" s="154" t="s">
        <v>577</v>
      </c>
      <c r="K1433" s="167">
        <f>(F1433*I1433)</f>
        <v>610.07380000000012</v>
      </c>
      <c r="M1433" s="233">
        <v>2</v>
      </c>
      <c r="N1433" s="165" t="s">
        <v>680</v>
      </c>
      <c r="O1433" s="154" t="s">
        <v>2061</v>
      </c>
      <c r="P1433" s="167">
        <f t="shared" si="189"/>
        <v>30</v>
      </c>
      <c r="Q1433" s="165" t="s">
        <v>680</v>
      </c>
      <c r="R1433" s="167">
        <f t="shared" si="190"/>
        <v>60</v>
      </c>
      <c r="U1433" s="76">
        <f>2.025</f>
        <v>2.0249999999999999</v>
      </c>
      <c r="Y1433" s="159"/>
      <c r="Z1433" s="156"/>
      <c r="AA1433" s="308" t="s">
        <v>2101</v>
      </c>
      <c r="AB1433" s="227" t="s">
        <v>2102</v>
      </c>
      <c r="AC1433" s="227"/>
      <c r="AD1433" s="227"/>
      <c r="AE1433" s="172">
        <f t="shared" si="183"/>
        <v>0</v>
      </c>
    </row>
    <row r="1434" spans="6:31" ht="24" customHeight="1">
      <c r="F1434" s="167">
        <v>1.1000000000000001</v>
      </c>
      <c r="G1434" s="165" t="s">
        <v>576</v>
      </c>
      <c r="H1434" s="154" t="s">
        <v>778</v>
      </c>
      <c r="I1434" s="167">
        <f>(C10)</f>
        <v>717.2</v>
      </c>
      <c r="J1434" s="154" t="s">
        <v>576</v>
      </c>
      <c r="K1434" s="167">
        <f>(F1434*I1434)</f>
        <v>788.92000000000007</v>
      </c>
      <c r="M1434" s="233">
        <v>2</v>
      </c>
      <c r="N1434" s="165" t="s">
        <v>680</v>
      </c>
      <c r="O1434" s="154" t="s">
        <v>2062</v>
      </c>
      <c r="P1434" s="167">
        <f t="shared" si="189"/>
        <v>20</v>
      </c>
      <c r="Q1434" s="165" t="s">
        <v>680</v>
      </c>
      <c r="R1434" s="167">
        <f t="shared" si="190"/>
        <v>40</v>
      </c>
      <c r="Y1434" s="198">
        <v>4.21</v>
      </c>
      <c r="Z1434" s="165" t="s">
        <v>31</v>
      </c>
      <c r="AA1434" s="154" t="s">
        <v>2045</v>
      </c>
      <c r="AB1434" s="167">
        <f>V1436</f>
        <v>287</v>
      </c>
      <c r="AC1434" s="165" t="s">
        <v>31</v>
      </c>
      <c r="AD1434" s="167">
        <f>AB1434*Y1434</f>
        <v>1208.27</v>
      </c>
      <c r="AE1434" s="172">
        <f t="shared" si="183"/>
        <v>0</v>
      </c>
    </row>
    <row r="1435" spans="6:31" ht="24" customHeight="1">
      <c r="F1435" s="167">
        <v>0.5</v>
      </c>
      <c r="G1435" s="165" t="s">
        <v>576</v>
      </c>
      <c r="H1435" s="154" t="s">
        <v>754</v>
      </c>
      <c r="I1435" s="167">
        <f>(C12)</f>
        <v>468.6</v>
      </c>
      <c r="J1435" s="154" t="s">
        <v>576</v>
      </c>
      <c r="K1435" s="167">
        <f>(F1435*I1435)</f>
        <v>234.3</v>
      </c>
      <c r="M1435" s="233">
        <v>4</v>
      </c>
      <c r="N1435" s="165" t="s">
        <v>680</v>
      </c>
      <c r="O1435" s="154" t="s">
        <v>2063</v>
      </c>
      <c r="P1435" s="167">
        <f t="shared" si="189"/>
        <v>15</v>
      </c>
      <c r="Q1435" s="165" t="s">
        <v>680</v>
      </c>
      <c r="R1435" s="167">
        <f t="shared" si="190"/>
        <v>60</v>
      </c>
      <c r="T1435" s="156"/>
      <c r="U1435" s="308" t="s">
        <v>2103</v>
      </c>
      <c r="V1435" s="227" t="s">
        <v>2102</v>
      </c>
      <c r="W1435" s="227"/>
      <c r="X1435" s="227"/>
      <c r="Y1435" s="198">
        <v>0.40500000000000003</v>
      </c>
      <c r="Z1435" s="165" t="s">
        <v>141</v>
      </c>
      <c r="AA1435" s="154" t="s">
        <v>2051</v>
      </c>
      <c r="AB1435" s="167">
        <f>V1437</f>
        <v>208.8</v>
      </c>
      <c r="AC1435" s="165" t="s">
        <v>31</v>
      </c>
      <c r="AD1435" s="167">
        <f>AB1435*Y1435</f>
        <v>84.564000000000007</v>
      </c>
      <c r="AE1435" s="172">
        <f t="shared" si="183"/>
        <v>0</v>
      </c>
    </row>
    <row r="1436" spans="6:31" ht="24" customHeight="1">
      <c r="F1436" s="167">
        <v>1.1000000000000001</v>
      </c>
      <c r="G1436" s="165" t="s">
        <v>576</v>
      </c>
      <c r="H1436" s="154" t="s">
        <v>756</v>
      </c>
      <c r="I1436" s="167">
        <f>(C13)</f>
        <v>404.8</v>
      </c>
      <c r="J1436" s="154" t="s">
        <v>576</v>
      </c>
      <c r="K1436" s="167">
        <f>(F1436*I1436)</f>
        <v>445.28000000000003</v>
      </c>
      <c r="M1436" s="233">
        <v>0.60799999999999998</v>
      </c>
      <c r="N1436" s="165" t="s">
        <v>250</v>
      </c>
      <c r="O1436" s="154" t="s">
        <v>2064</v>
      </c>
      <c r="P1436" s="167">
        <f t="shared" si="189"/>
        <v>1437.15</v>
      </c>
      <c r="Q1436" s="165" t="s">
        <v>250</v>
      </c>
      <c r="R1436" s="167">
        <f t="shared" si="190"/>
        <v>873.78719999999998</v>
      </c>
      <c r="S1436" s="198">
        <v>3.7389999999999999</v>
      </c>
      <c r="T1436" s="165" t="s">
        <v>31</v>
      </c>
      <c r="U1436" s="154" t="s">
        <v>2045</v>
      </c>
      <c r="V1436" s="167">
        <f>P1475</f>
        <v>287</v>
      </c>
      <c r="W1436" s="165" t="s">
        <v>31</v>
      </c>
      <c r="X1436" s="167">
        <f>V1436*S1436</f>
        <v>1073.0930000000001</v>
      </c>
      <c r="Y1436" s="198">
        <v>0.40500000000000003</v>
      </c>
      <c r="Z1436" s="165" t="s">
        <v>141</v>
      </c>
      <c r="AA1436" s="154" t="s">
        <v>2064</v>
      </c>
      <c r="AB1436" s="167">
        <f>V1438</f>
        <v>1437.15</v>
      </c>
      <c r="AC1436" s="165" t="s">
        <v>31</v>
      </c>
      <c r="AD1436" s="167">
        <f>AB1436*Y1436</f>
        <v>582.04575000000011</v>
      </c>
      <c r="AE1436" s="172">
        <f t="shared" si="183"/>
        <v>0</v>
      </c>
    </row>
    <row r="1437" spans="6:31" ht="24" customHeight="1">
      <c r="F1437" s="167">
        <v>2</v>
      </c>
      <c r="G1437" s="165" t="s">
        <v>420</v>
      </c>
      <c r="H1437" s="154" t="s">
        <v>2104</v>
      </c>
      <c r="I1437" s="167">
        <f>(C653)</f>
        <v>41.5</v>
      </c>
      <c r="J1437" s="154" t="s">
        <v>420</v>
      </c>
      <c r="K1437" s="167">
        <f>(F1437*I1437)</f>
        <v>83</v>
      </c>
      <c r="N1437" s="156"/>
      <c r="O1437" s="154" t="s">
        <v>2066</v>
      </c>
      <c r="Q1437" s="160"/>
      <c r="R1437" s="167">
        <v>0.57999999999999996</v>
      </c>
      <c r="S1437" s="198">
        <v>0.36</v>
      </c>
      <c r="T1437" s="165" t="s">
        <v>141</v>
      </c>
      <c r="U1437" s="154" t="s">
        <v>2051</v>
      </c>
      <c r="V1437" s="167">
        <f>P1476</f>
        <v>208.8</v>
      </c>
      <c r="W1437" s="165" t="s">
        <v>31</v>
      </c>
      <c r="X1437" s="167">
        <f>V1437*S1437</f>
        <v>75.168000000000006</v>
      </c>
      <c r="Y1437" s="198"/>
      <c r="Z1437" s="165"/>
      <c r="AA1437" s="154"/>
      <c r="AB1437" s="167"/>
      <c r="AC1437" s="165"/>
      <c r="AD1437" s="167">
        <f>SUM(AD1434:AD1436)</f>
        <v>1874.8797500000001</v>
      </c>
      <c r="AE1437" s="172">
        <f t="shared" si="183"/>
        <v>0</v>
      </c>
    </row>
    <row r="1438" spans="6:31" ht="24" customHeight="1">
      <c r="G1438" s="165" t="s">
        <v>589</v>
      </c>
      <c r="H1438" s="154" t="s">
        <v>590</v>
      </c>
      <c r="I1438" s="154" t="s">
        <v>22</v>
      </c>
      <c r="J1438" s="154" t="s">
        <v>589</v>
      </c>
      <c r="K1438" s="167">
        <v>0</v>
      </c>
      <c r="R1438" s="166">
        <f>SUM(R1425:R1437)</f>
        <v>3504.2784000000001</v>
      </c>
      <c r="S1438" s="198">
        <v>0.36</v>
      </c>
      <c r="T1438" s="165" t="s">
        <v>141</v>
      </c>
      <c r="U1438" s="154" t="s">
        <v>2064</v>
      </c>
      <c r="V1438" s="167">
        <f>P1477</f>
        <v>1437.15</v>
      </c>
      <c r="W1438" s="165" t="s">
        <v>31</v>
      </c>
      <c r="X1438" s="167">
        <f>V1438*S1438</f>
        <v>517.37400000000002</v>
      </c>
      <c r="Y1438" s="198"/>
      <c r="Z1438" s="165"/>
      <c r="AA1438" s="164" t="s">
        <v>2105</v>
      </c>
      <c r="AB1438" s="167"/>
      <c r="AC1438" s="165"/>
      <c r="AD1438" s="166">
        <f>AD1437/Y1436</f>
        <v>4629.3327160493827</v>
      </c>
      <c r="AE1438" s="172">
        <f t="shared" si="183"/>
        <v>0</v>
      </c>
    </row>
    <row r="1439" spans="6:31" ht="24" customHeight="1">
      <c r="K1439" s="162" t="s">
        <v>534</v>
      </c>
      <c r="M1439" s="167"/>
      <c r="N1439" s="165"/>
      <c r="O1439" s="154"/>
      <c r="P1439" s="167"/>
      <c r="Q1439" s="155"/>
      <c r="R1439" s="167"/>
      <c r="S1439" s="198"/>
      <c r="T1439" s="165"/>
      <c r="U1439" s="154"/>
      <c r="V1439" s="167"/>
      <c r="W1439" s="165"/>
      <c r="X1439" s="167">
        <f>SUM(X1436:X1438)</f>
        <v>1665.635</v>
      </c>
      <c r="AE1439" s="172">
        <f t="shared" si="183"/>
        <v>0</v>
      </c>
    </row>
    <row r="1440" spans="6:31" ht="24" customHeight="1">
      <c r="F1440" s="154" t="s">
        <v>22</v>
      </c>
      <c r="H1440" s="154" t="s">
        <v>879</v>
      </c>
      <c r="K1440" s="167">
        <f>SUM(K1433:K1438)</f>
        <v>2161.5738000000001</v>
      </c>
      <c r="N1440" s="156"/>
      <c r="O1440" s="308" t="s">
        <v>2106</v>
      </c>
      <c r="Q1440" s="158"/>
      <c r="S1440" s="198"/>
      <c r="T1440" s="165"/>
      <c r="U1440" s="164" t="s">
        <v>2105</v>
      </c>
      <c r="V1440" s="167"/>
      <c r="W1440" s="165"/>
      <c r="X1440" s="166">
        <f>X1439/S1438</f>
        <v>4626.7638888888887</v>
      </c>
      <c r="AE1440" s="172">
        <f t="shared" si="183"/>
        <v>0</v>
      </c>
    </row>
    <row r="1441" spans="6:31" ht="24" customHeight="1">
      <c r="H1441" s="199"/>
      <c r="I1441" s="199"/>
      <c r="J1441" s="207"/>
      <c r="K1441" s="209" t="s">
        <v>534</v>
      </c>
      <c r="M1441" s="233">
        <v>5.35</v>
      </c>
      <c r="N1441" s="165" t="s">
        <v>31</v>
      </c>
      <c r="O1441" s="223" t="s">
        <v>2090</v>
      </c>
      <c r="P1441" s="167">
        <f>P1425</f>
        <v>287</v>
      </c>
      <c r="Q1441" s="165" t="s">
        <v>31</v>
      </c>
      <c r="R1441" s="167">
        <f>P1441*M1441</f>
        <v>1535.4499999999998</v>
      </c>
      <c r="AE1441" s="172">
        <f t="shared" si="183"/>
        <v>0</v>
      </c>
    </row>
    <row r="1442" spans="6:31" ht="24" customHeight="1">
      <c r="H1442" s="169" t="s">
        <v>881</v>
      </c>
      <c r="I1442" s="199"/>
      <c r="J1442" s="207"/>
      <c r="K1442" s="166">
        <f>(K1440/10)</f>
        <v>216.15738000000002</v>
      </c>
      <c r="M1442" s="233">
        <v>7.58</v>
      </c>
      <c r="N1442" s="165" t="s">
        <v>31</v>
      </c>
      <c r="O1442" s="154" t="s">
        <v>2045</v>
      </c>
      <c r="P1442" s="167">
        <f t="shared" ref="P1442:P1452" si="191">P1426</f>
        <v>287</v>
      </c>
      <c r="Q1442" s="165" t="s">
        <v>31</v>
      </c>
      <c r="R1442" s="167">
        <f t="shared" ref="R1442:R1452" si="192">P1442*M1442</f>
        <v>2175.46</v>
      </c>
      <c r="T1442" s="156"/>
      <c r="U1442" s="308" t="s">
        <v>2107</v>
      </c>
      <c r="V1442" s="227" t="s">
        <v>2102</v>
      </c>
      <c r="W1442" s="158"/>
      <c r="AE1442" s="172">
        <f t="shared" si="183"/>
        <v>0</v>
      </c>
    </row>
    <row r="1443" spans="6:31" ht="24" customHeight="1">
      <c r="K1443" s="162" t="s">
        <v>528</v>
      </c>
      <c r="M1443" s="233">
        <v>13.15</v>
      </c>
      <c r="N1443" s="165" t="s">
        <v>31</v>
      </c>
      <c r="O1443" s="154" t="s">
        <v>2045</v>
      </c>
      <c r="P1443" s="167">
        <f t="shared" si="191"/>
        <v>287</v>
      </c>
      <c r="Q1443" s="165" t="s">
        <v>31</v>
      </c>
      <c r="R1443" s="167">
        <f t="shared" si="192"/>
        <v>3774.05</v>
      </c>
      <c r="S1443" s="198">
        <v>4.21</v>
      </c>
      <c r="T1443" s="165" t="s">
        <v>31</v>
      </c>
      <c r="U1443" s="154" t="s">
        <v>2045</v>
      </c>
      <c r="V1443" s="167">
        <f>P1482</f>
        <v>287</v>
      </c>
      <c r="W1443" s="165" t="s">
        <v>31</v>
      </c>
      <c r="X1443" s="167">
        <f>V1443*S1443</f>
        <v>1208.27</v>
      </c>
      <c r="AE1443" s="172">
        <f t="shared" si="183"/>
        <v>0</v>
      </c>
    </row>
    <row r="1444" spans="6:31" ht="24" customHeight="1">
      <c r="H1444" s="154" t="s">
        <v>22</v>
      </c>
      <c r="M1444" s="233">
        <v>2.31</v>
      </c>
      <c r="N1444" s="165" t="s">
        <v>31</v>
      </c>
      <c r="O1444" s="154" t="s">
        <v>2045</v>
      </c>
      <c r="P1444" s="167">
        <f t="shared" si="191"/>
        <v>287</v>
      </c>
      <c r="Q1444" s="165" t="s">
        <v>31</v>
      </c>
      <c r="R1444" s="167">
        <f t="shared" si="192"/>
        <v>662.97</v>
      </c>
      <c r="S1444" s="198">
        <v>0.45</v>
      </c>
      <c r="T1444" s="165" t="s">
        <v>141</v>
      </c>
      <c r="U1444" s="154" t="s">
        <v>2051</v>
      </c>
      <c r="V1444" s="167">
        <f>P1483</f>
        <v>208.8</v>
      </c>
      <c r="W1444" s="165" t="s">
        <v>31</v>
      </c>
      <c r="X1444" s="167">
        <f>V1444*S1444</f>
        <v>93.960000000000008</v>
      </c>
      <c r="AE1444" s="172">
        <f t="shared" si="183"/>
        <v>0</v>
      </c>
    </row>
    <row r="1445" spans="6:31" ht="24" customHeight="1">
      <c r="M1445" s="233">
        <v>2.44</v>
      </c>
      <c r="N1445" s="165" t="s">
        <v>141</v>
      </c>
      <c r="O1445" s="154" t="s">
        <v>2051</v>
      </c>
      <c r="P1445" s="195">
        <f t="shared" si="191"/>
        <v>208.8</v>
      </c>
      <c r="Q1445" s="165" t="s">
        <v>141</v>
      </c>
      <c r="R1445" s="167">
        <f t="shared" si="192"/>
        <v>509.47200000000004</v>
      </c>
      <c r="S1445" s="198">
        <v>0.45</v>
      </c>
      <c r="T1445" s="165" t="s">
        <v>141</v>
      </c>
      <c r="U1445" s="154" t="s">
        <v>2064</v>
      </c>
      <c r="V1445" s="167">
        <f>P1484</f>
        <v>1437.15</v>
      </c>
      <c r="W1445" s="165" t="s">
        <v>31</v>
      </c>
      <c r="X1445" s="167">
        <f>V1445*S1445</f>
        <v>646.71750000000009</v>
      </c>
      <c r="AE1445" s="172">
        <f t="shared" si="183"/>
        <v>0</v>
      </c>
    </row>
    <row r="1446" spans="6:31" ht="24" customHeight="1">
      <c r="F1446" s="155" t="s">
        <v>2108</v>
      </c>
      <c r="G1446" s="165" t="s">
        <v>307</v>
      </c>
      <c r="H1446" s="154" t="s">
        <v>2109</v>
      </c>
      <c r="M1446" s="233">
        <v>18.62</v>
      </c>
      <c r="N1446" s="165" t="s">
        <v>41</v>
      </c>
      <c r="O1446" s="223" t="s">
        <v>2091</v>
      </c>
      <c r="P1446" s="167">
        <f t="shared" si="191"/>
        <v>28.4</v>
      </c>
      <c r="Q1446" s="165" t="s">
        <v>41</v>
      </c>
      <c r="R1446" s="167">
        <f t="shared" si="192"/>
        <v>528.80799999999999</v>
      </c>
      <c r="S1446" s="198">
        <f>R1485-2967</f>
        <v>378.76949999999988</v>
      </c>
      <c r="T1446" s="165"/>
      <c r="U1446" s="154"/>
      <c r="V1446" s="167"/>
      <c r="W1446" s="165"/>
      <c r="X1446" s="167">
        <f>SUM(X1443:X1445)</f>
        <v>1948.9475000000002</v>
      </c>
      <c r="AE1446" s="172">
        <f t="shared" si="183"/>
        <v>0</v>
      </c>
    </row>
    <row r="1447" spans="6:31" ht="24" customHeight="1">
      <c r="H1447" s="154" t="s">
        <v>2110</v>
      </c>
      <c r="M1447" s="233">
        <v>16</v>
      </c>
      <c r="N1447" s="165" t="s">
        <v>680</v>
      </c>
      <c r="O1447" s="223" t="s">
        <v>2092</v>
      </c>
      <c r="P1447" s="167">
        <f t="shared" si="191"/>
        <v>62.9</v>
      </c>
      <c r="Q1447" s="165" t="s">
        <v>680</v>
      </c>
      <c r="R1447" s="167">
        <f t="shared" si="192"/>
        <v>1006.4</v>
      </c>
      <c r="S1447" s="198"/>
      <c r="T1447" s="165"/>
      <c r="U1447" s="164" t="s">
        <v>2105</v>
      </c>
      <c r="V1447" s="167"/>
      <c r="W1447" s="165"/>
      <c r="X1447" s="166">
        <f>X1446/S1445</f>
        <v>4330.9944444444445</v>
      </c>
      <c r="Y1447" s="159"/>
      <c r="Z1447" s="156"/>
      <c r="AA1447" s="308" t="s">
        <v>2111</v>
      </c>
      <c r="AC1447" s="158"/>
      <c r="AE1447" s="172">
        <f t="shared" si="183"/>
        <v>0</v>
      </c>
    </row>
    <row r="1448" spans="6:31" ht="24" customHeight="1">
      <c r="H1448" s="154" t="s">
        <v>2112</v>
      </c>
      <c r="M1448" s="233">
        <v>8</v>
      </c>
      <c r="N1448" s="165" t="s">
        <v>680</v>
      </c>
      <c r="O1448" s="223" t="s">
        <v>2083</v>
      </c>
      <c r="P1448" s="167">
        <f t="shared" si="191"/>
        <v>50.4</v>
      </c>
      <c r="Q1448" s="165" t="s">
        <v>680</v>
      </c>
      <c r="R1448" s="167">
        <f t="shared" si="192"/>
        <v>403.2</v>
      </c>
      <c r="Y1448" s="198">
        <v>3.26</v>
      </c>
      <c r="Z1448" s="165" t="s">
        <v>31</v>
      </c>
      <c r="AA1448" s="154" t="s">
        <v>2045</v>
      </c>
      <c r="AB1448" s="167">
        <f t="shared" ref="AB1448:AB1459" si="193">V1450</f>
        <v>287</v>
      </c>
      <c r="AC1448" s="165" t="s">
        <v>31</v>
      </c>
      <c r="AD1448" s="167">
        <f t="shared" ref="AD1448:AD1459" si="194">AB1448*Y1448</f>
        <v>935.61999999999989</v>
      </c>
      <c r="AE1448" s="172">
        <f t="shared" si="183"/>
        <v>0</v>
      </c>
    </row>
    <row r="1449" spans="6:31" ht="24" customHeight="1">
      <c r="H1449" s="154" t="s">
        <v>2113</v>
      </c>
      <c r="M1449" s="233">
        <v>8</v>
      </c>
      <c r="N1449" s="165" t="s">
        <v>680</v>
      </c>
      <c r="O1449" s="154" t="s">
        <v>2061</v>
      </c>
      <c r="P1449" s="167">
        <f t="shared" si="191"/>
        <v>30</v>
      </c>
      <c r="Q1449" s="165" t="s">
        <v>680</v>
      </c>
      <c r="R1449" s="167">
        <f t="shared" si="192"/>
        <v>240</v>
      </c>
      <c r="T1449" s="156"/>
      <c r="U1449" s="308" t="s">
        <v>2114</v>
      </c>
      <c r="W1449" s="158"/>
      <c r="Y1449" s="198">
        <v>0.84</v>
      </c>
      <c r="Z1449" s="165" t="s">
        <v>31</v>
      </c>
      <c r="AA1449" s="154" t="s">
        <v>2045</v>
      </c>
      <c r="AB1449" s="167">
        <f t="shared" si="193"/>
        <v>287</v>
      </c>
      <c r="AC1449" s="165" t="s">
        <v>31</v>
      </c>
      <c r="AD1449" s="167">
        <f t="shared" si="194"/>
        <v>241.07999999999998</v>
      </c>
      <c r="AE1449" s="172">
        <f t="shared" si="183"/>
        <v>0</v>
      </c>
    </row>
    <row r="1450" spans="6:31" ht="24" customHeight="1">
      <c r="H1450" s="162" t="s">
        <v>534</v>
      </c>
      <c r="I1450" s="162" t="s">
        <v>534</v>
      </c>
      <c r="M1450" s="233">
        <v>8</v>
      </c>
      <c r="N1450" s="165" t="s">
        <v>680</v>
      </c>
      <c r="O1450" s="154" t="s">
        <v>2062</v>
      </c>
      <c r="P1450" s="167">
        <f t="shared" si="191"/>
        <v>20</v>
      </c>
      <c r="Q1450" s="165" t="s">
        <v>680</v>
      </c>
      <c r="R1450" s="167">
        <f t="shared" si="192"/>
        <v>160</v>
      </c>
      <c r="S1450" s="198">
        <v>3.49</v>
      </c>
      <c r="T1450" s="165" t="s">
        <v>31</v>
      </c>
      <c r="U1450" s="154" t="s">
        <v>2045</v>
      </c>
      <c r="V1450" s="167">
        <f>P1489</f>
        <v>287</v>
      </c>
      <c r="W1450" s="165" t="s">
        <v>31</v>
      </c>
      <c r="X1450" s="167">
        <f>V1450*S1450</f>
        <v>1001.6300000000001</v>
      </c>
      <c r="Y1450" s="198">
        <v>3.65</v>
      </c>
      <c r="Z1450" s="165" t="s">
        <v>31</v>
      </c>
      <c r="AA1450" s="154" t="s">
        <v>2045</v>
      </c>
      <c r="AB1450" s="167">
        <f t="shared" si="193"/>
        <v>287</v>
      </c>
      <c r="AC1450" s="165" t="s">
        <v>31</v>
      </c>
      <c r="AD1450" s="167">
        <f t="shared" si="194"/>
        <v>1047.55</v>
      </c>
      <c r="AE1450" s="172">
        <f t="shared" si="183"/>
        <v>0</v>
      </c>
    </row>
    <row r="1451" spans="6:31" ht="24" customHeight="1">
      <c r="G1451" s="165" t="s">
        <v>1501</v>
      </c>
      <c r="H1451" s="154" t="s">
        <v>2115</v>
      </c>
      <c r="M1451" s="233">
        <v>4</v>
      </c>
      <c r="N1451" s="165" t="s">
        <v>680</v>
      </c>
      <c r="O1451" s="154" t="s">
        <v>2063</v>
      </c>
      <c r="P1451" s="167">
        <f t="shared" si="191"/>
        <v>15</v>
      </c>
      <c r="Q1451" s="165" t="s">
        <v>680</v>
      </c>
      <c r="R1451" s="167">
        <f t="shared" si="192"/>
        <v>60</v>
      </c>
      <c r="S1451" s="198">
        <v>2.5299999999999998</v>
      </c>
      <c r="T1451" s="165" t="s">
        <v>31</v>
      </c>
      <c r="U1451" s="154" t="s">
        <v>2045</v>
      </c>
      <c r="V1451" s="167">
        <f t="shared" ref="V1451:V1461" si="195">P1490</f>
        <v>287</v>
      </c>
      <c r="W1451" s="165" t="s">
        <v>31</v>
      </c>
      <c r="X1451" s="167">
        <f t="shared" ref="X1451:X1461" si="196">V1451*S1451</f>
        <v>726.1099999999999</v>
      </c>
      <c r="Y1451" s="198">
        <v>0.64</v>
      </c>
      <c r="Z1451" s="165" t="s">
        <v>31</v>
      </c>
      <c r="AA1451" s="154" t="s">
        <v>2045</v>
      </c>
      <c r="AB1451" s="167">
        <f t="shared" si="193"/>
        <v>287</v>
      </c>
      <c r="AC1451" s="165" t="s">
        <v>31</v>
      </c>
      <c r="AD1451" s="167">
        <f t="shared" si="194"/>
        <v>183.68</v>
      </c>
      <c r="AE1451" s="172">
        <f t="shared" si="183"/>
        <v>0</v>
      </c>
    </row>
    <row r="1452" spans="6:31" ht="24" customHeight="1">
      <c r="G1452" s="165" t="s">
        <v>534</v>
      </c>
      <c r="H1452" s="162" t="s">
        <v>534</v>
      </c>
      <c r="M1452" s="233">
        <f>1.8*1.65</f>
        <v>2.9699999999999998</v>
      </c>
      <c r="N1452" s="165" t="s">
        <v>250</v>
      </c>
      <c r="O1452" s="154" t="s">
        <v>2064</v>
      </c>
      <c r="P1452" s="167">
        <f t="shared" si="191"/>
        <v>1437.15</v>
      </c>
      <c r="Q1452" s="165" t="s">
        <v>250</v>
      </c>
      <c r="R1452" s="167">
        <f t="shared" si="192"/>
        <v>4268.3355000000001</v>
      </c>
      <c r="S1452" s="198">
        <v>5.7549999999999999</v>
      </c>
      <c r="T1452" s="165" t="s">
        <v>31</v>
      </c>
      <c r="U1452" s="154" t="s">
        <v>2045</v>
      </c>
      <c r="V1452" s="167">
        <f t="shared" si="195"/>
        <v>287</v>
      </c>
      <c r="W1452" s="165" t="s">
        <v>31</v>
      </c>
      <c r="X1452" s="167">
        <f t="shared" si="196"/>
        <v>1651.6849999999999</v>
      </c>
      <c r="Y1452" s="198">
        <v>0.84099999999999997</v>
      </c>
      <c r="Z1452" s="165" t="s">
        <v>141</v>
      </c>
      <c r="AA1452" s="154" t="s">
        <v>2051</v>
      </c>
      <c r="AB1452" s="167">
        <f t="shared" si="193"/>
        <v>208.8</v>
      </c>
      <c r="AC1452" s="165" t="s">
        <v>141</v>
      </c>
      <c r="AD1452" s="167">
        <f t="shared" si="194"/>
        <v>175.60079999999999</v>
      </c>
      <c r="AE1452" s="172">
        <f t="shared" si="183"/>
        <v>0</v>
      </c>
    </row>
    <row r="1453" spans="6:31" ht="24" customHeight="1">
      <c r="F1453" s="233">
        <v>1.4E-2</v>
      </c>
      <c r="G1453" s="165" t="s">
        <v>238</v>
      </c>
      <c r="H1453" s="154" t="s">
        <v>2116</v>
      </c>
      <c r="I1453" s="167">
        <f>K49</f>
        <v>3253.6699999999996</v>
      </c>
      <c r="J1453" s="154" t="s">
        <v>238</v>
      </c>
      <c r="K1453" s="167">
        <f>(F1453*I1453)</f>
        <v>45.551379999999995</v>
      </c>
      <c r="N1453" s="156"/>
      <c r="O1453" s="154" t="s">
        <v>2066</v>
      </c>
      <c r="Q1453" s="160"/>
      <c r="R1453" s="167">
        <v>0.78</v>
      </c>
      <c r="S1453" s="198">
        <v>1.0009999999999999</v>
      </c>
      <c r="T1453" s="165" t="s">
        <v>31</v>
      </c>
      <c r="U1453" s="154" t="s">
        <v>2045</v>
      </c>
      <c r="V1453" s="167">
        <f t="shared" si="195"/>
        <v>287</v>
      </c>
      <c r="W1453" s="165" t="s">
        <v>31</v>
      </c>
      <c r="X1453" s="167">
        <f t="shared" si="196"/>
        <v>287.28699999999998</v>
      </c>
      <c r="Y1453" s="198">
        <v>5.1959999999999997</v>
      </c>
      <c r="Z1453" s="165" t="s">
        <v>41</v>
      </c>
      <c r="AA1453" s="154" t="s">
        <v>2054</v>
      </c>
      <c r="AB1453" s="167">
        <f t="shared" si="193"/>
        <v>28.4</v>
      </c>
      <c r="AC1453" s="165" t="s">
        <v>41</v>
      </c>
      <c r="AD1453" s="167">
        <f t="shared" si="194"/>
        <v>147.56639999999999</v>
      </c>
      <c r="AE1453" s="172">
        <f t="shared" si="183"/>
        <v>0</v>
      </c>
    </row>
    <row r="1454" spans="6:31" ht="24" customHeight="1">
      <c r="F1454" s="167">
        <v>0.3</v>
      </c>
      <c r="G1454" s="165" t="s">
        <v>1261</v>
      </c>
      <c r="H1454" s="154" t="s">
        <v>2117</v>
      </c>
      <c r="I1454" s="167">
        <f>C10</f>
        <v>717.2</v>
      </c>
      <c r="J1454" s="154" t="s">
        <v>1261</v>
      </c>
      <c r="K1454" s="167">
        <f>(F1454*I1454)</f>
        <v>215.16</v>
      </c>
      <c r="R1454" s="166">
        <f>SUM(R1441:R1453)</f>
        <v>15324.925499999999</v>
      </c>
      <c r="S1454" s="198">
        <f>1.012</f>
        <v>1.012</v>
      </c>
      <c r="T1454" s="165" t="s">
        <v>141</v>
      </c>
      <c r="U1454" s="154" t="s">
        <v>2051</v>
      </c>
      <c r="V1454" s="167">
        <f t="shared" si="195"/>
        <v>208.8</v>
      </c>
      <c r="W1454" s="165" t="s">
        <v>141</v>
      </c>
      <c r="X1454" s="167">
        <f t="shared" si="196"/>
        <v>211.30560000000003</v>
      </c>
      <c r="Y1454" s="198">
        <v>4</v>
      </c>
      <c r="Z1454" s="165" t="s">
        <v>680</v>
      </c>
      <c r="AA1454" s="154" t="s">
        <v>2056</v>
      </c>
      <c r="AB1454" s="167">
        <f t="shared" si="193"/>
        <v>62.9</v>
      </c>
      <c r="AC1454" s="165" t="s">
        <v>680</v>
      </c>
      <c r="AD1454" s="167">
        <f t="shared" si="194"/>
        <v>251.6</v>
      </c>
      <c r="AE1454" s="172">
        <f t="shared" si="183"/>
        <v>0</v>
      </c>
    </row>
    <row r="1455" spans="6:31" ht="24" customHeight="1">
      <c r="F1455" s="167">
        <v>0.3</v>
      </c>
      <c r="G1455" s="165" t="s">
        <v>1261</v>
      </c>
      <c r="H1455" s="154" t="s">
        <v>1264</v>
      </c>
      <c r="I1455" s="167">
        <f>C12</f>
        <v>468.6</v>
      </c>
      <c r="J1455" s="154" t="s">
        <v>1261</v>
      </c>
      <c r="K1455" s="167">
        <f>(F1455*I1455)</f>
        <v>140.58000000000001</v>
      </c>
      <c r="R1455" s="76">
        <f>R1454/M1452</f>
        <v>5159.9075757575756</v>
      </c>
      <c r="S1455" s="198" t="s">
        <v>250</v>
      </c>
      <c r="T1455" s="165" t="s">
        <v>41</v>
      </c>
      <c r="U1455" s="154" t="s">
        <v>2054</v>
      </c>
      <c r="V1455" s="167">
        <f t="shared" si="195"/>
        <v>28.4</v>
      </c>
      <c r="W1455" s="165" t="s">
        <v>41</v>
      </c>
      <c r="X1455" s="167">
        <f t="shared" si="196"/>
        <v>0</v>
      </c>
      <c r="Y1455" s="198">
        <v>2</v>
      </c>
      <c r="Z1455" s="165" t="s">
        <v>680</v>
      </c>
      <c r="AA1455" s="154" t="s">
        <v>2058</v>
      </c>
      <c r="AB1455" s="167">
        <f t="shared" si="193"/>
        <v>50.4</v>
      </c>
      <c r="AC1455" s="165" t="s">
        <v>680</v>
      </c>
      <c r="AD1455" s="167">
        <f t="shared" si="194"/>
        <v>100.8</v>
      </c>
      <c r="AE1455" s="172">
        <f t="shared" si="183"/>
        <v>0</v>
      </c>
    </row>
    <row r="1456" spans="6:31" ht="24" customHeight="1">
      <c r="G1456" s="165" t="s">
        <v>589</v>
      </c>
      <c r="H1456" s="154" t="s">
        <v>1699</v>
      </c>
      <c r="J1456" s="154" t="s">
        <v>589</v>
      </c>
      <c r="K1456" s="76">
        <v>0</v>
      </c>
      <c r="S1456" s="198">
        <v>8</v>
      </c>
      <c r="T1456" s="165" t="s">
        <v>680</v>
      </c>
      <c r="U1456" s="154" t="s">
        <v>2056</v>
      </c>
      <c r="V1456" s="167">
        <f t="shared" si="195"/>
        <v>62.9</v>
      </c>
      <c r="W1456" s="165" t="s">
        <v>680</v>
      </c>
      <c r="X1456" s="167">
        <f t="shared" si="196"/>
        <v>503.2</v>
      </c>
      <c r="Y1456" s="198">
        <v>2</v>
      </c>
      <c r="Z1456" s="165" t="s">
        <v>680</v>
      </c>
      <c r="AA1456" s="154" t="s">
        <v>2061</v>
      </c>
      <c r="AB1456" s="167">
        <f t="shared" si="193"/>
        <v>30</v>
      </c>
      <c r="AC1456" s="165" t="s">
        <v>680</v>
      </c>
      <c r="AD1456" s="167">
        <f t="shared" si="194"/>
        <v>60</v>
      </c>
      <c r="AE1456" s="172">
        <f t="shared" si="183"/>
        <v>0</v>
      </c>
    </row>
    <row r="1457" spans="6:31" ht="24" customHeight="1">
      <c r="K1457" s="162" t="s">
        <v>534</v>
      </c>
      <c r="N1457" s="156"/>
      <c r="O1457" s="308" t="s">
        <v>2118</v>
      </c>
      <c r="Q1457" s="158"/>
      <c r="S1457" s="198">
        <v>4</v>
      </c>
      <c r="T1457" s="165" t="s">
        <v>680</v>
      </c>
      <c r="U1457" s="154" t="s">
        <v>2058</v>
      </c>
      <c r="V1457" s="167">
        <f t="shared" si="195"/>
        <v>50.4</v>
      </c>
      <c r="W1457" s="165" t="s">
        <v>680</v>
      </c>
      <c r="X1457" s="167">
        <f t="shared" si="196"/>
        <v>201.6</v>
      </c>
      <c r="Y1457" s="198">
        <v>2</v>
      </c>
      <c r="Z1457" s="165" t="s">
        <v>680</v>
      </c>
      <c r="AA1457" s="154" t="s">
        <v>2062</v>
      </c>
      <c r="AB1457" s="167">
        <f t="shared" si="193"/>
        <v>20</v>
      </c>
      <c r="AC1457" s="165" t="s">
        <v>680</v>
      </c>
      <c r="AD1457" s="167">
        <f t="shared" si="194"/>
        <v>40</v>
      </c>
      <c r="AE1457" s="172">
        <f t="shared" si="183"/>
        <v>0</v>
      </c>
    </row>
    <row r="1458" spans="6:31" ht="24" customHeight="1">
      <c r="H1458" s="155" t="s">
        <v>2119</v>
      </c>
      <c r="K1458" s="167">
        <f>SUM(K1453:K1456)</f>
        <v>401.29138</v>
      </c>
      <c r="M1458" s="233">
        <v>10.75</v>
      </c>
      <c r="N1458" s="165" t="s">
        <v>31</v>
      </c>
      <c r="O1458" s="223" t="s">
        <v>2090</v>
      </c>
      <c r="P1458" s="167">
        <f>P1441</f>
        <v>287</v>
      </c>
      <c r="Q1458" s="165" t="s">
        <v>31</v>
      </c>
      <c r="R1458" s="167">
        <f>P1458*M1458</f>
        <v>3085.25</v>
      </c>
      <c r="S1458" s="198">
        <v>4</v>
      </c>
      <c r="T1458" s="165" t="s">
        <v>680</v>
      </c>
      <c r="U1458" s="154" t="s">
        <v>2061</v>
      </c>
      <c r="V1458" s="167">
        <f t="shared" si="195"/>
        <v>30</v>
      </c>
      <c r="W1458" s="165" t="s">
        <v>680</v>
      </c>
      <c r="X1458" s="167">
        <f t="shared" si="196"/>
        <v>120</v>
      </c>
      <c r="Y1458" s="198">
        <v>4</v>
      </c>
      <c r="Z1458" s="165" t="s">
        <v>680</v>
      </c>
      <c r="AA1458" s="154" t="s">
        <v>2063</v>
      </c>
      <c r="AB1458" s="167">
        <f t="shared" si="193"/>
        <v>15</v>
      </c>
      <c r="AC1458" s="165" t="s">
        <v>680</v>
      </c>
      <c r="AD1458" s="167">
        <f t="shared" si="194"/>
        <v>60</v>
      </c>
      <c r="AE1458" s="172">
        <f t="shared" si="183"/>
        <v>0</v>
      </c>
    </row>
    <row r="1459" spans="6:31" ht="24" customHeight="1">
      <c r="K1459" s="162" t="s">
        <v>534</v>
      </c>
      <c r="M1459" s="233">
        <v>0.99199999999999999</v>
      </c>
      <c r="N1459" s="165" t="s">
        <v>31</v>
      </c>
      <c r="O1459" s="154" t="s">
        <v>2045</v>
      </c>
      <c r="P1459" s="167">
        <f t="shared" ref="P1459:P1469" si="197">P1442</f>
        <v>287</v>
      </c>
      <c r="Q1459" s="165" t="s">
        <v>31</v>
      </c>
      <c r="R1459" s="167">
        <f t="shared" ref="R1459:R1469" si="198">P1459*M1459</f>
        <v>284.70400000000001</v>
      </c>
      <c r="S1459" s="198">
        <v>4</v>
      </c>
      <c r="T1459" s="165" t="s">
        <v>680</v>
      </c>
      <c r="U1459" s="154" t="s">
        <v>2062</v>
      </c>
      <c r="V1459" s="167">
        <f t="shared" si="195"/>
        <v>20</v>
      </c>
      <c r="W1459" s="165" t="s">
        <v>680</v>
      </c>
      <c r="X1459" s="167">
        <f t="shared" si="196"/>
        <v>80</v>
      </c>
      <c r="Y1459" s="198">
        <v>1.01</v>
      </c>
      <c r="Z1459" s="165" t="s">
        <v>250</v>
      </c>
      <c r="AA1459" s="154" t="s">
        <v>2064</v>
      </c>
      <c r="AB1459" s="167">
        <f t="shared" si="193"/>
        <v>1437.15</v>
      </c>
      <c r="AC1459" s="165" t="s">
        <v>250</v>
      </c>
      <c r="AD1459" s="167">
        <f t="shared" si="194"/>
        <v>1451.5215000000001</v>
      </c>
      <c r="AE1459" s="172">
        <f t="shared" si="183"/>
        <v>0</v>
      </c>
    </row>
    <row r="1460" spans="6:31" ht="24" customHeight="1">
      <c r="H1460" s="169" t="s">
        <v>2120</v>
      </c>
      <c r="I1460" s="199"/>
      <c r="J1460" s="207"/>
      <c r="K1460" s="166">
        <f>K1458/6.77</f>
        <v>59.274945347119647</v>
      </c>
      <c r="M1460" s="233">
        <v>0</v>
      </c>
      <c r="N1460" s="165" t="s">
        <v>31</v>
      </c>
      <c r="O1460" s="154" t="s">
        <v>2045</v>
      </c>
      <c r="P1460" s="167">
        <f t="shared" si="197"/>
        <v>287</v>
      </c>
      <c r="Q1460" s="165" t="s">
        <v>31</v>
      </c>
      <c r="R1460" s="167">
        <f t="shared" si="198"/>
        <v>0</v>
      </c>
      <c r="S1460" s="198">
        <v>4</v>
      </c>
      <c r="T1460" s="165" t="s">
        <v>680</v>
      </c>
      <c r="U1460" s="154" t="s">
        <v>2063</v>
      </c>
      <c r="V1460" s="167">
        <f t="shared" si="195"/>
        <v>15</v>
      </c>
      <c r="W1460" s="165" t="s">
        <v>680</v>
      </c>
      <c r="X1460" s="167">
        <f t="shared" si="196"/>
        <v>60</v>
      </c>
      <c r="Y1460" s="159"/>
      <c r="Z1460" s="156"/>
      <c r="AA1460" s="154" t="s">
        <v>2066</v>
      </c>
      <c r="AC1460" s="160"/>
      <c r="AD1460" s="167">
        <v>0.84</v>
      </c>
      <c r="AE1460" s="172">
        <f t="shared" si="183"/>
        <v>0</v>
      </c>
    </row>
    <row r="1461" spans="6:31" ht="24" customHeight="1">
      <c r="F1461" s="154" t="s">
        <v>22</v>
      </c>
      <c r="M1461" s="233">
        <v>0</v>
      </c>
      <c r="N1461" s="165" t="s">
        <v>31</v>
      </c>
      <c r="O1461" s="154" t="s">
        <v>2045</v>
      </c>
      <c r="P1461" s="167">
        <f t="shared" si="197"/>
        <v>287</v>
      </c>
      <c r="Q1461" s="165" t="s">
        <v>31</v>
      </c>
      <c r="R1461" s="167">
        <f t="shared" si="198"/>
        <v>0</v>
      </c>
      <c r="S1461" s="198">
        <v>1.26</v>
      </c>
      <c r="T1461" s="165" t="s">
        <v>250</v>
      </c>
      <c r="U1461" s="154" t="s">
        <v>2064</v>
      </c>
      <c r="V1461" s="167">
        <f t="shared" si="195"/>
        <v>1437.15</v>
      </c>
      <c r="W1461" s="165" t="s">
        <v>250</v>
      </c>
      <c r="X1461" s="167">
        <f t="shared" si="196"/>
        <v>1810.8090000000002</v>
      </c>
      <c r="Y1461" s="159"/>
      <c r="AA1461" s="164" t="s">
        <v>2068</v>
      </c>
      <c r="AD1461" s="166">
        <f>SUM(AD1448:AD1460)</f>
        <v>4695.8587000000007</v>
      </c>
      <c r="AE1461" s="172">
        <f t="shared" si="183"/>
        <v>0</v>
      </c>
    </row>
    <row r="1462" spans="6:31" ht="24" customHeight="1">
      <c r="K1462" s="162" t="s">
        <v>528</v>
      </c>
      <c r="M1462" s="233">
        <v>1.89</v>
      </c>
      <c r="N1462" s="165" t="s">
        <v>141</v>
      </c>
      <c r="O1462" s="154" t="s">
        <v>2051</v>
      </c>
      <c r="P1462" s="195">
        <f t="shared" si="197"/>
        <v>208.8</v>
      </c>
      <c r="Q1462" s="165" t="s">
        <v>141</v>
      </c>
      <c r="R1462" s="167">
        <f t="shared" si="198"/>
        <v>394.63200000000001</v>
      </c>
      <c r="T1462" s="156"/>
      <c r="U1462" s="154" t="s">
        <v>2066</v>
      </c>
      <c r="W1462" s="160"/>
      <c r="X1462" s="167">
        <v>0.14000000000000001</v>
      </c>
      <c r="AE1462" s="172">
        <f t="shared" si="183"/>
        <v>0</v>
      </c>
    </row>
    <row r="1463" spans="6:31" ht="24" customHeight="1">
      <c r="G1463" s="165" t="s">
        <v>1530</v>
      </c>
      <c r="H1463" s="154" t="s">
        <v>2121</v>
      </c>
      <c r="M1463" s="233">
        <v>8</v>
      </c>
      <c r="N1463" s="165" t="s">
        <v>41</v>
      </c>
      <c r="O1463" s="223" t="s">
        <v>2091</v>
      </c>
      <c r="P1463" s="167">
        <f t="shared" si="197"/>
        <v>28.4</v>
      </c>
      <c r="Q1463" s="165" t="s">
        <v>41</v>
      </c>
      <c r="R1463" s="167">
        <f t="shared" si="198"/>
        <v>227.2</v>
      </c>
      <c r="U1463" s="164" t="s">
        <v>2068</v>
      </c>
      <c r="X1463" s="166">
        <f>SUM(X1450:X1462)</f>
        <v>6653.7666000000008</v>
      </c>
      <c r="AE1463" s="172">
        <f t="shared" si="183"/>
        <v>0</v>
      </c>
    </row>
    <row r="1464" spans="6:31" ht="24" customHeight="1">
      <c r="G1464" s="165" t="s">
        <v>534</v>
      </c>
      <c r="H1464" s="162" t="s">
        <v>534</v>
      </c>
      <c r="M1464" s="233">
        <v>0</v>
      </c>
      <c r="N1464" s="165" t="s">
        <v>680</v>
      </c>
      <c r="O1464" s="223" t="s">
        <v>2092</v>
      </c>
      <c r="P1464" s="167">
        <f t="shared" si="197"/>
        <v>62.9</v>
      </c>
      <c r="Q1464" s="165" t="s">
        <v>680</v>
      </c>
      <c r="R1464" s="167">
        <f t="shared" si="198"/>
        <v>0</v>
      </c>
      <c r="AE1464" s="172">
        <f t="shared" si="183"/>
        <v>0</v>
      </c>
    </row>
    <row r="1465" spans="6:31" ht="24" customHeight="1">
      <c r="F1465" s="233">
        <v>7.0000000000000001E-3</v>
      </c>
      <c r="G1465" s="165" t="s">
        <v>238</v>
      </c>
      <c r="H1465" s="154" t="s">
        <v>2116</v>
      </c>
      <c r="I1465" s="167">
        <f>K49</f>
        <v>3253.6699999999996</v>
      </c>
      <c r="J1465" s="154" t="s">
        <v>238</v>
      </c>
      <c r="K1465" s="167">
        <f>(F1465*I1465)</f>
        <v>22.775689999999997</v>
      </c>
      <c r="M1465" s="233">
        <v>0</v>
      </c>
      <c r="N1465" s="165" t="s">
        <v>680</v>
      </c>
      <c r="O1465" s="223" t="s">
        <v>2083</v>
      </c>
      <c r="P1465" s="167">
        <f t="shared" si="197"/>
        <v>50.4</v>
      </c>
      <c r="Q1465" s="165" t="s">
        <v>680</v>
      </c>
      <c r="R1465" s="167">
        <f t="shared" si="198"/>
        <v>0</v>
      </c>
      <c r="AE1465" s="172">
        <f t="shared" si="183"/>
        <v>0</v>
      </c>
    </row>
    <row r="1466" spans="6:31" ht="24" customHeight="1">
      <c r="F1466" s="167">
        <v>0.2</v>
      </c>
      <c r="G1466" s="165" t="s">
        <v>1261</v>
      </c>
      <c r="H1466" s="154" t="s">
        <v>2117</v>
      </c>
      <c r="I1466" s="167">
        <f>C10</f>
        <v>717.2</v>
      </c>
      <c r="J1466" s="154" t="s">
        <v>1261</v>
      </c>
      <c r="K1466" s="167">
        <f>(F1466*I1466)</f>
        <v>143.44000000000003</v>
      </c>
      <c r="M1466" s="233">
        <v>0</v>
      </c>
      <c r="N1466" s="165" t="s">
        <v>680</v>
      </c>
      <c r="O1466" s="154" t="s">
        <v>2061</v>
      </c>
      <c r="P1466" s="167">
        <f t="shared" si="197"/>
        <v>30</v>
      </c>
      <c r="Q1466" s="165" t="s">
        <v>680</v>
      </c>
      <c r="R1466" s="167">
        <f t="shared" si="198"/>
        <v>0</v>
      </c>
      <c r="T1466" s="156"/>
      <c r="U1466" s="308" t="s">
        <v>2122</v>
      </c>
      <c r="V1466" s="227" t="s">
        <v>2102</v>
      </c>
      <c r="W1466" s="158"/>
      <c r="AE1466" s="172">
        <f t="shared" si="183"/>
        <v>0</v>
      </c>
    </row>
    <row r="1467" spans="6:31" ht="24" customHeight="1">
      <c r="F1467" s="167">
        <v>0.2</v>
      </c>
      <c r="G1467" s="165" t="s">
        <v>1261</v>
      </c>
      <c r="H1467" s="154" t="s">
        <v>1264</v>
      </c>
      <c r="I1467" s="167">
        <f>C12</f>
        <v>468.6</v>
      </c>
      <c r="J1467" s="154" t="s">
        <v>1261</v>
      </c>
      <c r="K1467" s="167">
        <f>(F1467*I1467)</f>
        <v>93.720000000000013</v>
      </c>
      <c r="M1467" s="233">
        <v>0</v>
      </c>
      <c r="N1467" s="165" t="s">
        <v>680</v>
      </c>
      <c r="O1467" s="154" t="s">
        <v>2062</v>
      </c>
      <c r="P1467" s="167">
        <f t="shared" si="197"/>
        <v>20</v>
      </c>
      <c r="Q1467" s="165" t="s">
        <v>680</v>
      </c>
      <c r="R1467" s="167">
        <f t="shared" si="198"/>
        <v>0</v>
      </c>
      <c r="S1467" s="198">
        <v>6.81</v>
      </c>
      <c r="T1467" s="165" t="s">
        <v>31</v>
      </c>
      <c r="U1467" s="154" t="s">
        <v>2045</v>
      </c>
      <c r="V1467" s="167">
        <f>V1443</f>
        <v>287</v>
      </c>
      <c r="W1467" s="165" t="s">
        <v>31</v>
      </c>
      <c r="X1467" s="167">
        <f>V1467*S1467</f>
        <v>1954.4699999999998</v>
      </c>
      <c r="AE1467" s="172">
        <f t="shared" si="183"/>
        <v>0</v>
      </c>
    </row>
    <row r="1468" spans="6:31" ht="24" customHeight="1">
      <c r="H1468" s="154" t="s">
        <v>1699</v>
      </c>
      <c r="K1468" s="76">
        <v>0</v>
      </c>
      <c r="M1468" s="233">
        <v>0</v>
      </c>
      <c r="N1468" s="165" t="s">
        <v>680</v>
      </c>
      <c r="O1468" s="154" t="s">
        <v>2063</v>
      </c>
      <c r="P1468" s="167">
        <f t="shared" si="197"/>
        <v>15</v>
      </c>
      <c r="Q1468" s="165" t="s">
        <v>680</v>
      </c>
      <c r="R1468" s="167">
        <f t="shared" si="198"/>
        <v>0</v>
      </c>
      <c r="S1468" s="198">
        <v>0.77100000000000002</v>
      </c>
      <c r="T1468" s="165" t="s">
        <v>141</v>
      </c>
      <c r="U1468" s="154" t="s">
        <v>2051</v>
      </c>
      <c r="V1468" s="167">
        <f>V1444</f>
        <v>208.8</v>
      </c>
      <c r="W1468" s="165" t="s">
        <v>31</v>
      </c>
      <c r="X1468" s="167">
        <f>V1468*S1468</f>
        <v>160.98480000000001</v>
      </c>
      <c r="AE1468" s="172">
        <f t="shared" si="183"/>
        <v>0</v>
      </c>
    </row>
    <row r="1469" spans="6:31" ht="24" customHeight="1">
      <c r="K1469" s="162" t="s">
        <v>534</v>
      </c>
      <c r="M1469" s="233">
        <v>1.89</v>
      </c>
      <c r="N1469" s="165" t="s">
        <v>250</v>
      </c>
      <c r="O1469" s="154" t="s">
        <v>2064</v>
      </c>
      <c r="P1469" s="167">
        <f t="shared" si="197"/>
        <v>1437.15</v>
      </c>
      <c r="Q1469" s="165" t="s">
        <v>250</v>
      </c>
      <c r="R1469" s="167">
        <f t="shared" si="198"/>
        <v>2716.2134999999998</v>
      </c>
      <c r="S1469" s="198">
        <v>0.77100000000000002</v>
      </c>
      <c r="T1469" s="165" t="s">
        <v>141</v>
      </c>
      <c r="U1469" s="154" t="s">
        <v>2064</v>
      </c>
      <c r="V1469" s="167">
        <f>V1445</f>
        <v>1437.15</v>
      </c>
      <c r="W1469" s="165" t="s">
        <v>31</v>
      </c>
      <c r="X1469" s="167">
        <f>V1469*S1469</f>
        <v>1108.0426500000001</v>
      </c>
      <c r="AE1469" s="172">
        <f t="shared" si="183"/>
        <v>0</v>
      </c>
    </row>
    <row r="1470" spans="6:31" ht="24" customHeight="1">
      <c r="H1470" s="155" t="s">
        <v>2119</v>
      </c>
      <c r="K1470" s="167">
        <f>SUM(K1465:K1468)</f>
        <v>259.93569000000002</v>
      </c>
      <c r="N1470" s="156"/>
      <c r="O1470" s="154" t="s">
        <v>2066</v>
      </c>
      <c r="Q1470" s="160"/>
      <c r="R1470" s="167">
        <v>0.28000000000000003</v>
      </c>
      <c r="S1470" s="198"/>
      <c r="T1470" s="165"/>
      <c r="U1470" s="154"/>
      <c r="V1470" s="167"/>
      <c r="W1470" s="165"/>
      <c r="X1470" s="167">
        <f>SUM(X1467:X1469)</f>
        <v>3223.4974499999998</v>
      </c>
      <c r="AE1470" s="172">
        <f t="shared" ref="AE1470:AE1533" si="199">AG1470</f>
        <v>0</v>
      </c>
    </row>
    <row r="1471" spans="6:31" ht="24" customHeight="1">
      <c r="K1471" s="162" t="s">
        <v>534</v>
      </c>
      <c r="R1471" s="166">
        <f>SUM(R1458:R1470)</f>
        <v>6708.2794999999996</v>
      </c>
      <c r="S1471" s="198"/>
      <c r="T1471" s="165"/>
      <c r="U1471" s="164" t="s">
        <v>2105</v>
      </c>
      <c r="V1471" s="167"/>
      <c r="W1471" s="165"/>
      <c r="X1471" s="166">
        <f>X1470/S1469</f>
        <v>4180.9305447470815</v>
      </c>
      <c r="AE1471" s="172">
        <f t="shared" si="199"/>
        <v>0</v>
      </c>
    </row>
    <row r="1472" spans="6:31" ht="24" customHeight="1">
      <c r="H1472" s="169" t="s">
        <v>2120</v>
      </c>
      <c r="I1472" s="199"/>
      <c r="J1472" s="207"/>
      <c r="K1472" s="166">
        <f>K1470/6.77</f>
        <v>38.395227474150673</v>
      </c>
      <c r="AE1472" s="172">
        <f t="shared" si="199"/>
        <v>0</v>
      </c>
    </row>
    <row r="1473" spans="6:31" ht="24" customHeight="1">
      <c r="K1473" s="162" t="s">
        <v>528</v>
      </c>
      <c r="AE1473" s="172">
        <f t="shared" si="199"/>
        <v>0</v>
      </c>
    </row>
    <row r="1474" spans="6:31" ht="24" customHeight="1">
      <c r="K1474" s="162"/>
      <c r="N1474" s="156"/>
      <c r="O1474" s="308" t="s">
        <v>2123</v>
      </c>
      <c r="P1474" s="1010" t="s">
        <v>2102</v>
      </c>
      <c r="Q1474" s="1010"/>
      <c r="R1474" s="1010"/>
      <c r="S1474" s="1011"/>
      <c r="T1474" s="1011"/>
      <c r="U1474" s="1011"/>
      <c r="V1474" s="345"/>
      <c r="W1474" s="345"/>
      <c r="AE1474" s="172">
        <f t="shared" si="199"/>
        <v>0</v>
      </c>
    </row>
    <row r="1475" spans="6:31" ht="24" customHeight="1">
      <c r="K1475" s="162"/>
      <c r="M1475" s="233">
        <v>4.67</v>
      </c>
      <c r="N1475" s="165" t="s">
        <v>31</v>
      </c>
      <c r="O1475" s="223" t="s">
        <v>2090</v>
      </c>
      <c r="P1475" s="167">
        <f>P1458</f>
        <v>287</v>
      </c>
      <c r="Q1475" s="165" t="s">
        <v>31</v>
      </c>
      <c r="R1475" s="167">
        <f>P1475*M1475</f>
        <v>1340.29</v>
      </c>
      <c r="S1475" s="233"/>
      <c r="T1475" s="165"/>
      <c r="U1475" s="154"/>
      <c r="V1475" s="167"/>
      <c r="W1475" s="165"/>
      <c r="X1475" s="167"/>
      <c r="AE1475" s="172">
        <f t="shared" si="199"/>
        <v>0</v>
      </c>
    </row>
    <row r="1476" spans="6:31" ht="24" customHeight="1">
      <c r="G1476" s="165" t="s">
        <v>1563</v>
      </c>
      <c r="H1476" s="154" t="s">
        <v>2124</v>
      </c>
      <c r="K1476" s="162"/>
      <c r="M1476" s="233">
        <v>0.54</v>
      </c>
      <c r="N1476" s="165" t="s">
        <v>141</v>
      </c>
      <c r="O1476" s="154" t="s">
        <v>2051</v>
      </c>
      <c r="P1476" s="195">
        <f>P1462</f>
        <v>208.8</v>
      </c>
      <c r="Q1476" s="165" t="s">
        <v>31</v>
      </c>
      <c r="R1476" s="167">
        <f>P1476*M1476</f>
        <v>112.75200000000001</v>
      </c>
      <c r="S1476" s="233"/>
      <c r="T1476" s="165"/>
      <c r="U1476" s="154"/>
      <c r="V1476" s="167"/>
      <c r="W1476" s="165"/>
      <c r="X1476" s="167"/>
      <c r="AE1476" s="172">
        <f t="shared" si="199"/>
        <v>0</v>
      </c>
    </row>
    <row r="1477" spans="6:31" ht="24" customHeight="1">
      <c r="G1477" s="165" t="s">
        <v>534</v>
      </c>
      <c r="H1477" s="162" t="s">
        <v>534</v>
      </c>
      <c r="K1477" s="162"/>
      <c r="M1477" s="233">
        <v>0.54</v>
      </c>
      <c r="N1477" s="165" t="s">
        <v>141</v>
      </c>
      <c r="O1477" s="154" t="s">
        <v>2064</v>
      </c>
      <c r="P1477" s="167">
        <f>P1469</f>
        <v>1437.15</v>
      </c>
      <c r="Q1477" s="165" t="s">
        <v>31</v>
      </c>
      <c r="R1477" s="167">
        <f>P1477*M1477</f>
        <v>776.06100000000015</v>
      </c>
      <c r="S1477" s="233"/>
      <c r="T1477" s="165"/>
      <c r="U1477" s="154"/>
      <c r="V1477" s="167"/>
      <c r="W1477" s="165"/>
      <c r="X1477" s="167"/>
      <c r="AE1477" s="172">
        <f t="shared" si="199"/>
        <v>0</v>
      </c>
    </row>
    <row r="1478" spans="6:31" ht="24" customHeight="1">
      <c r="F1478" s="233">
        <v>4.7000000000000002E-3</v>
      </c>
      <c r="G1478" s="165" t="s">
        <v>238</v>
      </c>
      <c r="H1478" s="154" t="s">
        <v>2116</v>
      </c>
      <c r="I1478" s="76">
        <f>K49</f>
        <v>3253.6699999999996</v>
      </c>
      <c r="J1478" s="154" t="s">
        <v>238</v>
      </c>
      <c r="K1478" s="167">
        <f>(F1478*I1478)</f>
        <v>15.292248999999998</v>
      </c>
      <c r="M1478" s="233"/>
      <c r="N1478" s="165"/>
      <c r="O1478" s="154"/>
      <c r="P1478" s="167"/>
      <c r="Q1478" s="165"/>
      <c r="R1478" s="167">
        <f>SUM(R1475:R1477)</f>
        <v>2229.1030000000001</v>
      </c>
      <c r="S1478" s="233"/>
      <c r="T1478" s="165"/>
      <c r="U1478" s="154"/>
      <c r="V1478" s="346"/>
      <c r="W1478" s="347"/>
      <c r="X1478" s="167"/>
      <c r="AE1478" s="172">
        <f t="shared" si="199"/>
        <v>0</v>
      </c>
    </row>
    <row r="1479" spans="6:31" ht="24" customHeight="1">
      <c r="F1479" s="167">
        <v>0.15</v>
      </c>
      <c r="G1479" s="165" t="s">
        <v>1261</v>
      </c>
      <c r="H1479" s="154" t="s">
        <v>2117</v>
      </c>
      <c r="I1479" s="76">
        <f>C10</f>
        <v>717.2</v>
      </c>
      <c r="J1479" s="154" t="s">
        <v>1261</v>
      </c>
      <c r="K1479" s="167">
        <f>(F1479*I1479)</f>
        <v>107.58</v>
      </c>
      <c r="M1479" s="233"/>
      <c r="N1479" s="165"/>
      <c r="O1479" s="164" t="s">
        <v>2105</v>
      </c>
      <c r="P1479" s="167"/>
      <c r="Q1479" s="165"/>
      <c r="R1479" s="166">
        <f>R1478/M1477</f>
        <v>4127.9685185185181</v>
      </c>
      <c r="S1479" s="233"/>
      <c r="T1479" s="165"/>
      <c r="U1479" s="154"/>
      <c r="V1479" s="167"/>
      <c r="W1479" s="165"/>
      <c r="X1479" s="166"/>
      <c r="AE1479" s="172">
        <f t="shared" si="199"/>
        <v>0</v>
      </c>
    </row>
    <row r="1480" spans="6:31" ht="24" customHeight="1">
      <c r="F1480" s="167">
        <v>0.15</v>
      </c>
      <c r="G1480" s="165" t="s">
        <v>1261</v>
      </c>
      <c r="H1480" s="154" t="s">
        <v>1264</v>
      </c>
      <c r="I1480" s="76">
        <f>C12</f>
        <v>468.6</v>
      </c>
      <c r="J1480" s="154" t="s">
        <v>1261</v>
      </c>
      <c r="K1480" s="167">
        <f>(F1480*I1480)</f>
        <v>70.290000000000006</v>
      </c>
      <c r="M1480" s="233"/>
      <c r="N1480" s="165"/>
      <c r="O1480" s="154"/>
      <c r="P1480" s="167"/>
      <c r="Q1480" s="165"/>
      <c r="R1480" s="167"/>
      <c r="AE1480" s="172">
        <f t="shared" si="199"/>
        <v>0</v>
      </c>
    </row>
    <row r="1481" spans="6:31" ht="24" customHeight="1">
      <c r="H1481" s="154" t="s">
        <v>1699</v>
      </c>
      <c r="K1481" s="76">
        <v>0</v>
      </c>
      <c r="N1481" s="156"/>
      <c r="O1481" s="308" t="s">
        <v>2125</v>
      </c>
      <c r="P1481" s="227" t="s">
        <v>2102</v>
      </c>
      <c r="Q1481" s="158"/>
      <c r="AE1481" s="172">
        <f t="shared" si="199"/>
        <v>0</v>
      </c>
    </row>
    <row r="1482" spans="6:31" ht="24" customHeight="1">
      <c r="K1482" s="162" t="s">
        <v>534</v>
      </c>
      <c r="M1482" s="233">
        <v>7.01</v>
      </c>
      <c r="N1482" s="165" t="s">
        <v>31</v>
      </c>
      <c r="O1482" s="223" t="s">
        <v>2090</v>
      </c>
      <c r="P1482" s="167">
        <f>P1475</f>
        <v>287</v>
      </c>
      <c r="Q1482" s="165" t="s">
        <v>31</v>
      </c>
      <c r="R1482" s="167">
        <f>P1482*M1482</f>
        <v>2011.87</v>
      </c>
      <c r="S1482" s="159">
        <f>0.3028*0.3028</f>
        <v>9.1687840000000007E-2</v>
      </c>
      <c r="T1482" s="76">
        <f>60*S1482</f>
        <v>5.5012704000000001</v>
      </c>
      <c r="U1482" s="76">
        <f>4.58/10</f>
        <v>0.45800000000000002</v>
      </c>
      <c r="AE1482" s="172">
        <f t="shared" si="199"/>
        <v>0</v>
      </c>
    </row>
    <row r="1483" spans="6:31" ht="24" customHeight="1">
      <c r="H1483" s="155" t="s">
        <v>2119</v>
      </c>
      <c r="K1483" s="167">
        <f>SUM(K1478:K1481)</f>
        <v>193.162249</v>
      </c>
      <c r="M1483" s="233">
        <v>0.81</v>
      </c>
      <c r="N1483" s="165" t="s">
        <v>141</v>
      </c>
      <c r="O1483" s="154" t="s">
        <v>2051</v>
      </c>
      <c r="P1483" s="195">
        <f>P1476</f>
        <v>208.8</v>
      </c>
      <c r="Q1483" s="165" t="s">
        <v>31</v>
      </c>
      <c r="R1483" s="167">
        <f>P1483*M1483</f>
        <v>169.12800000000001</v>
      </c>
      <c r="AE1483" s="172">
        <f t="shared" si="199"/>
        <v>0</v>
      </c>
    </row>
    <row r="1484" spans="6:31" ht="24" customHeight="1">
      <c r="K1484" s="162" t="s">
        <v>534</v>
      </c>
      <c r="M1484" s="233">
        <v>0.81</v>
      </c>
      <c r="N1484" s="165" t="s">
        <v>141</v>
      </c>
      <c r="O1484" s="154" t="s">
        <v>2064</v>
      </c>
      <c r="P1484" s="167">
        <f>P1477</f>
        <v>1437.15</v>
      </c>
      <c r="Q1484" s="165" t="s">
        <v>31</v>
      </c>
      <c r="R1484" s="167">
        <f>P1484*M1484</f>
        <v>1164.0915000000002</v>
      </c>
      <c r="AE1484" s="172">
        <f t="shared" si="199"/>
        <v>0</v>
      </c>
    </row>
    <row r="1485" spans="6:31" ht="24" customHeight="1">
      <c r="H1485" s="169" t="s">
        <v>2120</v>
      </c>
      <c r="I1485" s="199"/>
      <c r="J1485" s="207"/>
      <c r="K1485" s="166">
        <f>K1483/6.77</f>
        <v>28.532089955686857</v>
      </c>
      <c r="M1485" s="233"/>
      <c r="N1485" s="165"/>
      <c r="O1485" s="154"/>
      <c r="P1485" s="167"/>
      <c r="Q1485" s="165"/>
      <c r="R1485" s="167">
        <f>SUM(R1482:R1484)+0.68</f>
        <v>3345.7694999999999</v>
      </c>
      <c r="AE1485" s="172">
        <f t="shared" si="199"/>
        <v>0</v>
      </c>
    </row>
    <row r="1486" spans="6:31" ht="24" customHeight="1">
      <c r="K1486" s="162" t="s">
        <v>528</v>
      </c>
      <c r="M1486" s="233"/>
      <c r="N1486" s="165"/>
      <c r="O1486" s="164" t="s">
        <v>2105</v>
      </c>
      <c r="P1486" s="167"/>
      <c r="Q1486" s="165"/>
      <c r="R1486" s="166">
        <f>R1485/M1484</f>
        <v>4130.5796296296294</v>
      </c>
      <c r="AE1486" s="172">
        <f t="shared" si="199"/>
        <v>0</v>
      </c>
    </row>
    <row r="1487" spans="6:31" ht="24" customHeight="1">
      <c r="K1487" s="162"/>
      <c r="N1487" s="156"/>
      <c r="O1487" s="154"/>
      <c r="Q1487" s="160"/>
      <c r="R1487" s="167"/>
      <c r="AE1487" s="172">
        <f t="shared" si="199"/>
        <v>0</v>
      </c>
    </row>
    <row r="1488" spans="6:31" ht="24" customHeight="1">
      <c r="F1488" s="200">
        <v>37.1</v>
      </c>
      <c r="G1488" s="165" t="s">
        <v>307</v>
      </c>
      <c r="H1488" s="154" t="s">
        <v>2126</v>
      </c>
      <c r="N1488" s="156"/>
      <c r="O1488" s="308" t="s">
        <v>2127</v>
      </c>
      <c r="Q1488" s="158"/>
      <c r="AE1488" s="172">
        <f t="shared" si="199"/>
        <v>0</v>
      </c>
    </row>
    <row r="1489" spans="6:31" ht="24" customHeight="1">
      <c r="H1489" s="162" t="s">
        <v>534</v>
      </c>
      <c r="M1489" s="233">
        <v>4.42</v>
      </c>
      <c r="N1489" s="165" t="s">
        <v>31</v>
      </c>
      <c r="O1489" s="223" t="s">
        <v>2090</v>
      </c>
      <c r="P1489" s="167">
        <f>P1458</f>
        <v>287</v>
      </c>
      <c r="Q1489" s="165" t="s">
        <v>31</v>
      </c>
      <c r="R1489" s="167">
        <f>P1489*M1489</f>
        <v>1268.54</v>
      </c>
      <c r="AE1489" s="172">
        <f t="shared" si="199"/>
        <v>0</v>
      </c>
    </row>
    <row r="1490" spans="6:31" ht="24" customHeight="1">
      <c r="F1490" s="167">
        <v>0.09</v>
      </c>
      <c r="G1490" s="165" t="s">
        <v>577</v>
      </c>
      <c r="H1490" s="154" t="s">
        <v>815</v>
      </c>
      <c r="I1490" s="167">
        <f>(C84)</f>
        <v>1272</v>
      </c>
      <c r="J1490" s="154" t="s">
        <v>577</v>
      </c>
      <c r="K1490" s="167">
        <f>(F1490*I1490)</f>
        <v>114.47999999999999</v>
      </c>
      <c r="M1490" s="233">
        <v>4.72</v>
      </c>
      <c r="N1490" s="165" t="s">
        <v>31</v>
      </c>
      <c r="O1490" s="223" t="s">
        <v>2090</v>
      </c>
      <c r="P1490" s="167">
        <f t="shared" ref="P1490:P1500" si="200">P1459</f>
        <v>287</v>
      </c>
      <c r="Q1490" s="165" t="s">
        <v>31</v>
      </c>
      <c r="R1490" s="167">
        <f t="shared" ref="R1490:R1500" si="201">P1490*M1490</f>
        <v>1354.6399999999999</v>
      </c>
      <c r="AE1490" s="172">
        <f t="shared" si="199"/>
        <v>0</v>
      </c>
    </row>
    <row r="1491" spans="6:31" ht="24" customHeight="1">
      <c r="F1491" s="167">
        <v>2.2000000000000002</v>
      </c>
      <c r="G1491" s="165" t="s">
        <v>576</v>
      </c>
      <c r="H1491" s="154" t="s">
        <v>752</v>
      </c>
      <c r="I1491" s="167">
        <f>(C11)</f>
        <v>669.90000000000009</v>
      </c>
      <c r="J1491" s="154" t="s">
        <v>576</v>
      </c>
      <c r="K1491" s="167">
        <f>(F1491*I1491)</f>
        <v>1473.7800000000004</v>
      </c>
      <c r="M1491" s="233">
        <v>9.06</v>
      </c>
      <c r="N1491" s="165" t="s">
        <v>31</v>
      </c>
      <c r="O1491" s="154" t="s">
        <v>2045</v>
      </c>
      <c r="P1491" s="167">
        <f t="shared" si="200"/>
        <v>287</v>
      </c>
      <c r="Q1491" s="165" t="s">
        <v>31</v>
      </c>
      <c r="R1491" s="167">
        <f t="shared" si="201"/>
        <v>2600.2200000000003</v>
      </c>
      <c r="AE1491" s="172">
        <f t="shared" si="199"/>
        <v>0</v>
      </c>
    </row>
    <row r="1492" spans="6:31" ht="24" customHeight="1">
      <c r="F1492" s="167">
        <v>0.5</v>
      </c>
      <c r="G1492" s="165" t="s">
        <v>576</v>
      </c>
      <c r="H1492" s="154" t="s">
        <v>754</v>
      </c>
      <c r="I1492" s="167">
        <f>(C12)</f>
        <v>468.6</v>
      </c>
      <c r="J1492" s="154" t="s">
        <v>576</v>
      </c>
      <c r="K1492" s="167">
        <f>(F1492*I1492)</f>
        <v>234.3</v>
      </c>
      <c r="M1492" s="233">
        <v>1.58</v>
      </c>
      <c r="N1492" s="165" t="s">
        <v>31</v>
      </c>
      <c r="O1492" s="154" t="s">
        <v>2045</v>
      </c>
      <c r="P1492" s="167">
        <f t="shared" si="200"/>
        <v>287</v>
      </c>
      <c r="Q1492" s="165" t="s">
        <v>31</v>
      </c>
      <c r="R1492" s="167">
        <f t="shared" si="201"/>
        <v>453.46000000000004</v>
      </c>
      <c r="AE1492" s="172">
        <f t="shared" si="199"/>
        <v>0</v>
      </c>
    </row>
    <row r="1493" spans="6:31" ht="24" customHeight="1">
      <c r="F1493" s="167">
        <v>3.8</v>
      </c>
      <c r="G1493" s="165" t="s">
        <v>576</v>
      </c>
      <c r="H1493" s="154" t="s">
        <v>756</v>
      </c>
      <c r="I1493" s="167">
        <f>(C13)</f>
        <v>404.8</v>
      </c>
      <c r="J1493" s="154" t="s">
        <v>576</v>
      </c>
      <c r="K1493" s="167">
        <f>(F1493*I1493)</f>
        <v>1538.24</v>
      </c>
      <c r="M1493" s="233">
        <v>1.65</v>
      </c>
      <c r="N1493" s="165" t="s">
        <v>141</v>
      </c>
      <c r="O1493" s="154" t="s">
        <v>2051</v>
      </c>
      <c r="P1493" s="167">
        <f t="shared" si="200"/>
        <v>208.8</v>
      </c>
      <c r="Q1493" s="165" t="s">
        <v>141</v>
      </c>
      <c r="R1493" s="167">
        <f t="shared" si="201"/>
        <v>344.52</v>
      </c>
      <c r="AE1493" s="172">
        <f t="shared" si="199"/>
        <v>0</v>
      </c>
    </row>
    <row r="1494" spans="6:31" ht="24" customHeight="1">
      <c r="G1494" s="165" t="s">
        <v>589</v>
      </c>
      <c r="H1494" s="154" t="s">
        <v>2128</v>
      </c>
      <c r="I1494" s="154" t="s">
        <v>22</v>
      </c>
      <c r="J1494" s="154" t="s">
        <v>589</v>
      </c>
      <c r="K1494" s="167">
        <v>1.5</v>
      </c>
      <c r="M1494" s="233">
        <v>12.74</v>
      </c>
      <c r="N1494" s="165" t="s">
        <v>41</v>
      </c>
      <c r="O1494" s="154" t="str">
        <f>O1463</f>
        <v>rubber beeding P-41/64</v>
      </c>
      <c r="P1494" s="167">
        <f t="shared" si="200"/>
        <v>28.4</v>
      </c>
      <c r="Q1494" s="165" t="s">
        <v>41</v>
      </c>
      <c r="R1494" s="167">
        <f t="shared" si="201"/>
        <v>361.81599999999997</v>
      </c>
      <c r="AE1494" s="172">
        <f t="shared" si="199"/>
        <v>0</v>
      </c>
    </row>
    <row r="1495" spans="6:31" ht="24" customHeight="1">
      <c r="K1495" s="162" t="s">
        <v>534</v>
      </c>
      <c r="M1495" s="233">
        <v>12</v>
      </c>
      <c r="N1495" s="165" t="s">
        <v>680</v>
      </c>
      <c r="O1495" s="154" t="str">
        <f>O1464</f>
        <v>hinges 75mm x 30 mm P-41/77 b</v>
      </c>
      <c r="P1495" s="167">
        <f t="shared" si="200"/>
        <v>62.9</v>
      </c>
      <c r="Q1495" s="165" t="s">
        <v>680</v>
      </c>
      <c r="R1495" s="167">
        <f t="shared" si="201"/>
        <v>754.8</v>
      </c>
      <c r="AE1495" s="172">
        <f t="shared" si="199"/>
        <v>0</v>
      </c>
    </row>
    <row r="1496" spans="6:31" ht="24" customHeight="1">
      <c r="H1496" s="154" t="s">
        <v>1079</v>
      </c>
      <c r="K1496" s="167">
        <f>SUM(K1489:K1494)</f>
        <v>3362.3</v>
      </c>
      <c r="M1496" s="233">
        <v>6</v>
      </c>
      <c r="N1496" s="165" t="s">
        <v>680</v>
      </c>
      <c r="O1496" s="154" t="str">
        <f>O1465</f>
        <v>handle 150 mm long p-42 /80b</v>
      </c>
      <c r="P1496" s="167">
        <f t="shared" si="200"/>
        <v>50.4</v>
      </c>
      <c r="Q1496" s="165" t="s">
        <v>680</v>
      </c>
      <c r="R1496" s="167">
        <f t="shared" si="201"/>
        <v>302.39999999999998</v>
      </c>
      <c r="AE1496" s="172">
        <f t="shared" si="199"/>
        <v>0</v>
      </c>
    </row>
    <row r="1497" spans="6:31" ht="24" customHeight="1">
      <c r="K1497" s="162" t="s">
        <v>534</v>
      </c>
      <c r="M1497" s="233">
        <v>6</v>
      </c>
      <c r="N1497" s="165" t="s">
        <v>680</v>
      </c>
      <c r="O1497" s="154" t="s">
        <v>2061</v>
      </c>
      <c r="P1497" s="167">
        <f t="shared" si="200"/>
        <v>30</v>
      </c>
      <c r="Q1497" s="165" t="s">
        <v>680</v>
      </c>
      <c r="R1497" s="167">
        <f t="shared" si="201"/>
        <v>180</v>
      </c>
      <c r="AE1497" s="172">
        <f t="shared" si="199"/>
        <v>0</v>
      </c>
    </row>
    <row r="1498" spans="6:31" ht="24" customHeight="1">
      <c r="H1498" s="169" t="s">
        <v>881</v>
      </c>
      <c r="I1498" s="199"/>
      <c r="J1498" s="207"/>
      <c r="K1498" s="166">
        <f>(K1496/100)</f>
        <v>33.623000000000005</v>
      </c>
      <c r="M1498" s="233">
        <v>6</v>
      </c>
      <c r="N1498" s="165" t="s">
        <v>680</v>
      </c>
      <c r="O1498" s="154" t="s">
        <v>2062</v>
      </c>
      <c r="P1498" s="167">
        <f t="shared" si="200"/>
        <v>20</v>
      </c>
      <c r="Q1498" s="165" t="s">
        <v>680</v>
      </c>
      <c r="R1498" s="167">
        <f t="shared" si="201"/>
        <v>120</v>
      </c>
      <c r="AE1498" s="172">
        <f t="shared" si="199"/>
        <v>0</v>
      </c>
    </row>
    <row r="1499" spans="6:31" ht="24" customHeight="1">
      <c r="K1499" s="162" t="s">
        <v>528</v>
      </c>
      <c r="M1499" s="233">
        <v>4</v>
      </c>
      <c r="N1499" s="165" t="s">
        <v>680</v>
      </c>
      <c r="O1499" s="154" t="s">
        <v>2063</v>
      </c>
      <c r="P1499" s="167">
        <f t="shared" si="200"/>
        <v>15</v>
      </c>
      <c r="Q1499" s="165" t="s">
        <v>680</v>
      </c>
      <c r="R1499" s="167">
        <f t="shared" si="201"/>
        <v>60</v>
      </c>
      <c r="AE1499" s="172">
        <f t="shared" si="199"/>
        <v>0</v>
      </c>
    </row>
    <row r="1500" spans="6:31" ht="24" customHeight="1">
      <c r="F1500" s="155" t="s">
        <v>2129</v>
      </c>
      <c r="G1500" s="165" t="s">
        <v>307</v>
      </c>
      <c r="H1500" s="154" t="s">
        <v>2130</v>
      </c>
      <c r="M1500" s="233">
        <f>1.5*1.35</f>
        <v>2.0250000000000004</v>
      </c>
      <c r="N1500" s="165" t="s">
        <v>250</v>
      </c>
      <c r="O1500" s="154" t="s">
        <v>2064</v>
      </c>
      <c r="P1500" s="167">
        <f t="shared" si="200"/>
        <v>1437.15</v>
      </c>
      <c r="Q1500" s="165" t="s">
        <v>250</v>
      </c>
      <c r="R1500" s="167">
        <f t="shared" si="201"/>
        <v>2910.2287500000007</v>
      </c>
      <c r="AE1500" s="172">
        <f t="shared" si="199"/>
        <v>0</v>
      </c>
    </row>
    <row r="1501" spans="6:31" ht="24" customHeight="1">
      <c r="H1501" s="154" t="s">
        <v>2131</v>
      </c>
      <c r="N1501" s="156"/>
      <c r="O1501" s="154" t="s">
        <v>2066</v>
      </c>
      <c r="Q1501" s="160"/>
      <c r="R1501" s="167">
        <v>0.31</v>
      </c>
      <c r="AE1501" s="172">
        <f t="shared" si="199"/>
        <v>0</v>
      </c>
    </row>
    <row r="1502" spans="6:31" ht="24" customHeight="1">
      <c r="H1502" s="154" t="s">
        <v>2132</v>
      </c>
      <c r="R1502" s="166">
        <f>SUM(R1489:R1501)</f>
        <v>10710.934749999999</v>
      </c>
      <c r="AE1502" s="172">
        <f t="shared" si="199"/>
        <v>0</v>
      </c>
    </row>
    <row r="1503" spans="6:31" ht="24" customHeight="1">
      <c r="H1503" s="154" t="s">
        <v>2133</v>
      </c>
      <c r="AE1503" s="172">
        <f t="shared" si="199"/>
        <v>0</v>
      </c>
    </row>
    <row r="1504" spans="6:31" ht="24" customHeight="1">
      <c r="H1504" s="162" t="s">
        <v>534</v>
      </c>
      <c r="AE1504" s="172">
        <f t="shared" si="199"/>
        <v>0</v>
      </c>
    </row>
    <row r="1505" spans="6:31" ht="24" customHeight="1">
      <c r="F1505" s="167">
        <v>4.8</v>
      </c>
      <c r="G1505" s="165" t="s">
        <v>420</v>
      </c>
      <c r="H1505" s="154" t="s">
        <v>2134</v>
      </c>
      <c r="I1505" s="167">
        <f>(C271)</f>
        <v>48.5</v>
      </c>
      <c r="J1505" s="154" t="s">
        <v>420</v>
      </c>
      <c r="K1505" s="167">
        <f>(F1505*I1505)</f>
        <v>232.79999999999998</v>
      </c>
      <c r="AE1505" s="172">
        <f t="shared" si="199"/>
        <v>0</v>
      </c>
    </row>
    <row r="1506" spans="6:31" ht="24" customHeight="1">
      <c r="F1506" s="167">
        <v>0.75</v>
      </c>
      <c r="G1506" s="165" t="s">
        <v>576</v>
      </c>
      <c r="H1506" s="154" t="s">
        <v>2135</v>
      </c>
      <c r="I1506" s="167">
        <f>(C14)</f>
        <v>574.20000000000005</v>
      </c>
      <c r="J1506" s="154" t="s">
        <v>576</v>
      </c>
      <c r="K1506" s="167">
        <f>(F1506*I1506)</f>
        <v>430.65000000000003</v>
      </c>
      <c r="AE1506" s="172">
        <f t="shared" si="199"/>
        <v>0</v>
      </c>
    </row>
    <row r="1507" spans="6:31" ht="24" customHeight="1">
      <c r="F1507" s="167">
        <v>0.75</v>
      </c>
      <c r="G1507" s="165" t="s">
        <v>576</v>
      </c>
      <c r="H1507" s="154" t="s">
        <v>1944</v>
      </c>
      <c r="I1507" s="167">
        <f>(C12)</f>
        <v>468.6</v>
      </c>
      <c r="J1507" s="154" t="s">
        <v>576</v>
      </c>
      <c r="K1507" s="167">
        <f>(F1507*I1507)</f>
        <v>351.45000000000005</v>
      </c>
      <c r="AE1507" s="172">
        <f t="shared" si="199"/>
        <v>0</v>
      </c>
    </row>
    <row r="1508" spans="6:31" ht="24" customHeight="1">
      <c r="F1508" s="167">
        <v>1.2</v>
      </c>
      <c r="G1508" s="165" t="s">
        <v>576</v>
      </c>
      <c r="H1508" s="154" t="s">
        <v>756</v>
      </c>
      <c r="I1508" s="167">
        <f>(C13)</f>
        <v>404.8</v>
      </c>
      <c r="J1508" s="154" t="s">
        <v>576</v>
      </c>
      <c r="K1508" s="167">
        <f>(F1508*I1508)</f>
        <v>485.76</v>
      </c>
      <c r="AE1508" s="172">
        <f t="shared" si="199"/>
        <v>0</v>
      </c>
    </row>
    <row r="1509" spans="6:31" ht="24" customHeight="1">
      <c r="G1509" s="165" t="s">
        <v>589</v>
      </c>
      <c r="H1509" s="154" t="s">
        <v>1077</v>
      </c>
      <c r="I1509" s="154" t="s">
        <v>22</v>
      </c>
      <c r="J1509" s="154" t="s">
        <v>589</v>
      </c>
      <c r="K1509" s="167">
        <v>1.5</v>
      </c>
      <c r="AE1509" s="172">
        <f t="shared" si="199"/>
        <v>0</v>
      </c>
    </row>
    <row r="1510" spans="6:31" ht="24" customHeight="1">
      <c r="K1510" s="162" t="s">
        <v>534</v>
      </c>
      <c r="AE1510" s="172">
        <f t="shared" si="199"/>
        <v>0</v>
      </c>
    </row>
    <row r="1511" spans="6:31" ht="24" customHeight="1">
      <c r="H1511" s="154" t="s">
        <v>879</v>
      </c>
      <c r="K1511" s="167">
        <f>SUM(K1505:K1509)</f>
        <v>1502.16</v>
      </c>
      <c r="AE1511" s="172">
        <f t="shared" si="199"/>
        <v>0</v>
      </c>
    </row>
    <row r="1512" spans="6:31" ht="24" customHeight="1">
      <c r="K1512" s="162" t="s">
        <v>534</v>
      </c>
      <c r="AE1512" s="172">
        <f t="shared" si="199"/>
        <v>0</v>
      </c>
    </row>
    <row r="1513" spans="6:31" ht="24" customHeight="1">
      <c r="H1513" s="169" t="s">
        <v>881</v>
      </c>
      <c r="I1513" s="199"/>
      <c r="J1513" s="207"/>
      <c r="K1513" s="166">
        <f>(K1511/10)</f>
        <v>150.21600000000001</v>
      </c>
      <c r="AE1513" s="172">
        <f t="shared" si="199"/>
        <v>0</v>
      </c>
    </row>
    <row r="1514" spans="6:31" ht="24" customHeight="1">
      <c r="K1514" s="162" t="s">
        <v>528</v>
      </c>
      <c r="AE1514" s="172">
        <f t="shared" si="199"/>
        <v>0</v>
      </c>
    </row>
    <row r="1515" spans="6:31" ht="24" customHeight="1">
      <c r="F1515" s="155" t="s">
        <v>2136</v>
      </c>
      <c r="G1515" s="165" t="s">
        <v>307</v>
      </c>
      <c r="H1515" s="155" t="s">
        <v>2137</v>
      </c>
      <c r="AE1515" s="172">
        <f t="shared" si="199"/>
        <v>0</v>
      </c>
    </row>
    <row r="1516" spans="6:31" ht="24" customHeight="1">
      <c r="H1516" s="155" t="s">
        <v>1085</v>
      </c>
      <c r="M1516" s="155"/>
      <c r="N1516" s="165" t="s">
        <v>307</v>
      </c>
      <c r="O1516" s="154" t="s">
        <v>2138</v>
      </c>
      <c r="Q1516" s="158"/>
      <c r="AE1516" s="172">
        <f t="shared" si="199"/>
        <v>0</v>
      </c>
    </row>
    <row r="1517" spans="6:31" ht="24" customHeight="1">
      <c r="F1517" s="167">
        <v>3.08</v>
      </c>
      <c r="G1517" s="165" t="s">
        <v>2139</v>
      </c>
      <c r="H1517" s="154" t="s">
        <v>352</v>
      </c>
      <c r="I1517" s="167">
        <f>E271</f>
        <v>154</v>
      </c>
      <c r="J1517" s="154" t="s">
        <v>2139</v>
      </c>
      <c r="K1517" s="167">
        <f>(F1517*I1517)</f>
        <v>474.32</v>
      </c>
      <c r="N1517" s="156"/>
      <c r="O1517" s="154" t="s">
        <v>2131</v>
      </c>
      <c r="Q1517" s="158"/>
      <c r="AE1517" s="172">
        <f t="shared" si="199"/>
        <v>0</v>
      </c>
    </row>
    <row r="1518" spans="6:31" ht="24" customHeight="1">
      <c r="F1518" s="167">
        <v>0.5</v>
      </c>
      <c r="G1518" s="165" t="s">
        <v>1261</v>
      </c>
      <c r="H1518" s="154" t="s">
        <v>2140</v>
      </c>
      <c r="I1518" s="167">
        <f>C14</f>
        <v>574.20000000000005</v>
      </c>
      <c r="J1518" s="154" t="s">
        <v>1261</v>
      </c>
      <c r="K1518" s="167">
        <f>(F1518*I1518)</f>
        <v>287.10000000000002</v>
      </c>
      <c r="N1518" s="156"/>
      <c r="O1518" s="154" t="s">
        <v>2132</v>
      </c>
      <c r="Q1518" s="158"/>
      <c r="AE1518" s="172">
        <f t="shared" si="199"/>
        <v>0</v>
      </c>
    </row>
    <row r="1519" spans="6:31" ht="24" customHeight="1">
      <c r="F1519" s="167">
        <v>0.5</v>
      </c>
      <c r="G1519" s="165" t="s">
        <v>1261</v>
      </c>
      <c r="H1519" s="154" t="s">
        <v>1264</v>
      </c>
      <c r="I1519" s="167">
        <f>C12</f>
        <v>468.6</v>
      </c>
      <c r="J1519" s="154" t="s">
        <v>1261</v>
      </c>
      <c r="K1519" s="167">
        <f>(F1519*I1519)</f>
        <v>234.3</v>
      </c>
      <c r="N1519" s="156"/>
      <c r="O1519" s="154" t="s">
        <v>2133</v>
      </c>
      <c r="Q1519" s="158"/>
      <c r="AE1519" s="172">
        <f t="shared" si="199"/>
        <v>0</v>
      </c>
    </row>
    <row r="1520" spans="6:31" ht="24" customHeight="1">
      <c r="F1520" s="167">
        <v>0.8</v>
      </c>
      <c r="G1520" s="165" t="s">
        <v>1261</v>
      </c>
      <c r="H1520" s="154" t="s">
        <v>2141</v>
      </c>
      <c r="I1520" s="167">
        <f>C13</f>
        <v>404.8</v>
      </c>
      <c r="J1520" s="154" t="s">
        <v>1261</v>
      </c>
      <c r="K1520" s="167">
        <f>(F1520*I1520)</f>
        <v>323.84000000000003</v>
      </c>
      <c r="N1520" s="156"/>
      <c r="O1520" s="162" t="s">
        <v>534</v>
      </c>
      <c r="Q1520" s="158"/>
      <c r="AE1520" s="172">
        <f t="shared" si="199"/>
        <v>0</v>
      </c>
    </row>
    <row r="1521" spans="6:31" ht="24" customHeight="1">
      <c r="G1521" s="165" t="s">
        <v>589</v>
      </c>
      <c r="H1521" s="154" t="s">
        <v>1077</v>
      </c>
      <c r="J1521" s="154" t="s">
        <v>589</v>
      </c>
      <c r="K1521" s="167">
        <v>1.5</v>
      </c>
      <c r="M1521" s="167">
        <v>2.1800000000000002</v>
      </c>
      <c r="N1521" s="165" t="s">
        <v>420</v>
      </c>
      <c r="O1521" s="154" t="s">
        <v>2142</v>
      </c>
      <c r="P1521" s="167">
        <v>70</v>
      </c>
      <c r="Q1521" s="154" t="s">
        <v>420</v>
      </c>
      <c r="R1521" s="167">
        <f>M1521*P1521</f>
        <v>152.60000000000002</v>
      </c>
      <c r="AE1521" s="172">
        <f t="shared" si="199"/>
        <v>0</v>
      </c>
    </row>
    <row r="1522" spans="6:31" ht="24" customHeight="1">
      <c r="M1522" s="167">
        <v>0.75</v>
      </c>
      <c r="N1522" s="165" t="s">
        <v>576</v>
      </c>
      <c r="O1522" s="154" t="s">
        <v>2135</v>
      </c>
      <c r="P1522" s="167">
        <f>C14</f>
        <v>574.20000000000005</v>
      </c>
      <c r="Q1522" s="154" t="s">
        <v>576</v>
      </c>
      <c r="R1522" s="167">
        <f>M1522*P1522</f>
        <v>430.65000000000003</v>
      </c>
      <c r="AE1522" s="172">
        <f t="shared" si="199"/>
        <v>0</v>
      </c>
    </row>
    <row r="1523" spans="6:31" ht="24" customHeight="1">
      <c r="K1523" s="162" t="s">
        <v>534</v>
      </c>
      <c r="M1523" s="167">
        <v>0.75</v>
      </c>
      <c r="N1523" s="165" t="s">
        <v>576</v>
      </c>
      <c r="O1523" s="154" t="s">
        <v>1944</v>
      </c>
      <c r="P1523" s="167">
        <f>C12</f>
        <v>468.6</v>
      </c>
      <c r="Q1523" s="154" t="s">
        <v>576</v>
      </c>
      <c r="R1523" s="167">
        <f>M1523*P1523</f>
        <v>351.45000000000005</v>
      </c>
      <c r="AE1523" s="172">
        <f t="shared" si="199"/>
        <v>0</v>
      </c>
    </row>
    <row r="1524" spans="6:31" ht="24" customHeight="1">
      <c r="H1524" s="155" t="s">
        <v>2143</v>
      </c>
      <c r="K1524" s="167">
        <f>SUM(K1517:K1521)</f>
        <v>1321.06</v>
      </c>
      <c r="M1524" s="167">
        <v>1.2</v>
      </c>
      <c r="N1524" s="165" t="s">
        <v>576</v>
      </c>
      <c r="O1524" s="154" t="s">
        <v>756</v>
      </c>
      <c r="P1524" s="167">
        <f>C13</f>
        <v>404.8</v>
      </c>
      <c r="Q1524" s="154" t="s">
        <v>576</v>
      </c>
      <c r="R1524" s="167">
        <f>M1524*P1524</f>
        <v>485.76</v>
      </c>
      <c r="AE1524" s="172">
        <f t="shared" si="199"/>
        <v>0</v>
      </c>
    </row>
    <row r="1525" spans="6:31" ht="24" customHeight="1">
      <c r="K1525" s="162" t="s">
        <v>534</v>
      </c>
      <c r="N1525" s="165" t="s">
        <v>589</v>
      </c>
      <c r="O1525" s="154" t="s">
        <v>1077</v>
      </c>
      <c r="P1525" s="154" t="s">
        <v>22</v>
      </c>
      <c r="Q1525" s="154" t="s">
        <v>589</v>
      </c>
      <c r="R1525" s="167">
        <v>1.5</v>
      </c>
      <c r="AE1525" s="172">
        <f t="shared" si="199"/>
        <v>0</v>
      </c>
    </row>
    <row r="1526" spans="6:31" ht="24" customHeight="1">
      <c r="F1526" s="154" t="s">
        <v>22</v>
      </c>
      <c r="G1526" s="165" t="s">
        <v>22</v>
      </c>
      <c r="H1526" s="169" t="s">
        <v>1930</v>
      </c>
      <c r="I1526" s="157" t="s">
        <v>22</v>
      </c>
      <c r="J1526" s="157" t="s">
        <v>22</v>
      </c>
      <c r="K1526" s="166">
        <f>K1524/10</f>
        <v>132.10599999999999</v>
      </c>
      <c r="N1526" s="156"/>
      <c r="Q1526" s="158"/>
      <c r="R1526" s="162" t="s">
        <v>534</v>
      </c>
      <c r="AE1526" s="172">
        <f t="shared" si="199"/>
        <v>0</v>
      </c>
    </row>
    <row r="1527" spans="6:31" ht="24" customHeight="1">
      <c r="K1527" s="162" t="s">
        <v>528</v>
      </c>
      <c r="N1527" s="156"/>
      <c r="O1527" s="154" t="s">
        <v>879</v>
      </c>
      <c r="Q1527" s="158"/>
      <c r="R1527" s="167">
        <f>SUM(R1521:R1525)</f>
        <v>1421.96</v>
      </c>
      <c r="AE1527" s="172">
        <f t="shared" si="199"/>
        <v>0</v>
      </c>
    </row>
    <row r="1528" spans="6:31" ht="24" customHeight="1">
      <c r="F1528" s="155" t="s">
        <v>2016</v>
      </c>
      <c r="G1528" s="165" t="s">
        <v>307</v>
      </c>
      <c r="H1528" s="154" t="s">
        <v>2144</v>
      </c>
      <c r="N1528" s="156"/>
      <c r="Q1528" s="158"/>
      <c r="R1528" s="162" t="s">
        <v>534</v>
      </c>
      <c r="AE1528" s="172">
        <f t="shared" si="199"/>
        <v>0</v>
      </c>
    </row>
    <row r="1529" spans="6:31" ht="24" customHeight="1">
      <c r="H1529" s="154" t="s">
        <v>2145</v>
      </c>
      <c r="N1529" s="156"/>
      <c r="O1529" s="154" t="s">
        <v>881</v>
      </c>
      <c r="Q1529" s="158"/>
      <c r="R1529" s="167">
        <f>(R1527/10)</f>
        <v>142.196</v>
      </c>
      <c r="AE1529" s="172">
        <f t="shared" si="199"/>
        <v>0</v>
      </c>
    </row>
    <row r="1530" spans="6:31" ht="24" customHeight="1">
      <c r="H1530" s="154" t="s">
        <v>2146</v>
      </c>
      <c r="N1530" s="156"/>
      <c r="Q1530" s="158"/>
      <c r="R1530" s="162" t="s">
        <v>528</v>
      </c>
      <c r="AE1530" s="172">
        <f t="shared" si="199"/>
        <v>0</v>
      </c>
    </row>
    <row r="1531" spans="6:31" ht="24" customHeight="1">
      <c r="H1531" s="162" t="s">
        <v>534</v>
      </c>
      <c r="L1531" s="348"/>
      <c r="M1531" s="349"/>
      <c r="N1531" s="1012" t="s">
        <v>2147</v>
      </c>
      <c r="O1531" s="1012"/>
      <c r="P1531" s="1012"/>
      <c r="Q1531" s="1012"/>
      <c r="R1531" s="1012"/>
      <c r="AE1531" s="172">
        <f t="shared" si="199"/>
        <v>0</v>
      </c>
    </row>
    <row r="1532" spans="6:31" ht="24" customHeight="1">
      <c r="F1532" s="167">
        <v>1.44</v>
      </c>
      <c r="G1532" s="165" t="s">
        <v>2006</v>
      </c>
      <c r="H1532" s="154" t="s">
        <v>2148</v>
      </c>
      <c r="I1532" s="167">
        <f>(C196)</f>
        <v>143.30000000000001</v>
      </c>
      <c r="J1532" s="154" t="s">
        <v>2006</v>
      </c>
      <c r="K1532" s="167">
        <f>(F1532*I1532)</f>
        <v>206.352</v>
      </c>
      <c r="L1532" s="350"/>
      <c r="M1532" s="351"/>
      <c r="N1532" s="352"/>
      <c r="O1532" s="353" t="s">
        <v>2149</v>
      </c>
      <c r="P1532" s="354"/>
      <c r="Q1532" s="352"/>
      <c r="R1532" s="354"/>
      <c r="AE1532" s="172">
        <f t="shared" si="199"/>
        <v>0</v>
      </c>
    </row>
    <row r="1533" spans="6:31" ht="24" customHeight="1">
      <c r="F1533" s="167">
        <v>0.7</v>
      </c>
      <c r="G1533" s="165" t="s">
        <v>680</v>
      </c>
      <c r="H1533" s="154" t="s">
        <v>2008</v>
      </c>
      <c r="I1533" s="167">
        <f>(C14)</f>
        <v>574.20000000000005</v>
      </c>
      <c r="J1533" s="154" t="s">
        <v>680</v>
      </c>
      <c r="K1533" s="167">
        <f>(F1533*I1533)</f>
        <v>401.94</v>
      </c>
      <c r="L1533" s="350"/>
      <c r="M1533" s="351"/>
      <c r="N1533" s="352"/>
      <c r="O1533" s="355"/>
      <c r="P1533" s="354"/>
      <c r="Q1533" s="352"/>
      <c r="R1533" s="354"/>
      <c r="AE1533" s="172">
        <f t="shared" si="199"/>
        <v>0</v>
      </c>
    </row>
    <row r="1534" spans="6:31" ht="24" customHeight="1">
      <c r="F1534" s="167">
        <v>2.5499999999999998</v>
      </c>
      <c r="G1534" s="165" t="s">
        <v>2006</v>
      </c>
      <c r="H1534" s="154" t="s">
        <v>2150</v>
      </c>
      <c r="I1534" s="167">
        <f>(C195)</f>
        <v>232</v>
      </c>
      <c r="J1534" s="154" t="s">
        <v>2006</v>
      </c>
      <c r="K1534" s="167">
        <f>(F1534*I1534)</f>
        <v>591.59999999999991</v>
      </c>
      <c r="L1534" s="350"/>
      <c r="M1534" s="351"/>
      <c r="N1534" s="352"/>
      <c r="O1534" s="355"/>
      <c r="P1534" s="354"/>
      <c r="Q1534" s="352"/>
      <c r="R1534" s="354"/>
      <c r="AE1534" s="172">
        <f t="shared" ref="AE1534:AE1597" si="202">AG1534</f>
        <v>0</v>
      </c>
    </row>
    <row r="1535" spans="6:31" ht="24" customHeight="1">
      <c r="F1535" s="167">
        <v>1.2</v>
      </c>
      <c r="G1535" s="165" t="s">
        <v>680</v>
      </c>
      <c r="H1535" s="154" t="s">
        <v>2008</v>
      </c>
      <c r="I1535" s="167">
        <f>(C14)</f>
        <v>574.20000000000005</v>
      </c>
      <c r="J1535" s="154" t="s">
        <v>680</v>
      </c>
      <c r="K1535" s="167">
        <f>(F1535*I1535)</f>
        <v>689.04000000000008</v>
      </c>
      <c r="L1535" s="350"/>
      <c r="M1535" s="351">
        <v>19.13</v>
      </c>
      <c r="N1535" s="352" t="s">
        <v>31</v>
      </c>
      <c r="O1535" s="355" t="s">
        <v>2151</v>
      </c>
      <c r="P1535" s="354">
        <f>P1489</f>
        <v>287</v>
      </c>
      <c r="Q1535" s="352" t="s">
        <v>31</v>
      </c>
      <c r="R1535" s="354">
        <f>P1535*M1535</f>
        <v>5490.3099999999995</v>
      </c>
      <c r="AE1535" s="172">
        <f t="shared" si="202"/>
        <v>0</v>
      </c>
    </row>
    <row r="1536" spans="6:31" ht="24" customHeight="1">
      <c r="G1536" s="165" t="s">
        <v>589</v>
      </c>
      <c r="H1536" s="154" t="s">
        <v>1914</v>
      </c>
      <c r="I1536" s="154" t="s">
        <v>22</v>
      </c>
      <c r="J1536" s="154" t="s">
        <v>589</v>
      </c>
      <c r="K1536" s="167">
        <v>1.5</v>
      </c>
      <c r="L1536" s="350"/>
      <c r="M1536" s="351">
        <v>2.97</v>
      </c>
      <c r="N1536" s="352" t="s">
        <v>141</v>
      </c>
      <c r="O1536" s="355" t="s">
        <v>2152</v>
      </c>
      <c r="P1536" s="354">
        <f>P1493</f>
        <v>208.8</v>
      </c>
      <c r="Q1536" s="352" t="s">
        <v>141</v>
      </c>
      <c r="R1536" s="354">
        <f t="shared" ref="R1536:R1541" si="203">P1536*M1536</f>
        <v>620.13600000000008</v>
      </c>
      <c r="AE1536" s="172">
        <f t="shared" si="202"/>
        <v>0</v>
      </c>
    </row>
    <row r="1537" spans="6:31" ht="24" customHeight="1">
      <c r="K1537" s="162" t="s">
        <v>534</v>
      </c>
      <c r="L1537" s="350"/>
      <c r="M1537" s="351">
        <v>15.3</v>
      </c>
      <c r="N1537" s="352" t="s">
        <v>41</v>
      </c>
      <c r="O1537" s="355" t="s">
        <v>2153</v>
      </c>
      <c r="P1537" s="354">
        <f>P1494</f>
        <v>28.4</v>
      </c>
      <c r="Q1537" s="352" t="s">
        <v>41</v>
      </c>
      <c r="R1537" s="354">
        <f t="shared" si="203"/>
        <v>434.52</v>
      </c>
      <c r="AE1537" s="172">
        <f t="shared" si="202"/>
        <v>0</v>
      </c>
    </row>
    <row r="1538" spans="6:31" ht="24" customHeight="1">
      <c r="H1538" s="154" t="s">
        <v>879</v>
      </c>
      <c r="K1538" s="167">
        <f>SUM(K1532:K1536)</f>
        <v>1890.4319999999998</v>
      </c>
      <c r="L1538" s="350"/>
      <c r="M1538" s="351">
        <v>3</v>
      </c>
      <c r="N1538" s="352" t="s">
        <v>2154</v>
      </c>
      <c r="O1538" s="355" t="s">
        <v>2155</v>
      </c>
      <c r="P1538" s="354">
        <f>I4011</f>
        <v>350</v>
      </c>
      <c r="Q1538" s="352" t="s">
        <v>680</v>
      </c>
      <c r="R1538" s="354">
        <f t="shared" si="203"/>
        <v>1050</v>
      </c>
      <c r="AE1538" s="172">
        <f t="shared" si="202"/>
        <v>0</v>
      </c>
    </row>
    <row r="1539" spans="6:31" ht="24" customHeight="1">
      <c r="K1539" s="162" t="s">
        <v>534</v>
      </c>
      <c r="L1539" s="350"/>
      <c r="M1539" s="351">
        <v>3</v>
      </c>
      <c r="N1539" s="352" t="s">
        <v>680</v>
      </c>
      <c r="O1539" s="355" t="s">
        <v>2156</v>
      </c>
      <c r="P1539" s="354">
        <f>I4012</f>
        <v>50.4</v>
      </c>
      <c r="Q1539" s="352" t="s">
        <v>680</v>
      </c>
      <c r="R1539" s="354">
        <f t="shared" si="203"/>
        <v>151.19999999999999</v>
      </c>
      <c r="AE1539" s="172">
        <f t="shared" si="202"/>
        <v>0</v>
      </c>
    </row>
    <row r="1540" spans="6:31" ht="24" customHeight="1">
      <c r="H1540" s="169" t="s">
        <v>881</v>
      </c>
      <c r="I1540" s="199"/>
      <c r="J1540" s="207"/>
      <c r="K1540" s="166">
        <f>(K1538/10)</f>
        <v>189.04319999999998</v>
      </c>
      <c r="L1540" s="350"/>
      <c r="M1540" s="351">
        <v>6</v>
      </c>
      <c r="N1540" s="352" t="s">
        <v>680</v>
      </c>
      <c r="O1540" s="355" t="s">
        <v>2157</v>
      </c>
      <c r="P1540" s="354">
        <f>I3997</f>
        <v>15</v>
      </c>
      <c r="Q1540" s="352" t="s">
        <v>680</v>
      </c>
      <c r="R1540" s="354">
        <f t="shared" si="203"/>
        <v>90</v>
      </c>
      <c r="AE1540" s="172">
        <f t="shared" si="202"/>
        <v>0</v>
      </c>
    </row>
    <row r="1541" spans="6:31" ht="24" customHeight="1">
      <c r="F1541" s="154" t="s">
        <v>22</v>
      </c>
      <c r="L1541" s="350"/>
      <c r="M1541" s="351">
        <v>2.97</v>
      </c>
      <c r="N1541" s="352" t="s">
        <v>250</v>
      </c>
      <c r="O1541" s="355" t="s">
        <v>2158</v>
      </c>
      <c r="P1541" s="354">
        <f>R1552</f>
        <v>1437.15</v>
      </c>
      <c r="Q1541" s="352" t="s">
        <v>250</v>
      </c>
      <c r="R1541" s="354">
        <f t="shared" si="203"/>
        <v>4268.3355000000001</v>
      </c>
      <c r="AE1541" s="172">
        <f t="shared" si="202"/>
        <v>0</v>
      </c>
    </row>
    <row r="1542" spans="6:31" ht="24" customHeight="1">
      <c r="K1542" s="162" t="s">
        <v>528</v>
      </c>
      <c r="L1542" s="350"/>
      <c r="M1542" s="351"/>
      <c r="N1542" s="352"/>
      <c r="O1542" s="355" t="s">
        <v>1699</v>
      </c>
      <c r="P1542" s="349"/>
      <c r="Q1542" s="356"/>
      <c r="R1542" s="354">
        <v>3.5</v>
      </c>
      <c r="AE1542" s="172">
        <f t="shared" si="202"/>
        <v>0</v>
      </c>
    </row>
    <row r="1543" spans="6:31" ht="24" customHeight="1">
      <c r="F1543" s="187">
        <v>41</v>
      </c>
      <c r="G1543" s="165" t="s">
        <v>307</v>
      </c>
      <c r="H1543" s="154" t="s">
        <v>2159</v>
      </c>
      <c r="L1543" s="350"/>
      <c r="M1543" s="349"/>
      <c r="N1543" s="357"/>
      <c r="O1543" s="154" t="s">
        <v>2160</v>
      </c>
      <c r="P1543" s="349"/>
      <c r="Q1543" s="349"/>
      <c r="R1543" s="358">
        <f>SUM(R1535:R1542)</f>
        <v>12108.0015</v>
      </c>
      <c r="AE1543" s="172">
        <f t="shared" si="202"/>
        <v>0</v>
      </c>
    </row>
    <row r="1544" spans="6:31" ht="24" customHeight="1">
      <c r="H1544" s="154" t="s">
        <v>2161</v>
      </c>
      <c r="L1544" s="359"/>
      <c r="M1544" s="349"/>
      <c r="N1544" s="349"/>
      <c r="AE1544" s="172">
        <f t="shared" si="202"/>
        <v>0</v>
      </c>
    </row>
    <row r="1545" spans="6:31" ht="24" customHeight="1">
      <c r="H1545" s="154" t="s">
        <v>2162</v>
      </c>
      <c r="L1545" s="348"/>
      <c r="M1545" s="349"/>
      <c r="N1545" s="349"/>
      <c r="O1545" s="154" t="s">
        <v>881</v>
      </c>
      <c r="P1545" s="349"/>
      <c r="Q1545" s="349"/>
      <c r="R1545" s="360">
        <f>R1543/2.97</f>
        <v>4076.7681818181818</v>
      </c>
      <c r="S1545" s="159">
        <f>R1545-3740</f>
        <v>336.7681818181818</v>
      </c>
      <c r="AE1545" s="172">
        <f t="shared" si="202"/>
        <v>0</v>
      </c>
    </row>
    <row r="1546" spans="6:31" ht="24" customHeight="1">
      <c r="H1546" s="162" t="s">
        <v>534</v>
      </c>
      <c r="L1546" s="350"/>
      <c r="M1546" s="349"/>
      <c r="N1546" s="349"/>
      <c r="O1546" s="361"/>
      <c r="P1546" s="349"/>
      <c r="Q1546" s="349"/>
      <c r="R1546" s="349"/>
      <c r="AE1546" s="172">
        <f t="shared" si="202"/>
        <v>0</v>
      </c>
    </row>
    <row r="1547" spans="6:31" ht="24" customHeight="1">
      <c r="F1547" s="167">
        <v>2.2200000000000002</v>
      </c>
      <c r="G1547" s="165" t="s">
        <v>2006</v>
      </c>
      <c r="H1547" s="154" t="s">
        <v>2150</v>
      </c>
      <c r="I1547" s="167">
        <f>(C207)</f>
        <v>221</v>
      </c>
      <c r="J1547" s="154" t="s">
        <v>2006</v>
      </c>
      <c r="K1547" s="167">
        <f>(F1547*I1547)</f>
        <v>490.62000000000006</v>
      </c>
      <c r="L1547" s="350"/>
      <c r="M1547" s="354">
        <v>1</v>
      </c>
      <c r="N1547" s="352" t="s">
        <v>576</v>
      </c>
      <c r="O1547" s="355" t="s">
        <v>2163</v>
      </c>
      <c r="P1547" s="354">
        <f>AE17</f>
        <v>633.6</v>
      </c>
      <c r="Q1547" s="355" t="s">
        <v>576</v>
      </c>
      <c r="R1547" s="354">
        <f>P1547*M1547</f>
        <v>633.6</v>
      </c>
      <c r="AE1547" s="172">
        <f t="shared" si="202"/>
        <v>0</v>
      </c>
    </row>
    <row r="1548" spans="6:31" ht="24" customHeight="1">
      <c r="F1548" s="167">
        <v>1.1000000000000001</v>
      </c>
      <c r="G1548" s="165" t="s">
        <v>680</v>
      </c>
      <c r="H1548" s="154" t="s">
        <v>2008</v>
      </c>
      <c r="I1548" s="167">
        <f>(C14)</f>
        <v>574.20000000000005</v>
      </c>
      <c r="J1548" s="154" t="s">
        <v>680</v>
      </c>
      <c r="K1548" s="167">
        <f>(F1548*I1548)</f>
        <v>631.62000000000012</v>
      </c>
      <c r="L1548" s="350"/>
      <c r="M1548" s="354">
        <v>1</v>
      </c>
      <c r="N1548" s="352" t="s">
        <v>576</v>
      </c>
      <c r="O1548" s="355" t="s">
        <v>2164</v>
      </c>
      <c r="P1548" s="354">
        <f>AE11</f>
        <v>468.6</v>
      </c>
      <c r="Q1548" s="355" t="s">
        <v>576</v>
      </c>
      <c r="R1548" s="354">
        <f>P1548*M1548</f>
        <v>468.6</v>
      </c>
      <c r="AE1548" s="172">
        <f t="shared" si="202"/>
        <v>0</v>
      </c>
    </row>
    <row r="1549" spans="6:31" ht="24" customHeight="1">
      <c r="G1549" s="165" t="s">
        <v>589</v>
      </c>
      <c r="H1549" s="154" t="s">
        <v>1914</v>
      </c>
      <c r="I1549" s="154" t="s">
        <v>22</v>
      </c>
      <c r="J1549" s="154" t="s">
        <v>589</v>
      </c>
      <c r="K1549" s="167">
        <v>1.5</v>
      </c>
      <c r="L1549" s="350"/>
      <c r="M1549" s="354">
        <v>0.5</v>
      </c>
      <c r="N1549" s="352" t="s">
        <v>576</v>
      </c>
      <c r="O1549" s="355" t="s">
        <v>2165</v>
      </c>
      <c r="P1549" s="354">
        <f>AE20</f>
        <v>669.90000000000009</v>
      </c>
      <c r="Q1549" s="355" t="s">
        <v>576</v>
      </c>
      <c r="R1549" s="354">
        <f>P1549*M1549</f>
        <v>334.95000000000005</v>
      </c>
      <c r="AE1549" s="172">
        <f t="shared" si="202"/>
        <v>0</v>
      </c>
    </row>
    <row r="1550" spans="6:31" ht="24" customHeight="1">
      <c r="K1550" s="162" t="s">
        <v>534</v>
      </c>
      <c r="L1550" s="350"/>
      <c r="M1550" s="349"/>
      <c r="N1550" s="357"/>
      <c r="O1550" s="349"/>
      <c r="P1550" s="349"/>
      <c r="Q1550" s="362"/>
      <c r="R1550" s="354"/>
      <c r="AE1550" s="172">
        <f t="shared" si="202"/>
        <v>0</v>
      </c>
    </row>
    <row r="1551" spans="6:31" ht="24" customHeight="1">
      <c r="H1551" s="154" t="s">
        <v>879</v>
      </c>
      <c r="K1551" s="167">
        <f>SUM(K1547:K1549)</f>
        <v>1123.7400000000002</v>
      </c>
      <c r="L1551" s="350"/>
      <c r="M1551" s="349"/>
      <c r="N1551" s="357"/>
      <c r="O1551" s="355" t="s">
        <v>2166</v>
      </c>
      <c r="P1551" s="349"/>
      <c r="Q1551" s="362"/>
      <c r="R1551" s="363" t="s">
        <v>534</v>
      </c>
      <c r="AE1551" s="172">
        <f t="shared" si="202"/>
        <v>0</v>
      </c>
    </row>
    <row r="1552" spans="6:31" ht="24" customHeight="1">
      <c r="K1552" s="162" t="s">
        <v>534</v>
      </c>
      <c r="L1552" s="350"/>
      <c r="M1552" s="349"/>
      <c r="N1552" s="357"/>
      <c r="O1552" s="349"/>
      <c r="P1552" s="349"/>
      <c r="Q1552" s="362"/>
      <c r="R1552" s="358">
        <f>SUM(R1547:R1551)</f>
        <v>1437.15</v>
      </c>
      <c r="AE1552" s="172">
        <f t="shared" si="202"/>
        <v>0</v>
      </c>
    </row>
    <row r="1553" spans="6:31" ht="24" customHeight="1">
      <c r="H1553" s="169" t="s">
        <v>881</v>
      </c>
      <c r="I1553" s="199"/>
      <c r="J1553" s="207"/>
      <c r="K1553" s="166">
        <f>(K1551/10)</f>
        <v>112.37400000000002</v>
      </c>
      <c r="L1553" s="350"/>
      <c r="AE1553" s="172">
        <f t="shared" si="202"/>
        <v>0</v>
      </c>
    </row>
    <row r="1554" spans="6:31" ht="24" customHeight="1">
      <c r="H1554" s="154"/>
      <c r="K1554" s="167"/>
      <c r="L1554" s="350"/>
      <c r="AE1554" s="172">
        <f t="shared" si="202"/>
        <v>0</v>
      </c>
    </row>
    <row r="1555" spans="6:31" ht="24" customHeight="1">
      <c r="H1555" s="154"/>
      <c r="K1555" s="167"/>
      <c r="L1555" s="350"/>
      <c r="AE1555" s="172">
        <f t="shared" si="202"/>
        <v>0</v>
      </c>
    </row>
    <row r="1556" spans="6:31" ht="24" customHeight="1">
      <c r="F1556" s="364">
        <v>238</v>
      </c>
      <c r="G1556" s="365" t="s">
        <v>307</v>
      </c>
      <c r="H1556" s="366" t="s">
        <v>2167</v>
      </c>
      <c r="I1556" s="367"/>
      <c r="J1556" s="368"/>
      <c r="K1556" s="367"/>
      <c r="L1556" s="350"/>
      <c r="AE1556" s="172">
        <f t="shared" si="202"/>
        <v>0</v>
      </c>
    </row>
    <row r="1557" spans="6:31" ht="24" customHeight="1">
      <c r="F1557" s="369"/>
      <c r="G1557" s="370"/>
      <c r="H1557" s="371" t="s">
        <v>2168</v>
      </c>
      <c r="I1557" s="91"/>
      <c r="J1557" s="372"/>
      <c r="K1557" s="91"/>
      <c r="L1557" s="359"/>
      <c r="AE1557" s="172">
        <f t="shared" si="202"/>
        <v>0</v>
      </c>
    </row>
    <row r="1558" spans="6:31" ht="24" customHeight="1">
      <c r="F1558" s="369"/>
      <c r="G1558" s="370"/>
      <c r="H1558" s="373" t="s">
        <v>534</v>
      </c>
      <c r="I1558" s="91"/>
      <c r="J1558" s="372"/>
      <c r="K1558" s="91"/>
      <c r="AE1558" s="172">
        <f t="shared" si="202"/>
        <v>0</v>
      </c>
    </row>
    <row r="1559" spans="6:31" ht="24" customHeight="1">
      <c r="F1559" s="374">
        <v>20</v>
      </c>
      <c r="G1559" s="375" t="s">
        <v>2006</v>
      </c>
      <c r="H1559" s="371" t="s">
        <v>2169</v>
      </c>
      <c r="I1559" s="376">
        <f>D40</f>
        <v>116.2</v>
      </c>
      <c r="J1559" s="371" t="s">
        <v>2006</v>
      </c>
      <c r="K1559" s="377">
        <f>(F1559*I1559)</f>
        <v>2324</v>
      </c>
      <c r="AE1559" s="172">
        <f t="shared" si="202"/>
        <v>0</v>
      </c>
    </row>
    <row r="1560" spans="6:31" ht="24" customHeight="1">
      <c r="F1560" s="369"/>
      <c r="G1560" s="370"/>
      <c r="H1560" s="371" t="s">
        <v>2170</v>
      </c>
      <c r="I1560" s="91"/>
      <c r="J1560" s="372"/>
      <c r="K1560" s="371" t="s">
        <v>22</v>
      </c>
      <c r="AE1560" s="172">
        <f t="shared" si="202"/>
        <v>0</v>
      </c>
    </row>
    <row r="1561" spans="6:31" ht="24" customHeight="1">
      <c r="F1561" s="374">
        <v>50</v>
      </c>
      <c r="G1561" s="375" t="s">
        <v>420</v>
      </c>
      <c r="H1561" s="371" t="s">
        <v>568</v>
      </c>
      <c r="I1561" s="377">
        <f>C67/1000</f>
        <v>5.75</v>
      </c>
      <c r="J1561" s="371" t="s">
        <v>420</v>
      </c>
      <c r="K1561" s="377">
        <f>(F1561*I1561)</f>
        <v>287.5</v>
      </c>
      <c r="AE1561" s="172">
        <f t="shared" si="202"/>
        <v>0</v>
      </c>
    </row>
    <row r="1562" spans="6:31" ht="24" customHeight="1">
      <c r="F1562" s="374">
        <v>1</v>
      </c>
      <c r="G1562" s="375" t="s">
        <v>589</v>
      </c>
      <c r="H1562" s="371" t="s">
        <v>2171</v>
      </c>
      <c r="I1562" s="378">
        <v>75</v>
      </c>
      <c r="J1562" s="371" t="s">
        <v>589</v>
      </c>
      <c r="K1562" s="377">
        <f>(F1562*I1562)</f>
        <v>75</v>
      </c>
      <c r="AE1562" s="172">
        <f t="shared" si="202"/>
        <v>0</v>
      </c>
    </row>
    <row r="1563" spans="6:31" ht="24" customHeight="1">
      <c r="F1563" s="374">
        <v>1</v>
      </c>
      <c r="G1563" s="375" t="s">
        <v>589</v>
      </c>
      <c r="H1563" s="371" t="s">
        <v>2172</v>
      </c>
      <c r="I1563" s="377">
        <f>C38</f>
        <v>40</v>
      </c>
      <c r="J1563" s="371" t="s">
        <v>589</v>
      </c>
      <c r="K1563" s="377">
        <f>(F1563*I1563)</f>
        <v>40</v>
      </c>
      <c r="AE1563" s="172">
        <f t="shared" si="202"/>
        <v>0</v>
      </c>
    </row>
    <row r="1564" spans="6:31" ht="24" customHeight="1">
      <c r="F1564" s="374">
        <v>2.5</v>
      </c>
      <c r="G1564" s="375" t="s">
        <v>589</v>
      </c>
      <c r="H1564" s="371" t="s">
        <v>2173</v>
      </c>
      <c r="I1564" s="377">
        <f>D14</f>
        <v>555.5</v>
      </c>
      <c r="J1564" s="371" t="s">
        <v>589</v>
      </c>
      <c r="K1564" s="377">
        <f>(F1564*I1564)</f>
        <v>1388.75</v>
      </c>
      <c r="AE1564" s="172">
        <f t="shared" si="202"/>
        <v>0</v>
      </c>
    </row>
    <row r="1565" spans="6:31" ht="24" customHeight="1">
      <c r="F1565" s="369"/>
      <c r="G1565" s="375" t="s">
        <v>589</v>
      </c>
      <c r="H1565" s="371" t="s">
        <v>2174</v>
      </c>
      <c r="I1565" s="91"/>
      <c r="J1565" s="371" t="s">
        <v>589</v>
      </c>
      <c r="K1565" s="379">
        <v>1.5</v>
      </c>
      <c r="AE1565" s="172">
        <f t="shared" si="202"/>
        <v>0</v>
      </c>
    </row>
    <row r="1566" spans="6:31" ht="24" customHeight="1">
      <c r="F1566" s="369"/>
      <c r="G1566" s="370"/>
      <c r="H1566" s="91"/>
      <c r="I1566" s="91"/>
      <c r="J1566" s="372"/>
      <c r="K1566" s="373" t="s">
        <v>534</v>
      </c>
      <c r="AE1566" s="172">
        <f t="shared" si="202"/>
        <v>0</v>
      </c>
    </row>
    <row r="1567" spans="6:31" ht="24" customHeight="1">
      <c r="F1567" s="369"/>
      <c r="G1567" s="370"/>
      <c r="H1567" s="380" t="s">
        <v>2175</v>
      </c>
      <c r="I1567" s="381"/>
      <c r="J1567" s="382"/>
      <c r="K1567" s="383">
        <f>SUM(K1559:K1565)</f>
        <v>4116.75</v>
      </c>
      <c r="AE1567" s="172">
        <f t="shared" si="202"/>
        <v>0</v>
      </c>
    </row>
    <row r="1568" spans="6:31" ht="24" customHeight="1">
      <c r="F1568" s="369"/>
      <c r="G1568" s="370"/>
      <c r="H1568" s="371"/>
      <c r="I1568" s="91"/>
      <c r="J1568" s="372"/>
      <c r="K1568" s="373" t="s">
        <v>534</v>
      </c>
      <c r="AE1568" s="172">
        <f t="shared" si="202"/>
        <v>0</v>
      </c>
    </row>
    <row r="1569" spans="6:31" ht="24" customHeight="1">
      <c r="F1569" s="384"/>
      <c r="G1569" s="385"/>
      <c r="H1569" s="386"/>
      <c r="I1569" s="386"/>
      <c r="J1569" s="387"/>
      <c r="K1569" s="388"/>
      <c r="AE1569" s="172">
        <f t="shared" si="202"/>
        <v>0</v>
      </c>
    </row>
    <row r="1570" spans="6:31" ht="24" customHeight="1">
      <c r="F1570" s="389" t="s">
        <v>2176</v>
      </c>
      <c r="G1570" s="365" t="s">
        <v>307</v>
      </c>
      <c r="H1570" s="366" t="s">
        <v>2177</v>
      </c>
      <c r="I1570" s="367"/>
      <c r="J1570" s="368"/>
      <c r="K1570" s="367"/>
      <c r="AE1570" s="172">
        <f t="shared" si="202"/>
        <v>0</v>
      </c>
    </row>
    <row r="1571" spans="6:31" ht="24" customHeight="1">
      <c r="F1571" s="369"/>
      <c r="G1571" s="370"/>
      <c r="H1571" s="371" t="s">
        <v>2178</v>
      </c>
      <c r="I1571" s="91"/>
      <c r="J1571" s="372"/>
      <c r="K1571" s="91"/>
      <c r="AE1571" s="172">
        <f t="shared" si="202"/>
        <v>0</v>
      </c>
    </row>
    <row r="1572" spans="6:31" ht="24" customHeight="1">
      <c r="F1572" s="369"/>
      <c r="G1572" s="370"/>
      <c r="H1572" s="373" t="s">
        <v>534</v>
      </c>
      <c r="I1572" s="91"/>
      <c r="J1572" s="372"/>
      <c r="K1572" s="91"/>
      <c r="AE1572" s="172">
        <f t="shared" si="202"/>
        <v>0</v>
      </c>
    </row>
    <row r="1573" spans="6:31" ht="24" customHeight="1">
      <c r="F1573" s="374">
        <v>1</v>
      </c>
      <c r="G1573" s="375" t="s">
        <v>2179</v>
      </c>
      <c r="H1573" s="371" t="s">
        <v>2180</v>
      </c>
      <c r="I1573" s="377">
        <f>(C139)</f>
        <v>45000</v>
      </c>
      <c r="J1573" s="371" t="s">
        <v>47</v>
      </c>
      <c r="K1573" s="377">
        <f>(F1573*I1573)/10</f>
        <v>4500</v>
      </c>
      <c r="AE1573" s="172">
        <f t="shared" si="202"/>
        <v>0</v>
      </c>
    </row>
    <row r="1574" spans="6:31" ht="24" customHeight="1">
      <c r="F1574" s="390">
        <v>0.01</v>
      </c>
      <c r="G1574" s="375" t="s">
        <v>2179</v>
      </c>
      <c r="H1574" s="371" t="s">
        <v>2181</v>
      </c>
      <c r="I1574" s="377">
        <f>(C143)</f>
        <v>43750</v>
      </c>
      <c r="J1574" s="371" t="s">
        <v>47</v>
      </c>
      <c r="K1574" s="377">
        <f>(F1574*I1574)/10</f>
        <v>43.75</v>
      </c>
      <c r="AE1574" s="172">
        <f t="shared" si="202"/>
        <v>0</v>
      </c>
    </row>
    <row r="1575" spans="6:31" ht="24" customHeight="1">
      <c r="F1575" s="390">
        <v>3.5</v>
      </c>
      <c r="G1575" s="375" t="s">
        <v>680</v>
      </c>
      <c r="H1575" s="371" t="s">
        <v>2182</v>
      </c>
      <c r="I1575" s="377">
        <f>AE38</f>
        <v>622.6</v>
      </c>
      <c r="J1575" s="371" t="s">
        <v>332</v>
      </c>
      <c r="K1575" s="377">
        <f>(F1575*I1575)</f>
        <v>2179.1</v>
      </c>
      <c r="AE1575" s="172">
        <f t="shared" si="202"/>
        <v>0</v>
      </c>
    </row>
    <row r="1576" spans="6:31" ht="24" customHeight="1">
      <c r="F1576" s="374">
        <v>1.3</v>
      </c>
      <c r="G1576" s="375" t="s">
        <v>420</v>
      </c>
      <c r="H1576" s="371" t="s">
        <v>2183</v>
      </c>
      <c r="I1576" s="377">
        <f>C67/1000</f>
        <v>5.75</v>
      </c>
      <c r="J1576" s="371" t="s">
        <v>420</v>
      </c>
      <c r="K1576" s="377">
        <f>(F1576*I1576)</f>
        <v>7.4750000000000005</v>
      </c>
      <c r="AE1576" s="172">
        <f t="shared" si="202"/>
        <v>0</v>
      </c>
    </row>
    <row r="1577" spans="6:31" ht="24" customHeight="1">
      <c r="F1577" s="374">
        <v>0.25</v>
      </c>
      <c r="G1577" s="375" t="s">
        <v>680</v>
      </c>
      <c r="H1577" s="371" t="s">
        <v>2184</v>
      </c>
      <c r="I1577" s="377">
        <f>D14</f>
        <v>555.5</v>
      </c>
      <c r="J1577" s="371" t="s">
        <v>332</v>
      </c>
      <c r="K1577" s="377">
        <f>(F1577*I1577)</f>
        <v>138.875</v>
      </c>
      <c r="AE1577" s="172">
        <f t="shared" si="202"/>
        <v>0</v>
      </c>
    </row>
    <row r="1578" spans="6:31" ht="24" customHeight="1">
      <c r="F1578" s="390"/>
      <c r="G1578" s="375" t="s">
        <v>589</v>
      </c>
      <c r="H1578" s="371" t="s">
        <v>590</v>
      </c>
      <c r="I1578" s="91"/>
      <c r="J1578" s="371" t="s">
        <v>589</v>
      </c>
      <c r="K1578" s="377">
        <f>(F1578*I1578)</f>
        <v>0</v>
      </c>
      <c r="AE1578" s="172">
        <f t="shared" si="202"/>
        <v>0</v>
      </c>
    </row>
    <row r="1579" spans="6:31" ht="24" customHeight="1">
      <c r="F1579" s="390"/>
      <c r="G1579" s="370"/>
      <c r="H1579" s="91"/>
      <c r="I1579" s="91"/>
      <c r="J1579" s="372"/>
      <c r="K1579" s="373" t="s">
        <v>534</v>
      </c>
      <c r="AE1579" s="172">
        <f t="shared" si="202"/>
        <v>0</v>
      </c>
    </row>
    <row r="1580" spans="6:31" ht="24" customHeight="1">
      <c r="F1580" s="390"/>
      <c r="G1580" s="370"/>
      <c r="H1580" s="371" t="s">
        <v>2185</v>
      </c>
      <c r="I1580" s="91"/>
      <c r="J1580" s="372"/>
      <c r="K1580" s="377">
        <f>SUM(K1573:K1578)</f>
        <v>6869.2000000000007</v>
      </c>
      <c r="AE1580" s="172">
        <f t="shared" si="202"/>
        <v>0</v>
      </c>
    </row>
    <row r="1581" spans="6:31" ht="24" customHeight="1">
      <c r="F1581" s="390"/>
      <c r="G1581" s="370"/>
      <c r="H1581" s="91"/>
      <c r="I1581" s="91"/>
      <c r="J1581" s="372"/>
      <c r="K1581" s="373" t="s">
        <v>534</v>
      </c>
      <c r="AE1581" s="172">
        <f t="shared" si="202"/>
        <v>0</v>
      </c>
    </row>
    <row r="1582" spans="6:31" ht="24" customHeight="1">
      <c r="F1582" s="391"/>
      <c r="G1582" s="385"/>
      <c r="H1582" s="392" t="s">
        <v>2186</v>
      </c>
      <c r="I1582" s="393"/>
      <c r="J1582" s="394"/>
      <c r="K1582" s="395">
        <f>(K1580*10)</f>
        <v>68692</v>
      </c>
      <c r="AE1582" s="172">
        <f t="shared" si="202"/>
        <v>0</v>
      </c>
    </row>
    <row r="1583" spans="6:31" ht="24" customHeight="1">
      <c r="F1583" s="198"/>
      <c r="K1583" s="162"/>
      <c r="AE1583" s="172">
        <f t="shared" si="202"/>
        <v>0</v>
      </c>
    </row>
    <row r="1584" spans="6:31" ht="24" customHeight="1">
      <c r="F1584" s="198"/>
      <c r="K1584" s="162"/>
      <c r="AE1584" s="172">
        <f t="shared" si="202"/>
        <v>0</v>
      </c>
    </row>
    <row r="1585" spans="6:31" ht="24" customHeight="1">
      <c r="F1585" s="198"/>
      <c r="H1585" s="396" t="s">
        <v>2187</v>
      </c>
      <c r="K1585" s="162"/>
      <c r="AE1585" s="172">
        <f t="shared" si="202"/>
        <v>0</v>
      </c>
    </row>
    <row r="1586" spans="6:31" ht="24" customHeight="1">
      <c r="F1586" s="167">
        <v>1</v>
      </c>
      <c r="G1586" s="165" t="s">
        <v>2179</v>
      </c>
      <c r="H1586" s="154" t="s">
        <v>2188</v>
      </c>
      <c r="I1586" s="76">
        <f>C138</f>
        <v>45000</v>
      </c>
      <c r="J1586" s="154" t="s">
        <v>47</v>
      </c>
      <c r="K1586" s="167">
        <f>(F1586*I1586)/10</f>
        <v>4500</v>
      </c>
      <c r="AE1586" s="172">
        <f t="shared" si="202"/>
        <v>0</v>
      </c>
    </row>
    <row r="1587" spans="6:31" ht="24" customHeight="1">
      <c r="F1587" s="198">
        <v>0.01</v>
      </c>
      <c r="G1587" s="165" t="s">
        <v>2179</v>
      </c>
      <c r="H1587" s="154" t="s">
        <v>2181</v>
      </c>
      <c r="I1587" s="76">
        <f>C143</f>
        <v>43750</v>
      </c>
      <c r="J1587" s="154" t="s">
        <v>47</v>
      </c>
      <c r="K1587" s="167">
        <f>(F1587*I1587)/10</f>
        <v>43.75</v>
      </c>
      <c r="AE1587" s="172">
        <f t="shared" si="202"/>
        <v>0</v>
      </c>
    </row>
    <row r="1588" spans="6:31" ht="24" customHeight="1">
      <c r="F1588" s="198">
        <v>3.5</v>
      </c>
      <c r="G1588" s="165" t="s">
        <v>680</v>
      </c>
      <c r="H1588" s="154" t="s">
        <v>2182</v>
      </c>
      <c r="I1588" s="76">
        <f>I1575</f>
        <v>622.6</v>
      </c>
      <c r="J1588" s="154" t="s">
        <v>332</v>
      </c>
      <c r="K1588" s="167">
        <f>(F1588*I1588)</f>
        <v>2179.1</v>
      </c>
      <c r="AE1588" s="172">
        <f t="shared" si="202"/>
        <v>0</v>
      </c>
    </row>
    <row r="1589" spans="6:31" ht="24" customHeight="1">
      <c r="F1589" s="167">
        <v>1.3</v>
      </c>
      <c r="G1589" s="165" t="s">
        <v>420</v>
      </c>
      <c r="H1589" s="154" t="s">
        <v>2183</v>
      </c>
      <c r="I1589" s="76">
        <f>C67/1000</f>
        <v>5.75</v>
      </c>
      <c r="J1589" s="154" t="s">
        <v>420</v>
      </c>
      <c r="K1589" s="167">
        <f>(F1589*I1589)</f>
        <v>7.4750000000000005</v>
      </c>
      <c r="AE1589" s="172">
        <f t="shared" si="202"/>
        <v>0</v>
      </c>
    </row>
    <row r="1590" spans="6:31" ht="24" customHeight="1">
      <c r="F1590" s="167">
        <v>0.25</v>
      </c>
      <c r="G1590" s="165" t="s">
        <v>680</v>
      </c>
      <c r="H1590" s="154" t="s">
        <v>2184</v>
      </c>
      <c r="I1590" s="76">
        <f>D14</f>
        <v>555.5</v>
      </c>
      <c r="J1590" s="154" t="s">
        <v>332</v>
      </c>
      <c r="K1590" s="167">
        <f>(F1590*I1590)</f>
        <v>138.875</v>
      </c>
      <c r="AE1590" s="172">
        <f t="shared" si="202"/>
        <v>0</v>
      </c>
    </row>
    <row r="1591" spans="6:31" ht="24" customHeight="1">
      <c r="F1591" s="198"/>
      <c r="G1591" s="165" t="s">
        <v>589</v>
      </c>
      <c r="H1591" s="154" t="s">
        <v>590</v>
      </c>
      <c r="J1591" s="154" t="s">
        <v>589</v>
      </c>
      <c r="K1591" s="167">
        <f>(F1591*I1591)</f>
        <v>0</v>
      </c>
      <c r="AE1591" s="172">
        <f t="shared" si="202"/>
        <v>0</v>
      </c>
    </row>
    <row r="1592" spans="6:31" ht="24" customHeight="1">
      <c r="F1592" s="198"/>
      <c r="K1592" s="162" t="s">
        <v>534</v>
      </c>
      <c r="AE1592" s="172">
        <f t="shared" si="202"/>
        <v>0</v>
      </c>
    </row>
    <row r="1593" spans="6:31" ht="24" customHeight="1">
      <c r="F1593" s="198"/>
      <c r="H1593" s="154" t="s">
        <v>2185</v>
      </c>
      <c r="K1593" s="167">
        <f>SUM(K1586:K1591)</f>
        <v>6869.2000000000007</v>
      </c>
      <c r="AE1593" s="172">
        <f t="shared" si="202"/>
        <v>0</v>
      </c>
    </row>
    <row r="1594" spans="6:31" ht="24" customHeight="1">
      <c r="F1594" s="198"/>
      <c r="K1594" s="162" t="s">
        <v>534</v>
      </c>
      <c r="AE1594" s="172">
        <f t="shared" si="202"/>
        <v>0</v>
      </c>
    </row>
    <row r="1595" spans="6:31" ht="24" customHeight="1">
      <c r="F1595" s="198" t="s">
        <v>22</v>
      </c>
      <c r="H1595" s="169" t="s">
        <v>2186</v>
      </c>
      <c r="I1595" s="199"/>
      <c r="J1595" s="207"/>
      <c r="K1595" s="166">
        <f>(K1593*10)</f>
        <v>68692</v>
      </c>
      <c r="AE1595" s="172">
        <f t="shared" si="202"/>
        <v>0</v>
      </c>
    </row>
    <row r="1596" spans="6:31" ht="24" customHeight="1">
      <c r="F1596" s="198"/>
      <c r="K1596" s="162" t="s">
        <v>528</v>
      </c>
      <c r="AE1596" s="172">
        <f t="shared" si="202"/>
        <v>0</v>
      </c>
    </row>
    <row r="1597" spans="6:31" ht="24" customHeight="1">
      <c r="F1597" s="198"/>
      <c r="H1597" s="154" t="s">
        <v>22</v>
      </c>
      <c r="K1597" s="154" t="s">
        <v>22</v>
      </c>
      <c r="AE1597" s="172">
        <f t="shared" si="202"/>
        <v>0</v>
      </c>
    </row>
    <row r="1598" spans="6:31" ht="24" customHeight="1">
      <c r="F1598" s="204" t="s">
        <v>2189</v>
      </c>
      <c r="G1598" s="165" t="s">
        <v>1501</v>
      </c>
      <c r="H1598" s="154" t="s">
        <v>2177</v>
      </c>
      <c r="O1598" s="199" t="s">
        <v>2190</v>
      </c>
      <c r="AE1598" s="172">
        <f t="shared" ref="AE1598:AE1661" si="204">AG1598</f>
        <v>0</v>
      </c>
    </row>
    <row r="1599" spans="6:31" ht="24" customHeight="1">
      <c r="F1599" s="198"/>
      <c r="H1599" s="154" t="s">
        <v>2191</v>
      </c>
      <c r="M1599" s="204" t="s">
        <v>2189</v>
      </c>
      <c r="N1599" s="165" t="s">
        <v>1501</v>
      </c>
      <c r="O1599" s="154" t="s">
        <v>2177</v>
      </c>
      <c r="Q1599" s="158"/>
      <c r="AE1599" s="172">
        <f t="shared" si="204"/>
        <v>0</v>
      </c>
    </row>
    <row r="1600" spans="6:31" ht="24" customHeight="1">
      <c r="F1600" s="198"/>
      <c r="H1600" s="162" t="s">
        <v>534</v>
      </c>
      <c r="M1600" s="198"/>
      <c r="N1600" s="156"/>
      <c r="O1600" s="154" t="s">
        <v>2191</v>
      </c>
      <c r="Q1600" s="158"/>
      <c r="AE1600" s="172">
        <f t="shared" si="204"/>
        <v>0</v>
      </c>
    </row>
    <row r="1601" spans="6:31" ht="24" customHeight="1">
      <c r="F1601" s="167">
        <v>1</v>
      </c>
      <c r="G1601" s="165" t="s">
        <v>2179</v>
      </c>
      <c r="H1601" s="154" t="s">
        <v>2180</v>
      </c>
      <c r="I1601" s="167">
        <f>(C139)</f>
        <v>45000</v>
      </c>
      <c r="J1601" s="154" t="s">
        <v>47</v>
      </c>
      <c r="K1601" s="167">
        <f>(F1601*I1601)/10</f>
        <v>4500</v>
      </c>
      <c r="L1601" s="76">
        <f>K1626+K1630</f>
        <v>392.82</v>
      </c>
      <c r="M1601" s="198"/>
      <c r="N1601" s="156"/>
      <c r="O1601" s="162" t="s">
        <v>534</v>
      </c>
      <c r="Q1601" s="158"/>
      <c r="AE1601" s="172">
        <f t="shared" si="204"/>
        <v>0</v>
      </c>
    </row>
    <row r="1602" spans="6:31" ht="24" customHeight="1">
      <c r="F1602" s="198">
        <v>0.01</v>
      </c>
      <c r="G1602" s="165" t="s">
        <v>2179</v>
      </c>
      <c r="H1602" s="154" t="s">
        <v>2181</v>
      </c>
      <c r="I1602" s="173">
        <f>I1587</f>
        <v>43750</v>
      </c>
      <c r="J1602" s="154" t="s">
        <v>47</v>
      </c>
      <c r="K1602" s="167">
        <f>(F1602*I1602)/10</f>
        <v>43.75</v>
      </c>
      <c r="L1602" s="76">
        <f>L1601/3</f>
        <v>130.94</v>
      </c>
      <c r="M1602" s="167">
        <v>1</v>
      </c>
      <c r="N1602" s="165" t="s">
        <v>2179</v>
      </c>
      <c r="O1602" s="154" t="s">
        <v>2180</v>
      </c>
      <c r="P1602" s="167">
        <f>I1601</f>
        <v>45000</v>
      </c>
      <c r="Q1602" s="154" t="s">
        <v>47</v>
      </c>
      <c r="R1602" s="167">
        <f>(M1602*P1602)/10</f>
        <v>4500</v>
      </c>
      <c r="AE1602" s="172">
        <f t="shared" si="204"/>
        <v>0</v>
      </c>
    </row>
    <row r="1603" spans="6:31" ht="24" customHeight="1">
      <c r="F1603" s="198">
        <v>3.5</v>
      </c>
      <c r="G1603" s="165" t="s">
        <v>680</v>
      </c>
      <c r="H1603" s="154" t="s">
        <v>2182</v>
      </c>
      <c r="I1603" s="167">
        <f>AE38</f>
        <v>622.6</v>
      </c>
      <c r="J1603" s="154" t="s">
        <v>680</v>
      </c>
      <c r="K1603" s="167">
        <f>(F1603*I1603)</f>
        <v>2179.1</v>
      </c>
      <c r="M1603" s="198">
        <v>0.01</v>
      </c>
      <c r="N1603" s="165" t="s">
        <v>2179</v>
      </c>
      <c r="O1603" s="157" t="s">
        <v>2192</v>
      </c>
      <c r="P1603" s="307">
        <f>80000/112*100</f>
        <v>71428.571428571435</v>
      </c>
      <c r="Q1603" s="154" t="s">
        <v>47</v>
      </c>
      <c r="R1603" s="167">
        <f>(M1603*P1603)/10</f>
        <v>71.428571428571431</v>
      </c>
      <c r="AE1603" s="172">
        <f t="shared" si="204"/>
        <v>0</v>
      </c>
    </row>
    <row r="1604" spans="6:31" ht="24" customHeight="1">
      <c r="F1604" s="198"/>
      <c r="G1604" s="165" t="s">
        <v>589</v>
      </c>
      <c r="H1604" s="154" t="s">
        <v>590</v>
      </c>
      <c r="J1604" s="154" t="s">
        <v>589</v>
      </c>
      <c r="K1604" s="167">
        <v>0</v>
      </c>
      <c r="M1604" s="198">
        <v>3.5</v>
      </c>
      <c r="N1604" s="165" t="s">
        <v>680</v>
      </c>
      <c r="O1604" s="154" t="s">
        <v>2182</v>
      </c>
      <c r="P1604" s="167">
        <f>I1603</f>
        <v>622.6</v>
      </c>
      <c r="Q1604" s="154" t="s">
        <v>680</v>
      </c>
      <c r="R1604" s="167">
        <f>(M1604*P1604)</f>
        <v>2179.1</v>
      </c>
      <c r="AE1604" s="172">
        <f t="shared" si="204"/>
        <v>0</v>
      </c>
    </row>
    <row r="1605" spans="6:31" ht="24" customHeight="1">
      <c r="K1605" s="162" t="s">
        <v>534</v>
      </c>
      <c r="M1605" s="198"/>
      <c r="N1605" s="165" t="s">
        <v>589</v>
      </c>
      <c r="O1605" s="154" t="s">
        <v>590</v>
      </c>
      <c r="Q1605" s="154" t="s">
        <v>589</v>
      </c>
      <c r="R1605" s="167">
        <v>0</v>
      </c>
      <c r="AE1605" s="172">
        <f t="shared" si="204"/>
        <v>0</v>
      </c>
    </row>
    <row r="1606" spans="6:31" ht="24" customHeight="1">
      <c r="H1606" s="154" t="s">
        <v>2185</v>
      </c>
      <c r="K1606" s="167">
        <f>SUM(K1601:K1604)</f>
        <v>6722.85</v>
      </c>
      <c r="N1606" s="156"/>
      <c r="Q1606" s="158"/>
      <c r="R1606" s="162" t="s">
        <v>534</v>
      </c>
      <c r="AE1606" s="172">
        <f t="shared" si="204"/>
        <v>0</v>
      </c>
    </row>
    <row r="1607" spans="6:31" ht="24" customHeight="1">
      <c r="K1607" s="162" t="s">
        <v>534</v>
      </c>
      <c r="N1607" s="156"/>
      <c r="O1607" s="154" t="s">
        <v>2185</v>
      </c>
      <c r="Q1607" s="158"/>
      <c r="R1607" s="167">
        <f>SUM(R1602:R1605)</f>
        <v>6750.528571428571</v>
      </c>
      <c r="AE1607" s="172">
        <f t="shared" si="204"/>
        <v>0</v>
      </c>
    </row>
    <row r="1608" spans="6:31" ht="24" customHeight="1">
      <c r="H1608" s="169" t="s">
        <v>2186</v>
      </c>
      <c r="I1608" s="199"/>
      <c r="J1608" s="207"/>
      <c r="K1608" s="166">
        <f>(K1606*10)</f>
        <v>67228.5</v>
      </c>
      <c r="N1608" s="156"/>
      <c r="Q1608" s="158"/>
      <c r="R1608" s="162" t="s">
        <v>534</v>
      </c>
      <c r="AE1608" s="172">
        <f t="shared" si="204"/>
        <v>0</v>
      </c>
    </row>
    <row r="1609" spans="6:31" ht="24" customHeight="1">
      <c r="H1609" s="154" t="s">
        <v>22</v>
      </c>
      <c r="K1609" s="154" t="s">
        <v>22</v>
      </c>
      <c r="N1609" s="156"/>
      <c r="O1609" s="169" t="s">
        <v>2186</v>
      </c>
      <c r="P1609" s="199"/>
      <c r="Q1609" s="207"/>
      <c r="R1609" s="166">
        <f>(R1607*10)</f>
        <v>67505.28571428571</v>
      </c>
      <c r="AE1609" s="172">
        <f t="shared" si="204"/>
        <v>0</v>
      </c>
    </row>
    <row r="1610" spans="6:31" ht="24" customHeight="1">
      <c r="G1610" s="156" t="s">
        <v>1530</v>
      </c>
      <c r="H1610" s="154" t="s">
        <v>2177</v>
      </c>
      <c r="K1610" s="154"/>
      <c r="AE1610" s="172">
        <f t="shared" si="204"/>
        <v>0</v>
      </c>
    </row>
    <row r="1611" spans="6:31" ht="24" customHeight="1">
      <c r="H1611" s="154" t="s">
        <v>2193</v>
      </c>
      <c r="K1611" s="154"/>
      <c r="N1611" s="156" t="s">
        <v>1530</v>
      </c>
      <c r="O1611" s="154" t="s">
        <v>2177</v>
      </c>
      <c r="Q1611" s="158"/>
      <c r="R1611" s="154"/>
      <c r="AE1611" s="172">
        <f t="shared" si="204"/>
        <v>0</v>
      </c>
    </row>
    <row r="1612" spans="6:31" ht="24" customHeight="1">
      <c r="F1612" s="198"/>
      <c r="H1612" s="162" t="s">
        <v>534</v>
      </c>
      <c r="K1612" s="154"/>
      <c r="N1612" s="156"/>
      <c r="O1612" s="154" t="s">
        <v>2193</v>
      </c>
      <c r="Q1612" s="158"/>
      <c r="R1612" s="154"/>
      <c r="AE1612" s="172">
        <f t="shared" si="204"/>
        <v>0</v>
      </c>
    </row>
    <row r="1613" spans="6:31" ht="24" customHeight="1">
      <c r="F1613" s="167">
        <v>1</v>
      </c>
      <c r="G1613" s="165" t="s">
        <v>2179</v>
      </c>
      <c r="H1613" s="154" t="s">
        <v>2188</v>
      </c>
      <c r="I1613" s="76">
        <f>C138</f>
        <v>45000</v>
      </c>
      <c r="J1613" s="154" t="s">
        <v>47</v>
      </c>
      <c r="K1613" s="167">
        <f>(F1613*I1613)/10</f>
        <v>4500</v>
      </c>
      <c r="M1613" s="198"/>
      <c r="N1613" s="156"/>
      <c r="O1613" s="162" t="s">
        <v>534</v>
      </c>
      <c r="Q1613" s="158"/>
      <c r="R1613" s="154"/>
      <c r="AE1613" s="172">
        <f t="shared" si="204"/>
        <v>0</v>
      </c>
    </row>
    <row r="1614" spans="6:31" ht="24" customHeight="1">
      <c r="F1614" s="198">
        <v>0.01</v>
      </c>
      <c r="G1614" s="165" t="s">
        <v>2179</v>
      </c>
      <c r="H1614" s="154" t="s">
        <v>2181</v>
      </c>
      <c r="I1614" s="76">
        <f>C143</f>
        <v>43750</v>
      </c>
      <c r="J1614" s="154" t="s">
        <v>47</v>
      </c>
      <c r="K1614" s="167">
        <f>(F1614*I1614)/10</f>
        <v>43.75</v>
      </c>
      <c r="M1614" s="167">
        <v>1</v>
      </c>
      <c r="N1614" s="165" t="s">
        <v>2179</v>
      </c>
      <c r="O1614" s="154" t="s">
        <v>2188</v>
      </c>
      <c r="P1614" s="76">
        <f>I1613</f>
        <v>45000</v>
      </c>
      <c r="Q1614" s="154" t="s">
        <v>47</v>
      </c>
      <c r="R1614" s="167">
        <f>(M1614*P1614)/10</f>
        <v>4500</v>
      </c>
      <c r="AE1614" s="172">
        <f t="shared" si="204"/>
        <v>0</v>
      </c>
    </row>
    <row r="1615" spans="6:31" ht="24" customHeight="1">
      <c r="F1615" s="198">
        <v>3.5</v>
      </c>
      <c r="G1615" s="165" t="s">
        <v>680</v>
      </c>
      <c r="H1615" s="154" t="s">
        <v>2182</v>
      </c>
      <c r="I1615" s="76">
        <f>I1603</f>
        <v>622.6</v>
      </c>
      <c r="J1615" s="154" t="s">
        <v>680</v>
      </c>
      <c r="K1615" s="167">
        <f>(F1615*I1615)</f>
        <v>2179.1</v>
      </c>
      <c r="M1615" s="198">
        <v>0.01</v>
      </c>
      <c r="N1615" s="165" t="s">
        <v>2179</v>
      </c>
      <c r="O1615" s="157" t="str">
        <f>O1603</f>
        <v>BINDING WIRE insulated with PVC as per circular</v>
      </c>
      <c r="P1615" s="76">
        <f>P1603</f>
        <v>71428.571428571435</v>
      </c>
      <c r="Q1615" s="154" t="s">
        <v>47</v>
      </c>
      <c r="R1615" s="167">
        <f>(M1615*P1615)/10</f>
        <v>71.428571428571431</v>
      </c>
      <c r="AE1615" s="172">
        <f t="shared" si="204"/>
        <v>0</v>
      </c>
    </row>
    <row r="1616" spans="6:31" ht="24" customHeight="1">
      <c r="F1616" s="198"/>
      <c r="G1616" s="165" t="s">
        <v>589</v>
      </c>
      <c r="H1616" s="154" t="s">
        <v>590</v>
      </c>
      <c r="J1616" s="154" t="s">
        <v>589</v>
      </c>
      <c r="K1616" s="167">
        <v>0</v>
      </c>
      <c r="M1616" s="198">
        <v>3.5</v>
      </c>
      <c r="N1616" s="165" t="s">
        <v>2179</v>
      </c>
      <c r="O1616" s="154" t="s">
        <v>2182</v>
      </c>
      <c r="P1616" s="76">
        <f>I1615</f>
        <v>622.6</v>
      </c>
      <c r="Q1616" s="154" t="s">
        <v>680</v>
      </c>
      <c r="R1616" s="167">
        <f>(M1616*P1616)</f>
        <v>2179.1</v>
      </c>
      <c r="AE1616" s="172">
        <f t="shared" si="204"/>
        <v>0</v>
      </c>
    </row>
    <row r="1617" spans="6:31" ht="24" customHeight="1">
      <c r="K1617" s="162" t="s">
        <v>534</v>
      </c>
      <c r="M1617" s="198"/>
      <c r="N1617" s="165" t="s">
        <v>2179</v>
      </c>
      <c r="O1617" s="154" t="s">
        <v>590</v>
      </c>
      <c r="Q1617" s="154" t="s">
        <v>589</v>
      </c>
      <c r="R1617" s="167">
        <v>0</v>
      </c>
      <c r="AE1617" s="172">
        <f t="shared" si="204"/>
        <v>0</v>
      </c>
    </row>
    <row r="1618" spans="6:31" ht="24" customHeight="1">
      <c r="H1618" s="154" t="s">
        <v>2185</v>
      </c>
      <c r="K1618" s="167">
        <f>SUM(K1613:K1616)</f>
        <v>6722.85</v>
      </c>
      <c r="N1618" s="156"/>
      <c r="Q1618" s="158"/>
      <c r="R1618" s="162" t="s">
        <v>534</v>
      </c>
      <c r="AE1618" s="172">
        <f t="shared" si="204"/>
        <v>0</v>
      </c>
    </row>
    <row r="1619" spans="6:31" ht="24" customHeight="1">
      <c r="K1619" s="162" t="s">
        <v>534</v>
      </c>
      <c r="N1619" s="156"/>
      <c r="O1619" s="154" t="s">
        <v>2185</v>
      </c>
      <c r="Q1619" s="158"/>
      <c r="R1619" s="167">
        <f>SUM(R1614:R1617)</f>
        <v>6750.528571428571</v>
      </c>
      <c r="AE1619" s="172">
        <f t="shared" si="204"/>
        <v>0</v>
      </c>
    </row>
    <row r="1620" spans="6:31" ht="24" customHeight="1">
      <c r="H1620" s="169" t="s">
        <v>2186</v>
      </c>
      <c r="I1620" s="199"/>
      <c r="J1620" s="207"/>
      <c r="K1620" s="166">
        <f>(K1618*10)</f>
        <v>67228.5</v>
      </c>
      <c r="N1620" s="156"/>
      <c r="Q1620" s="158"/>
      <c r="R1620" s="162" t="s">
        <v>534</v>
      </c>
      <c r="AE1620" s="172">
        <f t="shared" si="204"/>
        <v>0</v>
      </c>
    </row>
    <row r="1621" spans="6:31" ht="24" customHeight="1">
      <c r="H1621" s="154" t="s">
        <v>22</v>
      </c>
      <c r="N1621" s="156"/>
      <c r="O1621" s="169" t="s">
        <v>2186</v>
      </c>
      <c r="P1621" s="199"/>
      <c r="Q1621" s="207"/>
      <c r="R1621" s="166">
        <f>(R1619*10)</f>
        <v>67505.28571428571</v>
      </c>
      <c r="AE1621" s="172">
        <f t="shared" si="204"/>
        <v>0</v>
      </c>
    </row>
    <row r="1622" spans="6:31" ht="24" customHeight="1">
      <c r="F1622" s="200">
        <v>44.1</v>
      </c>
      <c r="G1622" s="165" t="s">
        <v>307</v>
      </c>
      <c r="H1622" s="154" t="s">
        <v>2194</v>
      </c>
      <c r="AE1622" s="172">
        <f t="shared" si="204"/>
        <v>0</v>
      </c>
    </row>
    <row r="1623" spans="6:31" ht="24" customHeight="1">
      <c r="H1623" s="154" t="s">
        <v>2195</v>
      </c>
      <c r="AE1623" s="172">
        <f t="shared" si="204"/>
        <v>0</v>
      </c>
    </row>
    <row r="1624" spans="6:31" ht="24" customHeight="1">
      <c r="H1624" s="154" t="s">
        <v>2196</v>
      </c>
      <c r="M1624" s="200">
        <v>44.1</v>
      </c>
      <c r="N1624" s="165" t="s">
        <v>307</v>
      </c>
      <c r="O1624" s="154" t="s">
        <v>2194</v>
      </c>
      <c r="AE1624" s="172">
        <f t="shared" si="204"/>
        <v>0</v>
      </c>
    </row>
    <row r="1625" spans="6:31" ht="24" customHeight="1">
      <c r="H1625" s="162" t="s">
        <v>534</v>
      </c>
      <c r="N1625" s="156"/>
      <c r="O1625" s="154" t="s">
        <v>2195</v>
      </c>
      <c r="AE1625" s="172">
        <f t="shared" si="204"/>
        <v>0</v>
      </c>
    </row>
    <row r="1626" spans="6:31" ht="24" customHeight="1">
      <c r="F1626" s="167">
        <v>3</v>
      </c>
      <c r="G1626" s="165" t="s">
        <v>410</v>
      </c>
      <c r="H1626" s="154" t="s">
        <v>2197</v>
      </c>
      <c r="I1626" s="167">
        <f>D620</f>
        <v>120.54</v>
      </c>
      <c r="J1626" s="154" t="s">
        <v>410</v>
      </c>
      <c r="K1626" s="167">
        <f t="shared" ref="K1626:K1631" si="205">(F1626*I1626)</f>
        <v>361.62</v>
      </c>
      <c r="N1626" s="156"/>
      <c r="O1626" s="154" t="s">
        <v>2196</v>
      </c>
      <c r="AE1626" s="172">
        <f t="shared" si="204"/>
        <v>0</v>
      </c>
    </row>
    <row r="1627" spans="6:31" ht="24" customHeight="1">
      <c r="F1627" s="167">
        <v>1</v>
      </c>
      <c r="G1627" s="165" t="s">
        <v>576</v>
      </c>
      <c r="H1627" s="154" t="s">
        <v>2198</v>
      </c>
      <c r="I1627" s="258">
        <f>(C623)</f>
        <v>76</v>
      </c>
      <c r="J1627" s="154" t="s">
        <v>576</v>
      </c>
      <c r="K1627" s="167">
        <f t="shared" si="205"/>
        <v>76</v>
      </c>
      <c r="N1627" s="156"/>
      <c r="O1627" s="162" t="s">
        <v>534</v>
      </c>
      <c r="AE1627" s="172">
        <f t="shared" si="204"/>
        <v>0</v>
      </c>
    </row>
    <row r="1628" spans="6:31" ht="24" customHeight="1">
      <c r="F1628" s="167">
        <v>1</v>
      </c>
      <c r="G1628" s="165" t="s">
        <v>576</v>
      </c>
      <c r="H1628" s="154" t="s">
        <v>2199</v>
      </c>
      <c r="I1628" s="167">
        <f>(C626)</f>
        <v>71</v>
      </c>
      <c r="J1628" s="154" t="s">
        <v>576</v>
      </c>
      <c r="K1628" s="167">
        <f t="shared" si="205"/>
        <v>71</v>
      </c>
      <c r="M1628" s="167">
        <v>3</v>
      </c>
      <c r="N1628" s="165" t="s">
        <v>410</v>
      </c>
      <c r="O1628" s="154" t="s">
        <v>2197</v>
      </c>
      <c r="P1628" s="76">
        <f>I1626</f>
        <v>120.54</v>
      </c>
      <c r="Q1628" s="76" t="str">
        <f>J1628</f>
        <v>NO.</v>
      </c>
      <c r="R1628" s="76">
        <f t="shared" ref="R1628:R1633" si="206">P1628*M1628</f>
        <v>361.62</v>
      </c>
      <c r="AE1628" s="172">
        <f t="shared" si="204"/>
        <v>0</v>
      </c>
    </row>
    <row r="1629" spans="6:31" ht="24" customHeight="1">
      <c r="F1629" s="167">
        <v>2</v>
      </c>
      <c r="G1629" s="165" t="s">
        <v>576</v>
      </c>
      <c r="H1629" s="154" t="s">
        <v>2200</v>
      </c>
      <c r="I1629" s="167">
        <f>C597</f>
        <v>21</v>
      </c>
      <c r="J1629" s="154" t="s">
        <v>576</v>
      </c>
      <c r="K1629" s="167">
        <f t="shared" si="205"/>
        <v>42</v>
      </c>
      <c r="M1629" s="167">
        <v>1</v>
      </c>
      <c r="N1629" s="165" t="s">
        <v>576</v>
      </c>
      <c r="O1629" s="154" t="s">
        <v>2198</v>
      </c>
      <c r="P1629" s="76">
        <v>76.78</v>
      </c>
      <c r="Q1629" s="76" t="str">
        <f>J1629</f>
        <v>NO.</v>
      </c>
      <c r="R1629" s="76">
        <f t="shared" si="206"/>
        <v>76.78</v>
      </c>
      <c r="AE1629" s="172">
        <f t="shared" si="204"/>
        <v>0</v>
      </c>
    </row>
    <row r="1630" spans="6:31" ht="24" customHeight="1">
      <c r="F1630" s="167">
        <v>1</v>
      </c>
      <c r="G1630" s="165" t="s">
        <v>576</v>
      </c>
      <c r="H1630" s="154" t="s">
        <v>2201</v>
      </c>
      <c r="I1630" s="167">
        <f>(C696)</f>
        <v>31.2</v>
      </c>
      <c r="J1630" s="154" t="s">
        <v>576</v>
      </c>
      <c r="K1630" s="167">
        <f t="shared" si="205"/>
        <v>31.2</v>
      </c>
      <c r="M1630" s="167">
        <v>1</v>
      </c>
      <c r="N1630" s="165" t="s">
        <v>576</v>
      </c>
      <c r="O1630" s="154" t="s">
        <v>2199</v>
      </c>
      <c r="P1630" s="76">
        <f>I1628</f>
        <v>71</v>
      </c>
      <c r="Q1630" s="76" t="str">
        <f>J1630</f>
        <v>NO.</v>
      </c>
      <c r="R1630" s="76">
        <f t="shared" si="206"/>
        <v>71</v>
      </c>
      <c r="AE1630" s="172">
        <f t="shared" si="204"/>
        <v>0</v>
      </c>
    </row>
    <row r="1631" spans="6:31" ht="24" customHeight="1">
      <c r="F1631" s="167">
        <v>0.5</v>
      </c>
      <c r="G1631" s="165" t="s">
        <v>576</v>
      </c>
      <c r="H1631" s="154" t="s">
        <v>2202</v>
      </c>
      <c r="I1631" s="167">
        <f>(C15)</f>
        <v>622.6</v>
      </c>
      <c r="J1631" s="154" t="s">
        <v>576</v>
      </c>
      <c r="K1631" s="167">
        <f t="shared" si="205"/>
        <v>311.3</v>
      </c>
      <c r="M1631" s="166">
        <v>2</v>
      </c>
      <c r="N1631" s="226" t="s">
        <v>1799</v>
      </c>
      <c r="O1631" s="397" t="s">
        <v>2203</v>
      </c>
      <c r="P1631" s="238">
        <v>12</v>
      </c>
      <c r="Q1631" s="76" t="str">
        <f>J1631</f>
        <v>NO.</v>
      </c>
      <c r="R1631" s="76">
        <f t="shared" si="206"/>
        <v>24</v>
      </c>
      <c r="AE1631" s="172">
        <f t="shared" si="204"/>
        <v>0</v>
      </c>
    </row>
    <row r="1632" spans="6:31" ht="24" customHeight="1">
      <c r="G1632" s="165" t="s">
        <v>589</v>
      </c>
      <c r="H1632" s="154" t="s">
        <v>2204</v>
      </c>
      <c r="J1632" s="154" t="s">
        <v>589</v>
      </c>
      <c r="K1632" s="167"/>
      <c r="M1632" s="167">
        <v>1</v>
      </c>
      <c r="N1632" s="398" t="s">
        <v>1799</v>
      </c>
      <c r="O1632" s="154" t="s">
        <v>2201</v>
      </c>
      <c r="P1632" s="76">
        <f>I1630</f>
        <v>31.2</v>
      </c>
      <c r="Q1632" s="76" t="str">
        <f>J1632</f>
        <v>L.S</v>
      </c>
      <c r="R1632" s="76">
        <f t="shared" si="206"/>
        <v>31.2</v>
      </c>
      <c r="AE1632" s="172">
        <f t="shared" si="204"/>
        <v>0</v>
      </c>
    </row>
    <row r="1633" spans="6:31" ht="24" customHeight="1">
      <c r="H1633" s="154" t="s">
        <v>2205</v>
      </c>
      <c r="M1633" s="167">
        <v>0.5</v>
      </c>
      <c r="N1633" s="398" t="s">
        <v>1799</v>
      </c>
      <c r="O1633" s="154" t="s">
        <v>2202</v>
      </c>
      <c r="P1633" s="76">
        <f>I1631</f>
        <v>622.6</v>
      </c>
      <c r="R1633" s="76">
        <f t="shared" si="206"/>
        <v>311.3</v>
      </c>
      <c r="AE1633" s="172">
        <f t="shared" si="204"/>
        <v>0</v>
      </c>
    </row>
    <row r="1634" spans="6:31" ht="24" customHeight="1">
      <c r="K1634" s="162" t="s">
        <v>534</v>
      </c>
      <c r="N1634" s="398" t="s">
        <v>1799</v>
      </c>
      <c r="O1634" s="154" t="s">
        <v>2204</v>
      </c>
      <c r="P1634" s="76">
        <f>I1634</f>
        <v>0</v>
      </c>
      <c r="AE1634" s="172">
        <f t="shared" si="204"/>
        <v>0</v>
      </c>
    </row>
    <row r="1635" spans="6:31" ht="24" customHeight="1">
      <c r="H1635" s="154" t="s">
        <v>2206</v>
      </c>
      <c r="K1635" s="167">
        <f>SUM(K1626:K1632)</f>
        <v>893.12000000000012</v>
      </c>
      <c r="O1635" s="154" t="s">
        <v>2205</v>
      </c>
      <c r="R1635" s="76">
        <f>26.98+4.7</f>
        <v>31.68</v>
      </c>
      <c r="AE1635" s="172">
        <f t="shared" si="204"/>
        <v>0</v>
      </c>
    </row>
    <row r="1636" spans="6:31" ht="24" customHeight="1">
      <c r="F1636" s="154" t="s">
        <v>22</v>
      </c>
      <c r="AE1636" s="172">
        <f t="shared" si="204"/>
        <v>0</v>
      </c>
    </row>
    <row r="1637" spans="6:31" ht="24" customHeight="1">
      <c r="K1637" s="162" t="s">
        <v>534</v>
      </c>
      <c r="O1637" s="154" t="s">
        <v>2206</v>
      </c>
      <c r="R1637" s="199">
        <f>SUM(R1628:R1636)</f>
        <v>907.58</v>
      </c>
      <c r="AE1637" s="172">
        <f t="shared" si="204"/>
        <v>0</v>
      </c>
    </row>
    <row r="1638" spans="6:31" ht="24" customHeight="1">
      <c r="H1638" s="169" t="s">
        <v>1139</v>
      </c>
      <c r="I1638" s="199"/>
      <c r="J1638" s="207"/>
      <c r="K1638" s="166">
        <f>(K1635/3)</f>
        <v>297.70666666666671</v>
      </c>
      <c r="AE1638" s="172">
        <f t="shared" si="204"/>
        <v>0</v>
      </c>
    </row>
    <row r="1639" spans="6:31" ht="24" customHeight="1">
      <c r="H1639" s="154"/>
      <c r="K1639" s="162" t="s">
        <v>528</v>
      </c>
      <c r="N1639" s="156"/>
      <c r="Q1639" s="158"/>
      <c r="R1639" s="162" t="s">
        <v>534</v>
      </c>
      <c r="AE1639" s="172">
        <f t="shared" si="204"/>
        <v>0</v>
      </c>
    </row>
    <row r="1640" spans="6:31" ht="24" customHeight="1">
      <c r="F1640" s="155" t="s">
        <v>2207</v>
      </c>
      <c r="H1640" s="154" t="s">
        <v>2208</v>
      </c>
      <c r="N1640" s="156"/>
      <c r="O1640" s="169" t="s">
        <v>1139</v>
      </c>
      <c r="P1640" s="199"/>
      <c r="Q1640" s="207"/>
      <c r="R1640" s="166">
        <f>(R1637/3)</f>
        <v>302.5266666666667</v>
      </c>
      <c r="S1640" s="159">
        <f>310*3</f>
        <v>930</v>
      </c>
      <c r="T1640" s="76">
        <f>S1640-R1637</f>
        <v>22.419999999999959</v>
      </c>
      <c r="AE1640" s="172">
        <f t="shared" si="204"/>
        <v>0</v>
      </c>
    </row>
    <row r="1641" spans="6:31" ht="24" customHeight="1">
      <c r="H1641" s="154" t="s">
        <v>2209</v>
      </c>
      <c r="N1641" s="156"/>
      <c r="O1641" s="154"/>
      <c r="Q1641" s="158"/>
      <c r="R1641" s="162" t="s">
        <v>528</v>
      </c>
      <c r="AE1641" s="172">
        <f t="shared" si="204"/>
        <v>0</v>
      </c>
    </row>
    <row r="1642" spans="6:31" ht="24" customHeight="1">
      <c r="H1642" s="154" t="s">
        <v>2210</v>
      </c>
      <c r="AE1642" s="172">
        <f t="shared" si="204"/>
        <v>0</v>
      </c>
    </row>
    <row r="1643" spans="6:31" ht="24" customHeight="1">
      <c r="H1643" s="162" t="s">
        <v>534</v>
      </c>
      <c r="AE1643" s="172">
        <f t="shared" si="204"/>
        <v>0</v>
      </c>
    </row>
    <row r="1644" spans="6:31" ht="24" customHeight="1">
      <c r="F1644" s="167">
        <v>0.15</v>
      </c>
      <c r="G1644" s="165" t="s">
        <v>577</v>
      </c>
      <c r="H1644" s="154" t="s">
        <v>2211</v>
      </c>
      <c r="I1644" s="167">
        <f>(C70)</f>
        <v>846.21</v>
      </c>
      <c r="J1644" s="154" t="s">
        <v>577</v>
      </c>
      <c r="K1644" s="167">
        <f>(F1644*I1644)</f>
        <v>126.9315</v>
      </c>
      <c r="AE1644" s="172">
        <f t="shared" si="204"/>
        <v>0</v>
      </c>
    </row>
    <row r="1645" spans="6:31" ht="24" customHeight="1">
      <c r="F1645" s="233">
        <v>8.6499999999999994E-2</v>
      </c>
      <c r="G1645" s="165" t="s">
        <v>567</v>
      </c>
      <c r="H1645" s="154" t="s">
        <v>568</v>
      </c>
      <c r="I1645" s="167">
        <f>(C67)</f>
        <v>5750</v>
      </c>
      <c r="J1645" s="154" t="s">
        <v>567</v>
      </c>
      <c r="K1645" s="167">
        <f>(F1645*I1645)</f>
        <v>497.37499999999994</v>
      </c>
      <c r="AE1645" s="172">
        <f t="shared" si="204"/>
        <v>0</v>
      </c>
    </row>
    <row r="1646" spans="6:31" ht="24" customHeight="1">
      <c r="F1646" s="167">
        <v>1.6</v>
      </c>
      <c r="G1646" s="165" t="s">
        <v>680</v>
      </c>
      <c r="H1646" s="154" t="s">
        <v>778</v>
      </c>
      <c r="I1646" s="167">
        <f>(C10)</f>
        <v>717.2</v>
      </c>
      <c r="J1646" s="154" t="s">
        <v>680</v>
      </c>
      <c r="K1646" s="167">
        <f>(F1646*I1646)</f>
        <v>1147.5200000000002</v>
      </c>
      <c r="AE1646" s="172">
        <f t="shared" si="204"/>
        <v>0</v>
      </c>
    </row>
    <row r="1647" spans="6:31" ht="24" customHeight="1">
      <c r="F1647" s="167">
        <v>0.5</v>
      </c>
      <c r="G1647" s="165" t="s">
        <v>680</v>
      </c>
      <c r="H1647" s="154" t="s">
        <v>754</v>
      </c>
      <c r="I1647" s="167">
        <f>(C12)</f>
        <v>468.6</v>
      </c>
      <c r="J1647" s="154" t="s">
        <v>680</v>
      </c>
      <c r="K1647" s="167">
        <f>(F1647*I1647)</f>
        <v>234.3</v>
      </c>
      <c r="AE1647" s="172">
        <f t="shared" si="204"/>
        <v>0</v>
      </c>
    </row>
    <row r="1648" spans="6:31" ht="24" customHeight="1">
      <c r="F1648" s="167">
        <v>1.1000000000000001</v>
      </c>
      <c r="G1648" s="165" t="s">
        <v>680</v>
      </c>
      <c r="H1648" s="154" t="s">
        <v>756</v>
      </c>
      <c r="I1648" s="167">
        <f>(C13)</f>
        <v>404.8</v>
      </c>
      <c r="J1648" s="154" t="s">
        <v>680</v>
      </c>
      <c r="K1648" s="167">
        <f>(F1648*I1648)</f>
        <v>445.28000000000003</v>
      </c>
      <c r="AE1648" s="172">
        <f t="shared" si="204"/>
        <v>0</v>
      </c>
    </row>
    <row r="1649" spans="6:31" ht="24" customHeight="1">
      <c r="G1649" s="165" t="s">
        <v>589</v>
      </c>
      <c r="H1649" s="154" t="s">
        <v>590</v>
      </c>
      <c r="I1649" s="154" t="s">
        <v>22</v>
      </c>
      <c r="J1649" s="154" t="s">
        <v>589</v>
      </c>
      <c r="K1649" s="167">
        <v>0</v>
      </c>
      <c r="AE1649" s="172">
        <f t="shared" si="204"/>
        <v>0</v>
      </c>
    </row>
    <row r="1650" spans="6:31" ht="24" customHeight="1">
      <c r="K1650" s="162" t="s">
        <v>534</v>
      </c>
      <c r="AE1650" s="172">
        <f t="shared" si="204"/>
        <v>0</v>
      </c>
    </row>
    <row r="1651" spans="6:31" ht="24" customHeight="1">
      <c r="H1651" s="154" t="s">
        <v>879</v>
      </c>
      <c r="K1651" s="167">
        <f>SUM(K1644:K1649)</f>
        <v>2451.4065000000001</v>
      </c>
      <c r="AE1651" s="172">
        <f t="shared" si="204"/>
        <v>0</v>
      </c>
    </row>
    <row r="1652" spans="6:31" ht="24" customHeight="1">
      <c r="K1652" s="162" t="s">
        <v>534</v>
      </c>
      <c r="AE1652" s="172">
        <f t="shared" si="204"/>
        <v>0</v>
      </c>
    </row>
    <row r="1653" spans="6:31" ht="24" customHeight="1">
      <c r="H1653" s="169" t="s">
        <v>881</v>
      </c>
      <c r="I1653" s="199"/>
      <c r="J1653" s="207"/>
      <c r="K1653" s="166">
        <f>(K1651/10)</f>
        <v>245.14064999999999</v>
      </c>
      <c r="AE1653" s="172">
        <f t="shared" si="204"/>
        <v>0</v>
      </c>
    </row>
    <row r="1654" spans="6:31" ht="24" customHeight="1">
      <c r="K1654" s="162" t="s">
        <v>528</v>
      </c>
      <c r="AE1654" s="172">
        <f t="shared" si="204"/>
        <v>0</v>
      </c>
    </row>
    <row r="1655" spans="6:31" ht="24" customHeight="1">
      <c r="F1655" s="155" t="s">
        <v>2212</v>
      </c>
      <c r="G1655" s="165" t="s">
        <v>307</v>
      </c>
      <c r="H1655" s="154" t="s">
        <v>2213</v>
      </c>
      <c r="AE1655" s="172">
        <f t="shared" si="204"/>
        <v>0</v>
      </c>
    </row>
    <row r="1656" spans="6:31" ht="24" customHeight="1">
      <c r="H1656" s="154" t="s">
        <v>2214</v>
      </c>
      <c r="AE1656" s="172">
        <f t="shared" si="204"/>
        <v>0</v>
      </c>
    </row>
    <row r="1657" spans="6:31" ht="24" customHeight="1">
      <c r="H1657" s="154" t="s">
        <v>2215</v>
      </c>
      <c r="J1657" s="154" t="s">
        <v>22</v>
      </c>
      <c r="AE1657" s="172">
        <f t="shared" si="204"/>
        <v>0</v>
      </c>
    </row>
    <row r="1658" spans="6:31" ht="24" customHeight="1">
      <c r="H1658" s="154" t="s">
        <v>2216</v>
      </c>
      <c r="AE1658" s="172">
        <f t="shared" si="204"/>
        <v>0</v>
      </c>
    </row>
    <row r="1659" spans="6:31" ht="24" customHeight="1">
      <c r="H1659" s="154" t="s">
        <v>2217</v>
      </c>
      <c r="AE1659" s="172">
        <f t="shared" si="204"/>
        <v>0</v>
      </c>
    </row>
    <row r="1660" spans="6:31" ht="24" customHeight="1">
      <c r="H1660" s="154" t="s">
        <v>2218</v>
      </c>
      <c r="AE1660" s="172">
        <f t="shared" si="204"/>
        <v>0</v>
      </c>
    </row>
    <row r="1661" spans="6:31" ht="24" customHeight="1">
      <c r="H1661" s="154" t="s">
        <v>2219</v>
      </c>
      <c r="AE1661" s="172">
        <f t="shared" si="204"/>
        <v>0</v>
      </c>
    </row>
    <row r="1662" spans="6:31" ht="24" customHeight="1">
      <c r="H1662" s="154" t="s">
        <v>2220</v>
      </c>
      <c r="AE1662" s="172">
        <f t="shared" ref="AE1662:AE1695" si="207">AG1662</f>
        <v>0</v>
      </c>
    </row>
    <row r="1663" spans="6:31" ht="24" customHeight="1">
      <c r="H1663" s="154" t="s">
        <v>2221</v>
      </c>
      <c r="AE1663" s="172">
        <f t="shared" si="207"/>
        <v>0</v>
      </c>
    </row>
    <row r="1664" spans="6:31" ht="24" customHeight="1">
      <c r="H1664" s="162" t="s">
        <v>528</v>
      </c>
      <c r="AE1664" s="172">
        <f t="shared" si="207"/>
        <v>0</v>
      </c>
    </row>
    <row r="1665" spans="6:31" ht="24" customHeight="1">
      <c r="AE1665" s="172">
        <f t="shared" si="207"/>
        <v>0</v>
      </c>
    </row>
    <row r="1666" spans="6:31" ht="24" customHeight="1">
      <c r="F1666" s="167">
        <v>1</v>
      </c>
      <c r="G1666" s="165" t="s">
        <v>41</v>
      </c>
      <c r="H1666" s="154" t="s">
        <v>2222</v>
      </c>
      <c r="I1666" s="274">
        <v>45.72</v>
      </c>
      <c r="J1666" s="154" t="s">
        <v>41</v>
      </c>
      <c r="K1666" s="167">
        <f>(F1666*I1666)</f>
        <v>45.72</v>
      </c>
      <c r="AE1666" s="172">
        <f t="shared" si="207"/>
        <v>0</v>
      </c>
    </row>
    <row r="1667" spans="6:31" ht="24" customHeight="1">
      <c r="F1667" s="167">
        <v>1</v>
      </c>
      <c r="G1667" s="165" t="s">
        <v>393</v>
      </c>
      <c r="H1667" s="154" t="s">
        <v>2223</v>
      </c>
      <c r="I1667" s="274">
        <v>5</v>
      </c>
      <c r="J1667" s="154" t="s">
        <v>393</v>
      </c>
      <c r="K1667" s="167">
        <f>(F1667*I1667)</f>
        <v>5</v>
      </c>
      <c r="AE1667" s="172">
        <f t="shared" si="207"/>
        <v>0</v>
      </c>
    </row>
    <row r="1668" spans="6:31" ht="24" customHeight="1">
      <c r="G1668" s="165" t="s">
        <v>589</v>
      </c>
      <c r="H1668" s="154" t="s">
        <v>2224</v>
      </c>
      <c r="J1668" s="154" t="s">
        <v>589</v>
      </c>
      <c r="K1668" s="167">
        <v>7.28</v>
      </c>
      <c r="AE1668" s="172">
        <f t="shared" si="207"/>
        <v>0</v>
      </c>
    </row>
    <row r="1669" spans="6:31" ht="24" customHeight="1">
      <c r="K1669" s="162" t="s">
        <v>534</v>
      </c>
      <c r="AE1669" s="172">
        <f t="shared" si="207"/>
        <v>0</v>
      </c>
    </row>
    <row r="1670" spans="6:31" ht="24" customHeight="1">
      <c r="H1670" s="155" t="s">
        <v>2225</v>
      </c>
      <c r="K1670" s="167">
        <f>SUM(K1666:K1668)</f>
        <v>58</v>
      </c>
      <c r="AE1670" s="172">
        <f t="shared" si="207"/>
        <v>0</v>
      </c>
    </row>
    <row r="1671" spans="6:31" ht="24" customHeight="1">
      <c r="K1671" s="162" t="s">
        <v>528</v>
      </c>
      <c r="AE1671" s="172">
        <f t="shared" si="207"/>
        <v>0</v>
      </c>
    </row>
    <row r="1672" spans="6:31" ht="24" customHeight="1">
      <c r="F1672" s="155" t="s">
        <v>2226</v>
      </c>
      <c r="G1672" s="165" t="s">
        <v>307</v>
      </c>
      <c r="H1672" s="154" t="s">
        <v>2227</v>
      </c>
      <c r="AE1672" s="172">
        <f t="shared" si="207"/>
        <v>0</v>
      </c>
    </row>
    <row r="1673" spans="6:31" ht="24" customHeight="1">
      <c r="H1673" s="154" t="s">
        <v>2228</v>
      </c>
      <c r="AE1673" s="172">
        <f t="shared" si="207"/>
        <v>0</v>
      </c>
    </row>
    <row r="1674" spans="6:31" ht="24" customHeight="1">
      <c r="H1674" s="154" t="s">
        <v>2229</v>
      </c>
      <c r="AE1674" s="172">
        <f t="shared" si="207"/>
        <v>0</v>
      </c>
    </row>
    <row r="1675" spans="6:31" ht="24" customHeight="1">
      <c r="H1675" s="154" t="s">
        <v>2230</v>
      </c>
      <c r="AE1675" s="172">
        <f t="shared" si="207"/>
        <v>0</v>
      </c>
    </row>
    <row r="1676" spans="6:31" ht="24" customHeight="1">
      <c r="H1676" s="154" t="s">
        <v>2231</v>
      </c>
      <c r="AE1676" s="172">
        <f t="shared" si="207"/>
        <v>0</v>
      </c>
    </row>
    <row r="1677" spans="6:31" ht="24" customHeight="1">
      <c r="H1677" s="162" t="s">
        <v>534</v>
      </c>
      <c r="I1677" s="162" t="s">
        <v>534</v>
      </c>
      <c r="AE1677" s="172">
        <f t="shared" si="207"/>
        <v>0</v>
      </c>
    </row>
    <row r="1678" spans="6:31" ht="24" customHeight="1">
      <c r="F1678" s="167">
        <v>1</v>
      </c>
      <c r="G1678" s="165" t="s">
        <v>2232</v>
      </c>
      <c r="H1678" s="154" t="s">
        <v>2233</v>
      </c>
      <c r="I1678" s="274">
        <v>85</v>
      </c>
      <c r="J1678" s="154" t="s">
        <v>332</v>
      </c>
      <c r="K1678" s="167">
        <f>(F1678*I1678)</f>
        <v>85</v>
      </c>
      <c r="AE1678" s="172">
        <f t="shared" si="207"/>
        <v>0</v>
      </c>
    </row>
    <row r="1679" spans="6:31" ht="24" customHeight="1">
      <c r="G1679" s="165" t="s">
        <v>589</v>
      </c>
      <c r="H1679" s="154" t="s">
        <v>2234</v>
      </c>
      <c r="J1679" s="154" t="s">
        <v>589</v>
      </c>
      <c r="K1679" s="167">
        <v>7.5</v>
      </c>
      <c r="AE1679" s="172">
        <f t="shared" si="207"/>
        <v>0</v>
      </c>
    </row>
    <row r="1680" spans="6:31" ht="24" customHeight="1">
      <c r="G1680" s="165" t="s">
        <v>589</v>
      </c>
      <c r="H1680" s="154" t="s">
        <v>2235</v>
      </c>
      <c r="J1680" s="154" t="s">
        <v>589</v>
      </c>
      <c r="K1680" s="167">
        <f>1.75+0.75</f>
        <v>2.5</v>
      </c>
      <c r="AE1680" s="172">
        <f t="shared" si="207"/>
        <v>0</v>
      </c>
    </row>
    <row r="1681" spans="6:31" ht="24" customHeight="1">
      <c r="H1681" s="154" t="s">
        <v>2236</v>
      </c>
      <c r="K1681" s="162" t="s">
        <v>534</v>
      </c>
      <c r="AE1681" s="172">
        <f t="shared" si="207"/>
        <v>0</v>
      </c>
    </row>
    <row r="1682" spans="6:31" ht="24" customHeight="1">
      <c r="H1682" s="155" t="s">
        <v>2225</v>
      </c>
      <c r="K1682" s="167">
        <f>SUM(K1678:K1680)</f>
        <v>95</v>
      </c>
      <c r="AE1682" s="172">
        <f t="shared" si="207"/>
        <v>0</v>
      </c>
    </row>
    <row r="1683" spans="6:31" ht="24" customHeight="1">
      <c r="K1683" s="162" t="s">
        <v>528</v>
      </c>
      <c r="AE1683" s="172">
        <f t="shared" si="207"/>
        <v>0</v>
      </c>
    </row>
    <row r="1684" spans="6:31" ht="24" customHeight="1">
      <c r="F1684" s="155" t="s">
        <v>2237</v>
      </c>
      <c r="G1684" s="165" t="s">
        <v>307</v>
      </c>
      <c r="H1684" s="154" t="s">
        <v>2238</v>
      </c>
      <c r="AE1684" s="172">
        <f t="shared" si="207"/>
        <v>0</v>
      </c>
    </row>
    <row r="1685" spans="6:31" ht="24" customHeight="1">
      <c r="H1685" s="154" t="s">
        <v>2239</v>
      </c>
      <c r="K1685" s="154" t="s">
        <v>22</v>
      </c>
      <c r="AE1685" s="172">
        <f t="shared" si="207"/>
        <v>0</v>
      </c>
    </row>
    <row r="1686" spans="6:31" ht="24" customHeight="1">
      <c r="H1686" s="162" t="s">
        <v>534</v>
      </c>
      <c r="AE1686" s="172">
        <f t="shared" si="207"/>
        <v>0</v>
      </c>
    </row>
    <row r="1687" spans="6:31" ht="24" customHeight="1">
      <c r="F1687" s="167">
        <v>1</v>
      </c>
      <c r="G1687" s="165" t="s">
        <v>2232</v>
      </c>
      <c r="H1687" s="154" t="s">
        <v>2240</v>
      </c>
      <c r="I1687" s="274">
        <v>50</v>
      </c>
      <c r="J1687" s="154" t="s">
        <v>332</v>
      </c>
      <c r="K1687" s="167">
        <f>(F1687*I1687)</f>
        <v>50</v>
      </c>
      <c r="AE1687" s="172">
        <f t="shared" si="207"/>
        <v>0</v>
      </c>
    </row>
    <row r="1688" spans="6:31" ht="24" customHeight="1">
      <c r="G1688" s="165" t="s">
        <v>589</v>
      </c>
      <c r="H1688" s="154" t="s">
        <v>2241</v>
      </c>
      <c r="J1688" s="154" t="s">
        <v>589</v>
      </c>
      <c r="K1688" s="167">
        <v>5</v>
      </c>
      <c r="AE1688" s="172">
        <f t="shared" si="207"/>
        <v>0</v>
      </c>
    </row>
    <row r="1689" spans="6:31" ht="24" customHeight="1">
      <c r="K1689" s="162" t="s">
        <v>534</v>
      </c>
      <c r="AE1689" s="172">
        <f t="shared" si="207"/>
        <v>0</v>
      </c>
    </row>
    <row r="1690" spans="6:31" ht="24" customHeight="1">
      <c r="H1690" s="155" t="s">
        <v>2242</v>
      </c>
      <c r="K1690" s="167">
        <f>SUM(K1686:K1688)</f>
        <v>55</v>
      </c>
      <c r="AE1690" s="172">
        <f t="shared" si="207"/>
        <v>0</v>
      </c>
    </row>
    <row r="1691" spans="6:31" ht="24" customHeight="1">
      <c r="K1691" s="162" t="s">
        <v>528</v>
      </c>
      <c r="AE1691" s="172">
        <f t="shared" si="207"/>
        <v>0</v>
      </c>
    </row>
    <row r="1692" spans="6:31" ht="24" customHeight="1">
      <c r="F1692" s="155" t="s">
        <v>2243</v>
      </c>
      <c r="G1692" s="165" t="s">
        <v>307</v>
      </c>
      <c r="H1692" s="154" t="s">
        <v>2244</v>
      </c>
      <c r="AE1692" s="172">
        <f t="shared" si="207"/>
        <v>0</v>
      </c>
    </row>
    <row r="1693" spans="6:31" ht="24" customHeight="1">
      <c r="H1693" s="162" t="s">
        <v>534</v>
      </c>
      <c r="I1693" s="162" t="s">
        <v>534</v>
      </c>
      <c r="AE1693" s="172">
        <f t="shared" si="207"/>
        <v>0</v>
      </c>
    </row>
    <row r="1694" spans="6:31" ht="24" customHeight="1">
      <c r="F1694" s="167">
        <v>1</v>
      </c>
      <c r="G1694" s="165" t="s">
        <v>2232</v>
      </c>
      <c r="H1694" s="154" t="s">
        <v>2245</v>
      </c>
      <c r="I1694" s="274">
        <v>1.2</v>
      </c>
      <c r="J1694" s="154" t="s">
        <v>332</v>
      </c>
      <c r="K1694" s="167">
        <f>(F1694*I1694)</f>
        <v>1.2</v>
      </c>
      <c r="AE1694" s="172">
        <f t="shared" si="207"/>
        <v>0</v>
      </c>
    </row>
    <row r="1695" spans="6:31" ht="24" customHeight="1">
      <c r="G1695" s="165" t="s">
        <v>589</v>
      </c>
      <c r="H1695" s="154" t="s">
        <v>2241</v>
      </c>
      <c r="J1695" s="154" t="s">
        <v>589</v>
      </c>
      <c r="K1695" s="167">
        <f>K1694*0.25</f>
        <v>0.3</v>
      </c>
      <c r="AE1695" s="172">
        <f t="shared" si="207"/>
        <v>0</v>
      </c>
    </row>
    <row r="1696" spans="6:31" ht="24" customHeight="1">
      <c r="K1696" s="162" t="s">
        <v>534</v>
      </c>
    </row>
    <row r="1697" spans="6:11" ht="24" customHeight="1">
      <c r="H1697" s="155" t="s">
        <v>2242</v>
      </c>
      <c r="K1697" s="167">
        <f>SUM(K1692:K1695)</f>
        <v>1.5</v>
      </c>
    </row>
    <row r="1698" spans="6:11" ht="24" customHeight="1">
      <c r="F1698" s="154" t="s">
        <v>22</v>
      </c>
      <c r="K1698" s="162" t="s">
        <v>534</v>
      </c>
    </row>
    <row r="1699" spans="6:11" ht="24" customHeight="1">
      <c r="F1699" s="200">
        <v>50.1</v>
      </c>
      <c r="G1699" s="165" t="s">
        <v>307</v>
      </c>
      <c r="H1699" s="154" t="s">
        <v>2246</v>
      </c>
    </row>
    <row r="1700" spans="6:11" ht="24" customHeight="1">
      <c r="H1700" s="154" t="s">
        <v>2247</v>
      </c>
    </row>
    <row r="1701" spans="6:11" ht="24" customHeight="1">
      <c r="H1701" s="154" t="s">
        <v>2248</v>
      </c>
    </row>
    <row r="1702" spans="6:11" ht="24" customHeight="1">
      <c r="H1702" s="154" t="s">
        <v>2249</v>
      </c>
    </row>
    <row r="1703" spans="6:11" ht="24" customHeight="1">
      <c r="H1703" s="154" t="s">
        <v>2250</v>
      </c>
    </row>
    <row r="1704" spans="6:11" ht="24" customHeight="1">
      <c r="H1704" s="162" t="s">
        <v>534</v>
      </c>
      <c r="I1704" s="162" t="s">
        <v>534</v>
      </c>
    </row>
    <row r="1705" spans="6:11" ht="24" customHeight="1">
      <c r="F1705" s="167">
        <v>9</v>
      </c>
      <c r="G1705" s="165" t="s">
        <v>238</v>
      </c>
      <c r="H1705" s="154" t="s">
        <v>2251</v>
      </c>
      <c r="I1705" s="167">
        <f>C73</f>
        <v>1500.88</v>
      </c>
      <c r="J1705" s="154" t="s">
        <v>238</v>
      </c>
      <c r="K1705" s="167">
        <f>(F1705*I1705)</f>
        <v>13507.920000000002</v>
      </c>
    </row>
    <row r="1706" spans="6:11" ht="24" customHeight="1">
      <c r="F1706" s="167">
        <v>4.5</v>
      </c>
      <c r="G1706" s="165" t="s">
        <v>238</v>
      </c>
      <c r="H1706" s="154" t="s">
        <v>2252</v>
      </c>
      <c r="I1706" s="167">
        <f>K32</f>
        <v>4357.67</v>
      </c>
      <c r="J1706" s="154" t="s">
        <v>238</v>
      </c>
      <c r="K1706" s="167">
        <f>(F1706*I1706)</f>
        <v>19609.514999999999</v>
      </c>
    </row>
    <row r="1707" spans="6:11" ht="24" customHeight="1">
      <c r="F1707" s="167">
        <v>1.8</v>
      </c>
      <c r="G1707" s="165" t="s">
        <v>1261</v>
      </c>
      <c r="H1707" s="154" t="s">
        <v>2253</v>
      </c>
      <c r="I1707" s="167">
        <f>C11</f>
        <v>669.90000000000009</v>
      </c>
      <c r="J1707" s="154" t="s">
        <v>332</v>
      </c>
      <c r="K1707" s="167">
        <f>(F1707*I1707)</f>
        <v>1205.8200000000002</v>
      </c>
    </row>
    <row r="1708" spans="6:11" ht="24" customHeight="1">
      <c r="F1708" s="167">
        <v>17.7</v>
      </c>
      <c r="G1708" s="165" t="s">
        <v>1261</v>
      </c>
      <c r="H1708" s="154" t="s">
        <v>1264</v>
      </c>
      <c r="I1708" s="167">
        <f>C12</f>
        <v>468.6</v>
      </c>
      <c r="J1708" s="154" t="s">
        <v>332</v>
      </c>
      <c r="K1708" s="167">
        <f>(F1708*I1708)</f>
        <v>8294.2199999999993</v>
      </c>
    </row>
    <row r="1709" spans="6:11" ht="24" customHeight="1">
      <c r="F1709" s="167">
        <v>14.1</v>
      </c>
      <c r="G1709" s="165" t="s">
        <v>1261</v>
      </c>
      <c r="H1709" s="154" t="s">
        <v>2141</v>
      </c>
      <c r="I1709" s="167">
        <f>C13</f>
        <v>404.8</v>
      </c>
      <c r="J1709" s="154" t="s">
        <v>332</v>
      </c>
      <c r="K1709" s="167">
        <f>(F1709*I1709)</f>
        <v>5707.68</v>
      </c>
    </row>
    <row r="1710" spans="6:11" ht="24" customHeight="1">
      <c r="K1710" s="162" t="s">
        <v>534</v>
      </c>
    </row>
    <row r="1711" spans="6:11" ht="24" customHeight="1">
      <c r="H1711" s="155" t="s">
        <v>2254</v>
      </c>
      <c r="K1711" s="167">
        <f>SUM(K1705:K1709)</f>
        <v>48325.154999999999</v>
      </c>
    </row>
    <row r="1712" spans="6:11" ht="24" customHeight="1">
      <c r="K1712" s="162" t="s">
        <v>534</v>
      </c>
    </row>
    <row r="1713" spans="6:11" ht="24" customHeight="1">
      <c r="H1713" s="155" t="s">
        <v>2255</v>
      </c>
      <c r="K1713" s="166">
        <f>(K1711/10)</f>
        <v>4832.5154999999995</v>
      </c>
    </row>
    <row r="1714" spans="6:11" ht="24" customHeight="1">
      <c r="K1714" s="162" t="s">
        <v>528</v>
      </c>
    </row>
    <row r="1716" spans="6:11" ht="24" customHeight="1">
      <c r="G1716" s="165" t="s">
        <v>865</v>
      </c>
      <c r="H1716" s="154" t="s">
        <v>2256</v>
      </c>
    </row>
    <row r="1717" spans="6:11" ht="24" customHeight="1">
      <c r="H1717" s="154" t="s">
        <v>2257</v>
      </c>
    </row>
    <row r="1718" spans="6:11" ht="24" customHeight="1">
      <c r="H1718" s="162" t="s">
        <v>534</v>
      </c>
      <c r="I1718" s="162" t="s">
        <v>534</v>
      </c>
    </row>
    <row r="1720" spans="6:11" ht="24" customHeight="1">
      <c r="F1720" s="198">
        <v>0.314</v>
      </c>
      <c r="G1720" s="165" t="s">
        <v>238</v>
      </c>
      <c r="H1720" s="154" t="s">
        <v>2258</v>
      </c>
      <c r="I1720" s="167">
        <f>K1713</f>
        <v>4832.5154999999995</v>
      </c>
      <c r="J1720" s="154" t="s">
        <v>238</v>
      </c>
      <c r="K1720" s="167">
        <f>(F1720*I1720)</f>
        <v>1517.4098669999998</v>
      </c>
    </row>
    <row r="1721" spans="6:11" ht="24" customHeight="1">
      <c r="F1721" s="167">
        <v>18</v>
      </c>
      <c r="G1721" s="165" t="s">
        <v>1261</v>
      </c>
      <c r="H1721" s="201" t="s">
        <v>2259</v>
      </c>
      <c r="I1721" s="258">
        <v>41.87</v>
      </c>
      <c r="J1721" s="154" t="s">
        <v>332</v>
      </c>
      <c r="K1721" s="167">
        <f>(F1721*I1721)</f>
        <v>753.66</v>
      </c>
    </row>
    <row r="1722" spans="6:11" ht="24" customHeight="1">
      <c r="F1722" s="167">
        <v>18</v>
      </c>
      <c r="G1722" s="165" t="s">
        <v>1261</v>
      </c>
      <c r="H1722" s="154" t="s">
        <v>2260</v>
      </c>
      <c r="I1722" s="167">
        <v>1</v>
      </c>
      <c r="J1722" s="154" t="s">
        <v>332</v>
      </c>
      <c r="K1722" s="167">
        <f>(F1722*I1722)</f>
        <v>18</v>
      </c>
    </row>
    <row r="1723" spans="6:11" ht="24" customHeight="1">
      <c r="F1723" s="167">
        <v>18</v>
      </c>
      <c r="G1723" s="165" t="s">
        <v>1261</v>
      </c>
      <c r="H1723" s="154" t="s">
        <v>2261</v>
      </c>
      <c r="I1723" s="167">
        <v>2</v>
      </c>
      <c r="J1723" s="154" t="s">
        <v>332</v>
      </c>
      <c r="K1723" s="167">
        <f>(F1723*I1723)</f>
        <v>36</v>
      </c>
    </row>
    <row r="1724" spans="6:11" ht="24" customHeight="1">
      <c r="K1724" s="162" t="s">
        <v>534</v>
      </c>
    </row>
    <row r="1725" spans="6:11" ht="24" customHeight="1">
      <c r="H1725" s="155" t="s">
        <v>2262</v>
      </c>
      <c r="K1725" s="167">
        <f>SUM(K1719:K1723)</f>
        <v>2325.0698669999997</v>
      </c>
    </row>
    <row r="1726" spans="6:11" ht="24" customHeight="1">
      <c r="K1726" s="162" t="s">
        <v>534</v>
      </c>
    </row>
    <row r="1727" spans="6:11" ht="24" customHeight="1">
      <c r="H1727" s="155" t="s">
        <v>2263</v>
      </c>
      <c r="K1727" s="166">
        <f>(K1725/6.28)</f>
        <v>370.23405525477699</v>
      </c>
    </row>
    <row r="1728" spans="6:11" ht="24" customHeight="1">
      <c r="K1728" s="162" t="s">
        <v>528</v>
      </c>
    </row>
    <row r="1729" spans="6:11" ht="24" customHeight="1">
      <c r="F1729" s="154" t="s">
        <v>22</v>
      </c>
      <c r="H1729" s="154" t="s">
        <v>2264</v>
      </c>
    </row>
    <row r="1730" spans="6:11" ht="24" customHeight="1">
      <c r="H1730" s="162" t="s">
        <v>534</v>
      </c>
    </row>
    <row r="1731" spans="6:11" ht="24" customHeight="1">
      <c r="F1731" s="198">
        <v>0.01</v>
      </c>
      <c r="G1731" s="165" t="s">
        <v>238</v>
      </c>
      <c r="H1731" s="154" t="s">
        <v>2258</v>
      </c>
      <c r="I1731" s="167">
        <f>K1713</f>
        <v>4832.5154999999995</v>
      </c>
      <c r="J1731" s="154" t="s">
        <v>238</v>
      </c>
      <c r="K1731" s="167">
        <f>ROUND(F1731*I1731,2)</f>
        <v>48.33</v>
      </c>
    </row>
    <row r="1732" spans="6:11" ht="24" customHeight="1">
      <c r="F1732" s="167">
        <v>0.01</v>
      </c>
      <c r="G1732" s="165" t="s">
        <v>421</v>
      </c>
      <c r="H1732" s="154" t="s">
        <v>2265</v>
      </c>
      <c r="I1732" s="263" t="s">
        <v>519</v>
      </c>
      <c r="K1732" s="167">
        <v>1.2</v>
      </c>
    </row>
    <row r="1733" spans="6:11" ht="24" customHeight="1">
      <c r="I1733" s="242"/>
      <c r="K1733" s="162" t="s">
        <v>534</v>
      </c>
    </row>
    <row r="1734" spans="6:11" ht="24" customHeight="1">
      <c r="H1734" s="155" t="s">
        <v>2266</v>
      </c>
      <c r="K1734" s="167">
        <f>SUM(K1728:K1732)</f>
        <v>49.53</v>
      </c>
    </row>
    <row r="1735" spans="6:11" ht="24" customHeight="1">
      <c r="K1735" s="162" t="s">
        <v>534</v>
      </c>
    </row>
    <row r="1736" spans="6:11" ht="24" customHeight="1">
      <c r="H1736" s="155" t="s">
        <v>2267</v>
      </c>
      <c r="K1736" s="167">
        <f>K1734/0.01</f>
        <v>4953</v>
      </c>
    </row>
    <row r="1737" spans="6:11" ht="24" customHeight="1">
      <c r="K1737" s="162" t="s">
        <v>528</v>
      </c>
    </row>
    <row r="1738" spans="6:11" ht="24" customHeight="1">
      <c r="F1738" s="155" t="s">
        <v>2268</v>
      </c>
      <c r="G1738" s="165" t="s">
        <v>865</v>
      </c>
      <c r="H1738" s="154" t="s">
        <v>2256</v>
      </c>
    </row>
    <row r="1739" spans="6:11" ht="24" customHeight="1">
      <c r="H1739" s="157" t="s">
        <v>2269</v>
      </c>
    </row>
    <row r="1740" spans="6:11" ht="24" customHeight="1">
      <c r="H1740" s="162" t="s">
        <v>534</v>
      </c>
      <c r="I1740" s="162" t="s">
        <v>534</v>
      </c>
    </row>
    <row r="1741" spans="6:11" ht="24" customHeight="1">
      <c r="F1741" s="198">
        <v>0.40500000000000003</v>
      </c>
      <c r="G1741" s="165" t="s">
        <v>238</v>
      </c>
      <c r="H1741" s="154" t="s">
        <v>2258</v>
      </c>
      <c r="I1741" s="167">
        <f>K1736</f>
        <v>4953</v>
      </c>
      <c r="J1741" s="154" t="s">
        <v>238</v>
      </c>
      <c r="K1741" s="167">
        <f>(F1741*I1741)</f>
        <v>2005.9650000000001</v>
      </c>
    </row>
    <row r="1742" spans="6:11" ht="24" customHeight="1">
      <c r="F1742" s="154" t="s">
        <v>22</v>
      </c>
      <c r="G1742" s="165" t="s">
        <v>22</v>
      </c>
      <c r="H1742" s="154" t="s">
        <v>2270</v>
      </c>
      <c r="I1742" s="263" t="s">
        <v>519</v>
      </c>
      <c r="K1742" s="154" t="s">
        <v>22</v>
      </c>
    </row>
    <row r="1743" spans="6:11" ht="24" customHeight="1">
      <c r="K1743" s="162" t="s">
        <v>534</v>
      </c>
    </row>
    <row r="1744" spans="6:11" ht="24" customHeight="1">
      <c r="H1744" s="155" t="s">
        <v>2271</v>
      </c>
      <c r="K1744" s="167">
        <f>SUM(K1738:K1742)</f>
        <v>2005.9650000000001</v>
      </c>
    </row>
    <row r="1745" spans="6:11" ht="24" customHeight="1">
      <c r="K1745" s="162" t="s">
        <v>534</v>
      </c>
    </row>
    <row r="1746" spans="6:11" ht="24" customHeight="1">
      <c r="H1746" s="155" t="s">
        <v>2272</v>
      </c>
      <c r="K1746" s="166">
        <f>K1744/9</f>
        <v>222.88500000000002</v>
      </c>
    </row>
    <row r="1747" spans="6:11" ht="24" customHeight="1">
      <c r="K1747" s="162" t="s">
        <v>528</v>
      </c>
    </row>
    <row r="1748" spans="6:11" ht="24" customHeight="1">
      <c r="F1748" s="155" t="s">
        <v>2273</v>
      </c>
      <c r="H1748" s="154" t="s">
        <v>2274</v>
      </c>
    </row>
    <row r="1749" spans="6:11" ht="24" customHeight="1">
      <c r="H1749" s="162" t="s">
        <v>534</v>
      </c>
    </row>
    <row r="1750" spans="6:11" ht="24" customHeight="1">
      <c r="F1750" s="167">
        <v>4.32</v>
      </c>
      <c r="G1750" s="165" t="s">
        <v>577</v>
      </c>
      <c r="H1750" s="154" t="s">
        <v>2275</v>
      </c>
      <c r="I1750" s="167">
        <f>C61</f>
        <v>80.41</v>
      </c>
      <c r="J1750" s="154" t="s">
        <v>577</v>
      </c>
      <c r="K1750" s="167">
        <f t="shared" ref="K1750:K1757" si="208">(F1750*I1750)</f>
        <v>347.37119999999999</v>
      </c>
    </row>
    <row r="1751" spans="6:11" ht="24" customHeight="1">
      <c r="F1751" s="167">
        <v>1.44</v>
      </c>
      <c r="G1751" s="165" t="s">
        <v>577</v>
      </c>
      <c r="H1751" s="154" t="s">
        <v>2276</v>
      </c>
      <c r="I1751" s="274">
        <v>69.099999999999994</v>
      </c>
      <c r="J1751" s="154" t="s">
        <v>577</v>
      </c>
      <c r="K1751" s="167">
        <f t="shared" si="208"/>
        <v>99.503999999999991</v>
      </c>
    </row>
    <row r="1752" spans="6:11" ht="24" customHeight="1">
      <c r="F1752" s="167">
        <v>1.44</v>
      </c>
      <c r="G1752" s="165" t="s">
        <v>577</v>
      </c>
      <c r="H1752" s="154" t="s">
        <v>2277</v>
      </c>
      <c r="I1752" s="167">
        <f>C35</f>
        <v>346.88</v>
      </c>
      <c r="J1752" s="154" t="s">
        <v>577</v>
      </c>
      <c r="K1752" s="167">
        <f t="shared" si="208"/>
        <v>499.50719999999995</v>
      </c>
    </row>
    <row r="1753" spans="6:11" ht="24" customHeight="1">
      <c r="F1753" s="167">
        <v>1.44</v>
      </c>
      <c r="G1753" s="165" t="s">
        <v>577</v>
      </c>
      <c r="H1753" s="154" t="s">
        <v>2278</v>
      </c>
      <c r="I1753" s="167">
        <f>C78</f>
        <v>1514.4</v>
      </c>
      <c r="J1753" s="154" t="s">
        <v>577</v>
      </c>
      <c r="K1753" s="167">
        <f t="shared" si="208"/>
        <v>2180.7359999999999</v>
      </c>
    </row>
    <row r="1754" spans="6:11" ht="24" customHeight="1">
      <c r="F1754" s="167">
        <v>2.88</v>
      </c>
      <c r="G1754" s="165" t="s">
        <v>577</v>
      </c>
      <c r="H1754" s="154" t="s">
        <v>2279</v>
      </c>
      <c r="I1754" s="258">
        <v>10</v>
      </c>
      <c r="J1754" s="154" t="s">
        <v>577</v>
      </c>
      <c r="K1754" s="167">
        <f t="shared" si="208"/>
        <v>28.799999999999997</v>
      </c>
    </row>
    <row r="1755" spans="6:11" ht="24" customHeight="1">
      <c r="F1755" s="167">
        <v>20</v>
      </c>
      <c r="G1755" s="165" t="s">
        <v>2280</v>
      </c>
      <c r="H1755" s="154" t="s">
        <v>2281</v>
      </c>
      <c r="I1755" s="274">
        <v>46.1</v>
      </c>
      <c r="J1755" s="154" t="s">
        <v>2280</v>
      </c>
      <c r="K1755" s="167">
        <f t="shared" si="208"/>
        <v>922</v>
      </c>
    </row>
    <row r="1756" spans="6:11" ht="24" customHeight="1">
      <c r="F1756" s="167">
        <v>42</v>
      </c>
      <c r="G1756" s="165" t="s">
        <v>2282</v>
      </c>
      <c r="H1756" s="154" t="s">
        <v>2283</v>
      </c>
      <c r="I1756" s="172">
        <v>17.5</v>
      </c>
      <c r="J1756" s="154" t="s">
        <v>2282</v>
      </c>
      <c r="K1756" s="167">
        <f t="shared" si="208"/>
        <v>735</v>
      </c>
    </row>
    <row r="1757" spans="6:11" ht="24" customHeight="1">
      <c r="F1757" s="167">
        <v>4.32</v>
      </c>
      <c r="G1757" s="165" t="s">
        <v>577</v>
      </c>
      <c r="H1757" s="154" t="s">
        <v>2284</v>
      </c>
      <c r="I1757" s="167">
        <f>C26</f>
        <v>28.05</v>
      </c>
      <c r="J1757" s="154" t="s">
        <v>577</v>
      </c>
      <c r="K1757" s="167">
        <f t="shared" si="208"/>
        <v>121.17600000000002</v>
      </c>
    </row>
    <row r="1758" spans="6:11" ht="24" customHeight="1">
      <c r="F1758" s="155" t="s">
        <v>2285</v>
      </c>
      <c r="H1758" s="154" t="s">
        <v>2286</v>
      </c>
      <c r="K1758" s="167">
        <v>2000</v>
      </c>
    </row>
    <row r="1759" spans="6:11" ht="24" customHeight="1">
      <c r="K1759" s="162" t="s">
        <v>534</v>
      </c>
    </row>
    <row r="1760" spans="6:11" ht="24" customHeight="1">
      <c r="H1760" s="154" t="s">
        <v>2287</v>
      </c>
      <c r="K1760" s="167">
        <f>SUM(K1750:K1758)</f>
        <v>6934.0944000000009</v>
      </c>
    </row>
    <row r="1761" spans="6:12" ht="24" customHeight="1">
      <c r="K1761" s="162" t="s">
        <v>534</v>
      </c>
    </row>
    <row r="1762" spans="6:12" ht="24" customHeight="1">
      <c r="H1762" s="154" t="s">
        <v>2288</v>
      </c>
      <c r="K1762" s="166">
        <f>K1760/20</f>
        <v>346.70472000000007</v>
      </c>
    </row>
    <row r="1763" spans="6:12" ht="24" customHeight="1">
      <c r="K1763" s="162" t="s">
        <v>528</v>
      </c>
    </row>
    <row r="1765" spans="6:12" ht="24" customHeight="1">
      <c r="F1765" s="155" t="s">
        <v>2289</v>
      </c>
      <c r="H1765" s="154" t="s">
        <v>2290</v>
      </c>
    </row>
    <row r="1766" spans="6:12" ht="24" customHeight="1">
      <c r="H1766" s="162" t="s">
        <v>534</v>
      </c>
    </row>
    <row r="1767" spans="6:12" ht="24" customHeight="1">
      <c r="F1767" s="167">
        <v>0.1</v>
      </c>
      <c r="G1767" s="165" t="s">
        <v>577</v>
      </c>
      <c r="H1767" s="154" t="s">
        <v>2275</v>
      </c>
      <c r="I1767" s="167">
        <f>K90</f>
        <v>160.82</v>
      </c>
      <c r="J1767" s="154" t="s">
        <v>577</v>
      </c>
      <c r="K1767" s="167">
        <f t="shared" ref="K1767:K1772" si="209">(F1767*I1767)</f>
        <v>16.082000000000001</v>
      </c>
    </row>
    <row r="1768" spans="6:12" ht="24" customHeight="1">
      <c r="F1768" s="167">
        <v>6.3</v>
      </c>
      <c r="G1768" s="165" t="s">
        <v>2282</v>
      </c>
      <c r="H1768" s="154" t="s">
        <v>2291</v>
      </c>
      <c r="I1768" s="172">
        <v>34.6</v>
      </c>
      <c r="J1768" s="154" t="s">
        <v>2282</v>
      </c>
      <c r="K1768" s="167">
        <f t="shared" si="209"/>
        <v>217.98</v>
      </c>
    </row>
    <row r="1769" spans="6:12" ht="24" customHeight="1">
      <c r="F1769" s="167">
        <v>6.3</v>
      </c>
      <c r="G1769" s="165" t="s">
        <v>2282</v>
      </c>
      <c r="H1769" s="154" t="s">
        <v>2292</v>
      </c>
      <c r="I1769" s="173">
        <f>I1756</f>
        <v>17.5</v>
      </c>
      <c r="J1769" s="154" t="s">
        <v>2282</v>
      </c>
      <c r="K1769" s="167">
        <f t="shared" si="209"/>
        <v>110.25</v>
      </c>
    </row>
    <row r="1770" spans="6:12" ht="24" customHeight="1">
      <c r="F1770" s="167">
        <v>3.15</v>
      </c>
      <c r="G1770" s="165" t="s">
        <v>141</v>
      </c>
      <c r="H1770" s="154" t="s">
        <v>2293</v>
      </c>
      <c r="I1770" s="167">
        <f>C198</f>
        <v>31.65</v>
      </c>
      <c r="J1770" s="154" t="s">
        <v>141</v>
      </c>
      <c r="K1770" s="167">
        <f t="shared" si="209"/>
        <v>99.697499999999991</v>
      </c>
      <c r="L1770" s="76" t="s">
        <v>1909</v>
      </c>
    </row>
    <row r="1771" spans="6:12" ht="24" customHeight="1">
      <c r="F1771" s="167">
        <v>0.25</v>
      </c>
      <c r="G1771" s="165" t="s">
        <v>2232</v>
      </c>
      <c r="H1771" s="154" t="s">
        <v>2294</v>
      </c>
      <c r="I1771" s="167">
        <f>D16</f>
        <v>669.90000000000009</v>
      </c>
      <c r="J1771" s="154" t="s">
        <v>2232</v>
      </c>
      <c r="K1771" s="167">
        <f t="shared" si="209"/>
        <v>167.47500000000002</v>
      </c>
    </row>
    <row r="1772" spans="6:12" ht="24" customHeight="1">
      <c r="F1772" s="167">
        <v>0.2</v>
      </c>
      <c r="G1772" s="165" t="s">
        <v>2232</v>
      </c>
      <c r="H1772" s="154" t="s">
        <v>2295</v>
      </c>
      <c r="I1772" s="167">
        <f>AE38</f>
        <v>622.6</v>
      </c>
      <c r="J1772" s="154" t="s">
        <v>2232</v>
      </c>
      <c r="K1772" s="167">
        <f t="shared" si="209"/>
        <v>124.52000000000001</v>
      </c>
    </row>
    <row r="1773" spans="6:12" ht="24" customHeight="1">
      <c r="H1773" s="154" t="s">
        <v>2296</v>
      </c>
      <c r="I1773" s="154" t="s">
        <v>22</v>
      </c>
      <c r="J1773" s="154" t="s">
        <v>22</v>
      </c>
      <c r="K1773" s="167">
        <v>0</v>
      </c>
    </row>
    <row r="1774" spans="6:12" ht="24" customHeight="1">
      <c r="J1774" s="154" t="s">
        <v>22</v>
      </c>
      <c r="K1774" s="162" t="s">
        <v>534</v>
      </c>
    </row>
    <row r="1775" spans="6:12" ht="24" customHeight="1">
      <c r="F1775" s="154" t="s">
        <v>22</v>
      </c>
      <c r="G1775" s="165" t="s">
        <v>22</v>
      </c>
      <c r="H1775" s="154" t="s">
        <v>2288</v>
      </c>
      <c r="K1775" s="166">
        <f>SUM(K1767:K1774)</f>
        <v>736.00450000000001</v>
      </c>
    </row>
    <row r="1776" spans="6:12" ht="24" customHeight="1">
      <c r="H1776" s="154" t="s">
        <v>22</v>
      </c>
      <c r="K1776" s="162" t="s">
        <v>534</v>
      </c>
    </row>
    <row r="1777" spans="6:11" ht="24" customHeight="1">
      <c r="K1777" s="162"/>
    </row>
    <row r="1778" spans="6:11" ht="24" customHeight="1">
      <c r="F1778" s="155" t="s">
        <v>2297</v>
      </c>
      <c r="H1778" s="154" t="s">
        <v>2298</v>
      </c>
    </row>
    <row r="1779" spans="6:11" ht="24" customHeight="1">
      <c r="H1779" s="162" t="s">
        <v>534</v>
      </c>
    </row>
    <row r="1780" spans="6:11" ht="24" customHeight="1">
      <c r="F1780" s="233">
        <v>0.48599999999999999</v>
      </c>
      <c r="G1780" s="165" t="s">
        <v>421</v>
      </c>
      <c r="H1780" s="154" t="s">
        <v>2275</v>
      </c>
      <c r="I1780" s="167">
        <f>C61</f>
        <v>80.41</v>
      </c>
      <c r="J1780" s="154" t="s">
        <v>421</v>
      </c>
      <c r="K1780" s="167">
        <f t="shared" ref="K1780:K1786" si="210">(F1780*I1780)</f>
        <v>39.079259999999998</v>
      </c>
    </row>
    <row r="1781" spans="6:11" ht="24" customHeight="1">
      <c r="F1781" s="233">
        <v>0.48599999999999999</v>
      </c>
      <c r="G1781" s="165" t="s">
        <v>421</v>
      </c>
      <c r="H1781" s="154" t="s">
        <v>2299</v>
      </c>
      <c r="I1781" s="167">
        <f>K204</f>
        <v>3990.1154999999999</v>
      </c>
      <c r="J1781" s="154" t="s">
        <v>421</v>
      </c>
      <c r="K1781" s="167">
        <f t="shared" si="210"/>
        <v>1939.1961329999999</v>
      </c>
    </row>
    <row r="1782" spans="6:11" ht="24" customHeight="1">
      <c r="F1782" s="167">
        <v>81.75</v>
      </c>
      <c r="G1782" s="165" t="s">
        <v>2300</v>
      </c>
      <c r="H1782" s="154" t="s">
        <v>2301</v>
      </c>
      <c r="I1782" s="167">
        <f>I745</f>
        <v>41.2</v>
      </c>
      <c r="J1782" s="154" t="s">
        <v>2300</v>
      </c>
      <c r="K1782" s="167">
        <f t="shared" si="210"/>
        <v>3368.1000000000004</v>
      </c>
    </row>
    <row r="1783" spans="6:11" ht="24" customHeight="1">
      <c r="F1783" s="167">
        <v>7.2</v>
      </c>
      <c r="G1783" s="165" t="s">
        <v>2300</v>
      </c>
      <c r="H1783" s="154" t="s">
        <v>2302</v>
      </c>
      <c r="I1783" s="167">
        <f>I745</f>
        <v>41.2</v>
      </c>
      <c r="J1783" s="154" t="s">
        <v>2300</v>
      </c>
      <c r="K1783" s="167">
        <f t="shared" si="210"/>
        <v>296.64000000000004</v>
      </c>
    </row>
    <row r="1784" spans="6:11" ht="24" customHeight="1">
      <c r="F1784" s="167">
        <v>43.68</v>
      </c>
      <c r="G1784" s="165" t="s">
        <v>2300</v>
      </c>
      <c r="H1784" s="154" t="s">
        <v>2303</v>
      </c>
      <c r="I1784" s="167">
        <f>I743</f>
        <v>41.2</v>
      </c>
      <c r="J1784" s="154" t="s">
        <v>2300</v>
      </c>
      <c r="K1784" s="167">
        <f t="shared" si="210"/>
        <v>1799.6160000000002</v>
      </c>
    </row>
    <row r="1785" spans="6:11" ht="24" customHeight="1">
      <c r="F1785" s="167">
        <v>132.63</v>
      </c>
      <c r="G1785" s="165" t="s">
        <v>2300</v>
      </c>
      <c r="H1785" s="154" t="s">
        <v>2304</v>
      </c>
      <c r="I1785" s="167">
        <f>C37</f>
        <v>36.200000000000003</v>
      </c>
      <c r="J1785" s="154" t="s">
        <v>2300</v>
      </c>
      <c r="K1785" s="167">
        <f t="shared" si="210"/>
        <v>4801.2060000000001</v>
      </c>
    </row>
    <row r="1786" spans="6:11" ht="24" customHeight="1">
      <c r="F1786" s="167">
        <v>2.2000000000000002</v>
      </c>
      <c r="G1786" s="165" t="s">
        <v>141</v>
      </c>
      <c r="H1786" s="154" t="s">
        <v>2305</v>
      </c>
      <c r="I1786" s="258">
        <v>970</v>
      </c>
      <c r="J1786" s="154" t="s">
        <v>141</v>
      </c>
      <c r="K1786" s="167">
        <f t="shared" si="210"/>
        <v>2134</v>
      </c>
    </row>
    <row r="1787" spans="6:11" ht="24" customHeight="1">
      <c r="F1787" s="263" t="s">
        <v>519</v>
      </c>
      <c r="H1787" s="154" t="s">
        <v>2306</v>
      </c>
      <c r="I1787" s="263" t="s">
        <v>519</v>
      </c>
      <c r="K1787" s="167">
        <v>250</v>
      </c>
    </row>
    <row r="1788" spans="6:11" ht="24" customHeight="1">
      <c r="F1788" s="263" t="s">
        <v>519</v>
      </c>
      <c r="H1788" s="154" t="s">
        <v>2307</v>
      </c>
      <c r="I1788" s="263" t="s">
        <v>519</v>
      </c>
      <c r="K1788" s="167">
        <v>20.47</v>
      </c>
    </row>
    <row r="1789" spans="6:11" ht="24" customHeight="1">
      <c r="K1789" s="162" t="s">
        <v>534</v>
      </c>
    </row>
    <row r="1790" spans="6:11" ht="24" customHeight="1">
      <c r="K1790" s="167">
        <f>SUM(K1780:K1789)</f>
        <v>14648.307393000001</v>
      </c>
    </row>
    <row r="1791" spans="6:11" ht="24" customHeight="1">
      <c r="K1791" s="162" t="s">
        <v>534</v>
      </c>
    </row>
    <row r="1792" spans="6:11" ht="24" customHeight="1">
      <c r="K1792" s="162"/>
    </row>
    <row r="1793" spans="6:11" ht="24" customHeight="1">
      <c r="F1793" s="187">
        <v>86</v>
      </c>
      <c r="H1793" s="154" t="s">
        <v>2308</v>
      </c>
      <c r="K1793" s="195">
        <f>C806</f>
        <v>33.9</v>
      </c>
    </row>
    <row r="1794" spans="6:11" ht="24" customHeight="1">
      <c r="F1794" s="200"/>
      <c r="H1794" s="154"/>
      <c r="K1794" s="167"/>
    </row>
    <row r="1795" spans="6:11" ht="24" customHeight="1">
      <c r="F1795" s="155" t="s">
        <v>2309</v>
      </c>
      <c r="H1795" s="154" t="s">
        <v>2310</v>
      </c>
      <c r="K1795" s="255">
        <v>8.1999999999999993</v>
      </c>
    </row>
    <row r="1796" spans="6:11" ht="24" customHeight="1">
      <c r="H1796" s="154" t="s">
        <v>2311</v>
      </c>
      <c r="K1796" s="76">
        <f>700*K1795</f>
        <v>5739.9999999999991</v>
      </c>
    </row>
    <row r="1797" spans="6:11" ht="24" customHeight="1">
      <c r="F1797" s="154" t="s">
        <v>22</v>
      </c>
      <c r="H1797" s="154" t="s">
        <v>2312</v>
      </c>
      <c r="K1797" s="76">
        <f>200*K1795</f>
        <v>1639.9999999999998</v>
      </c>
    </row>
    <row r="1798" spans="6:11" ht="24" customHeight="1">
      <c r="F1798" s="200"/>
      <c r="G1798" s="165" t="s">
        <v>307</v>
      </c>
      <c r="H1798" s="154" t="s">
        <v>1115</v>
      </c>
    </row>
    <row r="1799" spans="6:11" ht="24" customHeight="1">
      <c r="H1799" s="154" t="s">
        <v>2313</v>
      </c>
    </row>
    <row r="1800" spans="6:11" ht="24" customHeight="1">
      <c r="H1800" s="154" t="s">
        <v>1182</v>
      </c>
    </row>
    <row r="1801" spans="6:11" ht="24" customHeight="1">
      <c r="H1801" s="162" t="s">
        <v>534</v>
      </c>
    </row>
    <row r="1802" spans="6:11" ht="24" customHeight="1">
      <c r="G1802" s="165" t="s">
        <v>2314</v>
      </c>
      <c r="H1802" s="154" t="s">
        <v>1182</v>
      </c>
      <c r="K1802" s="154" t="s">
        <v>2315</v>
      </c>
    </row>
    <row r="1803" spans="6:11" ht="24" customHeight="1">
      <c r="H1803" s="162" t="s">
        <v>534</v>
      </c>
      <c r="K1803" s="162" t="s">
        <v>528</v>
      </c>
    </row>
    <row r="1804" spans="6:11" ht="24" customHeight="1">
      <c r="F1804" s="167">
        <v>30</v>
      </c>
      <c r="G1804" s="165" t="s">
        <v>410</v>
      </c>
      <c r="H1804" s="154" t="s">
        <v>1188</v>
      </c>
      <c r="I1804" s="167">
        <f>(C661)</f>
        <v>6.45</v>
      </c>
      <c r="J1804" s="154" t="s">
        <v>410</v>
      </c>
      <c r="K1804" s="167">
        <f>(F1804*I1804)</f>
        <v>193.5</v>
      </c>
    </row>
    <row r="1805" spans="6:11" ht="24" customHeight="1">
      <c r="F1805" s="154" t="s">
        <v>22</v>
      </c>
      <c r="H1805" s="154" t="s">
        <v>1191</v>
      </c>
      <c r="I1805" s="154" t="s">
        <v>22</v>
      </c>
      <c r="K1805" s="154" t="s">
        <v>22</v>
      </c>
    </row>
    <row r="1806" spans="6:11" ht="24" customHeight="1">
      <c r="F1806" s="167">
        <v>8</v>
      </c>
      <c r="G1806" s="165" t="s">
        <v>576</v>
      </c>
      <c r="H1806" s="154" t="s">
        <v>1131</v>
      </c>
      <c r="I1806" s="167">
        <f>(C663)</f>
        <v>6.2</v>
      </c>
      <c r="J1806" s="154" t="s">
        <v>576</v>
      </c>
      <c r="K1806" s="167">
        <f t="shared" ref="K1806:K1812" si="211">(F1806*I1806)</f>
        <v>49.6</v>
      </c>
    </row>
    <row r="1807" spans="6:11" ht="24" customHeight="1">
      <c r="F1807" s="167">
        <v>8</v>
      </c>
      <c r="G1807" s="165" t="s">
        <v>576</v>
      </c>
      <c r="H1807" s="154" t="s">
        <v>1134</v>
      </c>
      <c r="I1807" s="167">
        <f>(C672)</f>
        <v>8.6999999999999993</v>
      </c>
      <c r="J1807" s="154" t="s">
        <v>576</v>
      </c>
      <c r="K1807" s="167">
        <f t="shared" si="211"/>
        <v>69.599999999999994</v>
      </c>
    </row>
    <row r="1808" spans="6:11" ht="24" customHeight="1">
      <c r="F1808" s="167">
        <v>3</v>
      </c>
      <c r="G1808" s="165" t="s">
        <v>576</v>
      </c>
      <c r="H1808" s="154" t="s">
        <v>1196</v>
      </c>
      <c r="I1808" s="167">
        <f>(C41)</f>
        <v>531.30000000000007</v>
      </c>
      <c r="J1808" s="154" t="s">
        <v>576</v>
      </c>
      <c r="K1808" s="167">
        <f t="shared" si="211"/>
        <v>1593.9</v>
      </c>
    </row>
    <row r="1809" spans="6:11" ht="24" customHeight="1">
      <c r="F1809" s="167">
        <v>1</v>
      </c>
      <c r="G1809" s="165" t="s">
        <v>576</v>
      </c>
      <c r="H1809" s="154" t="s">
        <v>2316</v>
      </c>
      <c r="I1809" s="167">
        <f>(C10)</f>
        <v>717.2</v>
      </c>
      <c r="J1809" s="154" t="s">
        <v>576</v>
      </c>
      <c r="K1809" s="167">
        <f t="shared" si="211"/>
        <v>717.2</v>
      </c>
    </row>
    <row r="1810" spans="6:11" ht="24" customHeight="1">
      <c r="F1810" s="167">
        <v>2</v>
      </c>
      <c r="G1810" s="165" t="s">
        <v>576</v>
      </c>
      <c r="H1810" s="154" t="s">
        <v>754</v>
      </c>
      <c r="I1810" s="167">
        <f>(C12)</f>
        <v>468.6</v>
      </c>
      <c r="J1810" s="154" t="s">
        <v>576</v>
      </c>
      <c r="K1810" s="167">
        <f t="shared" si="211"/>
        <v>937.2</v>
      </c>
    </row>
    <row r="1811" spans="6:11" ht="24" customHeight="1">
      <c r="F1811" s="167">
        <v>1</v>
      </c>
      <c r="G1811" s="165" t="s">
        <v>576</v>
      </c>
      <c r="H1811" s="154" t="s">
        <v>756</v>
      </c>
      <c r="I1811" s="167">
        <f>(C13)</f>
        <v>404.8</v>
      </c>
      <c r="J1811" s="154" t="s">
        <v>576</v>
      </c>
      <c r="K1811" s="167">
        <f t="shared" si="211"/>
        <v>404.8</v>
      </c>
    </row>
    <row r="1812" spans="6:11" ht="24" customHeight="1">
      <c r="F1812" s="167">
        <v>1</v>
      </c>
      <c r="G1812" s="165" t="s">
        <v>576</v>
      </c>
      <c r="H1812" s="154" t="s">
        <v>2317</v>
      </c>
      <c r="I1812" s="154">
        <v>5</v>
      </c>
      <c r="J1812" s="154" t="s">
        <v>332</v>
      </c>
      <c r="K1812" s="167">
        <f t="shared" si="211"/>
        <v>5</v>
      </c>
    </row>
    <row r="1813" spans="6:11" ht="24" customHeight="1">
      <c r="H1813" s="154" t="s">
        <v>2318</v>
      </c>
      <c r="I1813" s="154" t="s">
        <v>22</v>
      </c>
      <c r="K1813" s="154" t="s">
        <v>22</v>
      </c>
    </row>
    <row r="1814" spans="6:11" ht="24" customHeight="1">
      <c r="G1814" s="165" t="s">
        <v>589</v>
      </c>
      <c r="H1814" s="154" t="s">
        <v>590</v>
      </c>
      <c r="J1814" s="154" t="s">
        <v>589</v>
      </c>
      <c r="K1814" s="167">
        <v>0</v>
      </c>
    </row>
    <row r="1815" spans="6:11" ht="24" customHeight="1">
      <c r="K1815" s="162" t="s">
        <v>534</v>
      </c>
    </row>
    <row r="1816" spans="6:11" ht="24" customHeight="1">
      <c r="H1816" s="154" t="s">
        <v>1202</v>
      </c>
      <c r="K1816" s="167">
        <f>SUM(K1804:K1814)</f>
        <v>3970.8</v>
      </c>
    </row>
    <row r="1817" spans="6:11" ht="24" customHeight="1">
      <c r="K1817" s="162" t="s">
        <v>534</v>
      </c>
    </row>
    <row r="1818" spans="6:11" ht="24" customHeight="1">
      <c r="H1818" s="154" t="s">
        <v>1139</v>
      </c>
      <c r="K1818" s="167">
        <f>(K1816/30)</f>
        <v>132.36000000000001</v>
      </c>
    </row>
    <row r="1819" spans="6:11" ht="24" customHeight="1">
      <c r="K1819" s="162" t="s">
        <v>534</v>
      </c>
    </row>
    <row r="1820" spans="6:11" ht="24" customHeight="1">
      <c r="G1820" s="165" t="s">
        <v>1530</v>
      </c>
      <c r="H1820" s="154" t="s">
        <v>1182</v>
      </c>
      <c r="K1820" s="154" t="s">
        <v>2319</v>
      </c>
    </row>
    <row r="1821" spans="6:11" ht="24" customHeight="1">
      <c r="H1821" s="162" t="s">
        <v>534</v>
      </c>
      <c r="K1821" s="162" t="s">
        <v>528</v>
      </c>
    </row>
    <row r="1822" spans="6:11" ht="24" customHeight="1">
      <c r="F1822" s="167">
        <v>30</v>
      </c>
      <c r="G1822" s="165" t="s">
        <v>410</v>
      </c>
      <c r="H1822" s="154" t="s">
        <v>1188</v>
      </c>
      <c r="I1822" s="167">
        <f>(C661)</f>
        <v>6.45</v>
      </c>
      <c r="J1822" s="154" t="s">
        <v>410</v>
      </c>
      <c r="K1822" s="167">
        <f>(F1822*I1822)</f>
        <v>193.5</v>
      </c>
    </row>
    <row r="1823" spans="6:11" ht="24" customHeight="1">
      <c r="F1823" s="154" t="s">
        <v>22</v>
      </c>
      <c r="H1823" s="154" t="s">
        <v>1191</v>
      </c>
      <c r="I1823" s="154" t="s">
        <v>22</v>
      </c>
      <c r="K1823" s="154" t="s">
        <v>22</v>
      </c>
    </row>
    <row r="1824" spans="6:11" ht="24" customHeight="1">
      <c r="F1824" s="167">
        <v>8</v>
      </c>
      <c r="G1824" s="165" t="s">
        <v>576</v>
      </c>
      <c r="H1824" s="154" t="s">
        <v>1131</v>
      </c>
      <c r="I1824" s="167">
        <f>(C663)</f>
        <v>6.2</v>
      </c>
      <c r="J1824" s="154" t="s">
        <v>576</v>
      </c>
      <c r="K1824" s="167">
        <f t="shared" ref="K1824:K1830" si="212">(F1824*I1824)</f>
        <v>49.6</v>
      </c>
    </row>
    <row r="1825" spans="6:11" ht="24" customHeight="1">
      <c r="F1825" s="167">
        <v>8</v>
      </c>
      <c r="G1825" s="165" t="s">
        <v>576</v>
      </c>
      <c r="H1825" s="154" t="s">
        <v>1134</v>
      </c>
      <c r="I1825" s="167">
        <f>D672</f>
        <v>8.9</v>
      </c>
      <c r="J1825" s="154" t="s">
        <v>576</v>
      </c>
      <c r="K1825" s="167">
        <f t="shared" si="212"/>
        <v>71.2</v>
      </c>
    </row>
    <row r="1826" spans="6:11" ht="24" customHeight="1">
      <c r="F1826" s="167">
        <v>3</v>
      </c>
      <c r="G1826" s="165" t="s">
        <v>576</v>
      </c>
      <c r="H1826" s="154" t="s">
        <v>1196</v>
      </c>
      <c r="I1826" s="167">
        <f>(C41)</f>
        <v>531.30000000000007</v>
      </c>
      <c r="J1826" s="154" t="s">
        <v>576</v>
      </c>
      <c r="K1826" s="167">
        <f t="shared" si="212"/>
        <v>1593.9</v>
      </c>
    </row>
    <row r="1827" spans="6:11" ht="24" customHeight="1">
      <c r="F1827" s="167">
        <v>1</v>
      </c>
      <c r="G1827" s="165" t="s">
        <v>576</v>
      </c>
      <c r="H1827" s="154" t="s">
        <v>2316</v>
      </c>
      <c r="I1827" s="167">
        <f>(C10)</f>
        <v>717.2</v>
      </c>
      <c r="J1827" s="154" t="s">
        <v>576</v>
      </c>
      <c r="K1827" s="167">
        <f t="shared" si="212"/>
        <v>717.2</v>
      </c>
    </row>
    <row r="1828" spans="6:11" ht="24" customHeight="1">
      <c r="F1828" s="167">
        <v>2</v>
      </c>
      <c r="G1828" s="165" t="s">
        <v>576</v>
      </c>
      <c r="H1828" s="154" t="s">
        <v>754</v>
      </c>
      <c r="I1828" s="167">
        <f>(C12)</f>
        <v>468.6</v>
      </c>
      <c r="J1828" s="154" t="s">
        <v>576</v>
      </c>
      <c r="K1828" s="167">
        <f t="shared" si="212"/>
        <v>937.2</v>
      </c>
    </row>
    <row r="1829" spans="6:11" ht="24" customHeight="1">
      <c r="F1829" s="167">
        <v>1</v>
      </c>
      <c r="G1829" s="165" t="s">
        <v>576</v>
      </c>
      <c r="H1829" s="154" t="s">
        <v>756</v>
      </c>
      <c r="I1829" s="167">
        <f>(C13)</f>
        <v>404.8</v>
      </c>
      <c r="J1829" s="154" t="s">
        <v>576</v>
      </c>
      <c r="K1829" s="167">
        <f t="shared" si="212"/>
        <v>404.8</v>
      </c>
    </row>
    <row r="1830" spans="6:11" ht="24" customHeight="1">
      <c r="F1830" s="167">
        <v>1</v>
      </c>
      <c r="G1830" s="165" t="s">
        <v>576</v>
      </c>
      <c r="H1830" s="154" t="s">
        <v>2317</v>
      </c>
      <c r="I1830" s="154">
        <v>3</v>
      </c>
      <c r="J1830" s="154" t="s">
        <v>576</v>
      </c>
      <c r="K1830" s="167">
        <f t="shared" si="212"/>
        <v>3</v>
      </c>
    </row>
    <row r="1831" spans="6:11" ht="24" customHeight="1">
      <c r="H1831" s="154" t="s">
        <v>2318</v>
      </c>
      <c r="I1831" s="154" t="s">
        <v>22</v>
      </c>
      <c r="K1831" s="154" t="s">
        <v>22</v>
      </c>
    </row>
    <row r="1832" spans="6:11" ht="24" customHeight="1">
      <c r="G1832" s="165" t="s">
        <v>589</v>
      </c>
      <c r="H1832" s="154" t="s">
        <v>590</v>
      </c>
      <c r="J1832" s="154" t="s">
        <v>589</v>
      </c>
      <c r="K1832" s="167">
        <v>0</v>
      </c>
    </row>
    <row r="1833" spans="6:11" ht="24" customHeight="1">
      <c r="K1833" s="162" t="s">
        <v>534</v>
      </c>
    </row>
    <row r="1834" spans="6:11" ht="24" customHeight="1">
      <c r="H1834" s="154" t="s">
        <v>1202</v>
      </c>
      <c r="K1834" s="167">
        <f>SUM(K1822:K1832)</f>
        <v>3970.4000000000005</v>
      </c>
    </row>
    <row r="1835" spans="6:11" ht="24" customHeight="1">
      <c r="K1835" s="162" t="s">
        <v>534</v>
      </c>
    </row>
    <row r="1836" spans="6:11" ht="24" customHeight="1">
      <c r="H1836" s="154" t="s">
        <v>1139</v>
      </c>
      <c r="K1836" s="167">
        <f>(K1834/30)</f>
        <v>132.34666666666669</v>
      </c>
    </row>
    <row r="1837" spans="6:11" ht="24" customHeight="1">
      <c r="K1837" s="162" t="s">
        <v>534</v>
      </c>
    </row>
    <row r="1838" spans="6:11" ht="24" customHeight="1">
      <c r="G1838" s="165" t="s">
        <v>1501</v>
      </c>
      <c r="H1838" s="154" t="s">
        <v>1182</v>
      </c>
      <c r="K1838" s="154" t="s">
        <v>2320</v>
      </c>
    </row>
    <row r="1839" spans="6:11" ht="24" customHeight="1">
      <c r="H1839" s="162" t="s">
        <v>534</v>
      </c>
      <c r="K1839" s="162" t="s">
        <v>528</v>
      </c>
    </row>
    <row r="1840" spans="6:11" ht="24" customHeight="1">
      <c r="F1840" s="167">
        <v>30</v>
      </c>
      <c r="G1840" s="165" t="s">
        <v>410</v>
      </c>
      <c r="H1840" s="154" t="s">
        <v>1188</v>
      </c>
      <c r="I1840" s="167">
        <f>(C661)</f>
        <v>6.45</v>
      </c>
      <c r="J1840" s="154" t="s">
        <v>410</v>
      </c>
      <c r="K1840" s="167">
        <f>(F1840*I1840)</f>
        <v>193.5</v>
      </c>
    </row>
    <row r="1841" spans="6:18" ht="24" customHeight="1">
      <c r="F1841" s="154" t="s">
        <v>22</v>
      </c>
      <c r="H1841" s="154" t="s">
        <v>1191</v>
      </c>
      <c r="I1841" s="154" t="s">
        <v>22</v>
      </c>
      <c r="K1841" s="154" t="s">
        <v>22</v>
      </c>
    </row>
    <row r="1842" spans="6:18" ht="24" customHeight="1">
      <c r="F1842" s="167">
        <v>8</v>
      </c>
      <c r="G1842" s="165" t="s">
        <v>576</v>
      </c>
      <c r="H1842" s="154" t="s">
        <v>1131</v>
      </c>
      <c r="I1842" s="167">
        <f>D663</f>
        <v>7.4</v>
      </c>
      <c r="J1842" s="154" t="s">
        <v>576</v>
      </c>
      <c r="K1842" s="167">
        <f t="shared" ref="K1842:K1848" si="213">(F1842*I1842)</f>
        <v>59.2</v>
      </c>
    </row>
    <row r="1843" spans="6:18" ht="24" customHeight="1">
      <c r="F1843" s="167">
        <v>8</v>
      </c>
      <c r="G1843" s="165" t="s">
        <v>576</v>
      </c>
      <c r="H1843" s="154" t="s">
        <v>1134</v>
      </c>
      <c r="I1843" s="167">
        <f>C677</f>
        <v>18.399999999999999</v>
      </c>
      <c r="J1843" s="154" t="s">
        <v>576</v>
      </c>
      <c r="K1843" s="167">
        <f t="shared" si="213"/>
        <v>147.19999999999999</v>
      </c>
    </row>
    <row r="1844" spans="6:18" ht="24" customHeight="1">
      <c r="F1844" s="167">
        <v>3</v>
      </c>
      <c r="G1844" s="165" t="s">
        <v>576</v>
      </c>
      <c r="H1844" s="154" t="s">
        <v>1196</v>
      </c>
      <c r="I1844" s="167">
        <f>(C41)</f>
        <v>531.30000000000007</v>
      </c>
      <c r="J1844" s="154" t="s">
        <v>576</v>
      </c>
      <c r="K1844" s="167">
        <f t="shared" si="213"/>
        <v>1593.9</v>
      </c>
    </row>
    <row r="1845" spans="6:18" ht="24" customHeight="1">
      <c r="F1845" s="167">
        <v>1</v>
      </c>
      <c r="G1845" s="165" t="s">
        <v>576</v>
      </c>
      <c r="H1845" s="154" t="s">
        <v>2316</v>
      </c>
      <c r="I1845" s="167">
        <f>(C10)</f>
        <v>717.2</v>
      </c>
      <c r="J1845" s="154" t="s">
        <v>576</v>
      </c>
      <c r="K1845" s="167">
        <f t="shared" si="213"/>
        <v>717.2</v>
      </c>
    </row>
    <row r="1846" spans="6:18" ht="24" customHeight="1">
      <c r="F1846" s="167">
        <v>2</v>
      </c>
      <c r="G1846" s="165" t="s">
        <v>576</v>
      </c>
      <c r="H1846" s="154" t="s">
        <v>754</v>
      </c>
      <c r="I1846" s="167">
        <f>(C12)</f>
        <v>468.6</v>
      </c>
      <c r="J1846" s="154" t="s">
        <v>576</v>
      </c>
      <c r="K1846" s="167">
        <f t="shared" si="213"/>
        <v>937.2</v>
      </c>
    </row>
    <row r="1847" spans="6:18" ht="24" customHeight="1">
      <c r="F1847" s="167">
        <v>1</v>
      </c>
      <c r="G1847" s="165" t="s">
        <v>576</v>
      </c>
      <c r="H1847" s="154" t="s">
        <v>756</v>
      </c>
      <c r="I1847" s="167">
        <f>(C13)</f>
        <v>404.8</v>
      </c>
      <c r="J1847" s="154" t="s">
        <v>576</v>
      </c>
      <c r="K1847" s="167">
        <f t="shared" si="213"/>
        <v>404.8</v>
      </c>
    </row>
    <row r="1848" spans="6:18" ht="24" customHeight="1">
      <c r="F1848" s="167">
        <v>1</v>
      </c>
      <c r="G1848" s="165" t="s">
        <v>576</v>
      </c>
      <c r="H1848" s="154" t="s">
        <v>2317</v>
      </c>
      <c r="I1848" s="154">
        <v>5.26</v>
      </c>
      <c r="J1848" s="154" t="s">
        <v>576</v>
      </c>
      <c r="K1848" s="167">
        <f t="shared" si="213"/>
        <v>5.26</v>
      </c>
    </row>
    <row r="1849" spans="6:18" ht="24" customHeight="1">
      <c r="H1849" s="154" t="s">
        <v>2318</v>
      </c>
      <c r="I1849" s="154" t="s">
        <v>22</v>
      </c>
      <c r="K1849" s="154" t="s">
        <v>22</v>
      </c>
    </row>
    <row r="1850" spans="6:18" ht="24" customHeight="1">
      <c r="G1850" s="165" t="s">
        <v>589</v>
      </c>
      <c r="H1850" s="154" t="s">
        <v>590</v>
      </c>
      <c r="J1850" s="154" t="s">
        <v>589</v>
      </c>
      <c r="K1850" s="167">
        <v>0</v>
      </c>
    </row>
    <row r="1851" spans="6:18" ht="24" customHeight="1">
      <c r="K1851" s="162" t="s">
        <v>534</v>
      </c>
    </row>
    <row r="1852" spans="6:18" ht="24" customHeight="1">
      <c r="H1852" s="154" t="s">
        <v>1202</v>
      </c>
      <c r="K1852" s="167">
        <f>SUM(K1840:K1850)</f>
        <v>4058.26</v>
      </c>
    </row>
    <row r="1853" spans="6:18" ht="24" customHeight="1">
      <c r="K1853" s="162" t="s">
        <v>534</v>
      </c>
    </row>
    <row r="1854" spans="6:18" ht="24" customHeight="1">
      <c r="H1854" s="154" t="s">
        <v>1139</v>
      </c>
      <c r="K1854" s="167">
        <f>(K1852/30)</f>
        <v>135.27533333333335</v>
      </c>
      <c r="N1854" s="165" t="s">
        <v>1501</v>
      </c>
      <c r="O1854" s="154" t="s">
        <v>1182</v>
      </c>
      <c r="Q1854" s="158"/>
      <c r="R1854" s="154" t="s">
        <v>2321</v>
      </c>
    </row>
    <row r="1855" spans="6:18" ht="24" customHeight="1">
      <c r="K1855" s="162" t="s">
        <v>534</v>
      </c>
      <c r="N1855" s="156"/>
      <c r="O1855" s="162" t="s">
        <v>534</v>
      </c>
      <c r="Q1855" s="158"/>
      <c r="R1855" s="162" t="s">
        <v>528</v>
      </c>
    </row>
    <row r="1856" spans="6:18" ht="24" customHeight="1">
      <c r="M1856" s="167">
        <v>30</v>
      </c>
      <c r="N1856" s="165" t="s">
        <v>410</v>
      </c>
      <c r="O1856" s="154" t="s">
        <v>1188</v>
      </c>
      <c r="P1856" s="167">
        <f>I1840</f>
        <v>6.45</v>
      </c>
      <c r="Q1856" s="154" t="s">
        <v>410</v>
      </c>
      <c r="R1856" s="167">
        <f>(M1856*P1856)</f>
        <v>193.5</v>
      </c>
    </row>
    <row r="1857" spans="6:18" ht="24" customHeight="1">
      <c r="F1857" s="399">
        <v>52</v>
      </c>
      <c r="G1857" s="165" t="s">
        <v>307</v>
      </c>
      <c r="H1857" s="154" t="s">
        <v>2322</v>
      </c>
      <c r="M1857" s="154" t="s">
        <v>22</v>
      </c>
      <c r="N1857" s="156"/>
      <c r="O1857" s="154" t="s">
        <v>1191</v>
      </c>
      <c r="P1857" s="167" t="str">
        <f t="shared" ref="P1857:P1866" si="214">I1841</f>
        <v/>
      </c>
      <c r="Q1857" s="158"/>
      <c r="R1857" s="154" t="s">
        <v>22</v>
      </c>
    </row>
    <row r="1858" spans="6:18" ht="24" customHeight="1">
      <c r="H1858" s="154" t="s">
        <v>2323</v>
      </c>
      <c r="M1858" s="167">
        <v>8</v>
      </c>
      <c r="N1858" s="165" t="s">
        <v>576</v>
      </c>
      <c r="O1858" s="223" t="s">
        <v>2324</v>
      </c>
      <c r="P1858" s="172">
        <v>7.8</v>
      </c>
      <c r="Q1858" s="154" t="s">
        <v>576</v>
      </c>
      <c r="R1858" s="167">
        <f t="shared" ref="R1858:R1863" si="215">(M1858*P1858)</f>
        <v>62.4</v>
      </c>
    </row>
    <row r="1859" spans="6:18" ht="24" customHeight="1">
      <c r="H1859" s="154" t="s">
        <v>2325</v>
      </c>
      <c r="M1859" s="167">
        <v>8</v>
      </c>
      <c r="N1859" s="165" t="s">
        <v>576</v>
      </c>
      <c r="O1859" s="223" t="s">
        <v>2326</v>
      </c>
      <c r="P1859" s="172">
        <v>21.6</v>
      </c>
      <c r="Q1859" s="154" t="s">
        <v>576</v>
      </c>
      <c r="R1859" s="167">
        <f t="shared" si="215"/>
        <v>172.8</v>
      </c>
    </row>
    <row r="1860" spans="6:18" ht="24" customHeight="1">
      <c r="H1860" s="154" t="s">
        <v>2327</v>
      </c>
      <c r="M1860" s="167">
        <v>3</v>
      </c>
      <c r="N1860" s="165" t="s">
        <v>576</v>
      </c>
      <c r="O1860" s="154" t="s">
        <v>1196</v>
      </c>
      <c r="P1860" s="167">
        <f t="shared" si="214"/>
        <v>531.30000000000007</v>
      </c>
      <c r="Q1860" s="154" t="s">
        <v>576</v>
      </c>
      <c r="R1860" s="167">
        <f t="shared" si="215"/>
        <v>1593.9</v>
      </c>
    </row>
    <row r="1861" spans="6:18" ht="24" customHeight="1">
      <c r="H1861" s="154" t="s">
        <v>2328</v>
      </c>
      <c r="M1861" s="167">
        <v>1</v>
      </c>
      <c r="N1861" s="165" t="s">
        <v>576</v>
      </c>
      <c r="O1861" s="154" t="s">
        <v>2316</v>
      </c>
      <c r="P1861" s="167">
        <f t="shared" si="214"/>
        <v>717.2</v>
      </c>
      <c r="Q1861" s="154" t="s">
        <v>576</v>
      </c>
      <c r="R1861" s="167">
        <f t="shared" si="215"/>
        <v>717.2</v>
      </c>
    </row>
    <row r="1862" spans="6:18" ht="24" customHeight="1">
      <c r="H1862" s="154" t="s">
        <v>2329</v>
      </c>
      <c r="M1862" s="167">
        <v>2</v>
      </c>
      <c r="N1862" s="165" t="s">
        <v>576</v>
      </c>
      <c r="O1862" s="154" t="s">
        <v>754</v>
      </c>
      <c r="P1862" s="167">
        <f t="shared" si="214"/>
        <v>468.6</v>
      </c>
      <c r="Q1862" s="154" t="s">
        <v>576</v>
      </c>
      <c r="R1862" s="167">
        <f t="shared" si="215"/>
        <v>937.2</v>
      </c>
    </row>
    <row r="1863" spans="6:18" ht="24" customHeight="1">
      <c r="H1863" s="154" t="s">
        <v>2330</v>
      </c>
      <c r="M1863" s="167">
        <v>1</v>
      </c>
      <c r="N1863" s="165" t="s">
        <v>576</v>
      </c>
      <c r="O1863" s="154" t="s">
        <v>756</v>
      </c>
      <c r="P1863" s="167">
        <f t="shared" si="214"/>
        <v>404.8</v>
      </c>
      <c r="Q1863" s="154" t="s">
        <v>576</v>
      </c>
      <c r="R1863" s="167">
        <f t="shared" si="215"/>
        <v>404.8</v>
      </c>
    </row>
    <row r="1864" spans="6:18" ht="24" customHeight="1">
      <c r="H1864" s="154" t="s">
        <v>2331</v>
      </c>
      <c r="N1864" s="165" t="s">
        <v>589</v>
      </c>
      <c r="O1864" s="154" t="s">
        <v>2317</v>
      </c>
      <c r="P1864" s="167">
        <f t="shared" si="214"/>
        <v>5.26</v>
      </c>
      <c r="Q1864" s="154" t="s">
        <v>589</v>
      </c>
      <c r="R1864" s="167">
        <v>5</v>
      </c>
    </row>
    <row r="1865" spans="6:18" ht="24" customHeight="1">
      <c r="H1865" s="162" t="s">
        <v>528</v>
      </c>
      <c r="I1865" s="162" t="s">
        <v>528</v>
      </c>
      <c r="N1865" s="156"/>
      <c r="O1865" s="154" t="s">
        <v>2318</v>
      </c>
      <c r="P1865" s="167" t="str">
        <f t="shared" si="214"/>
        <v/>
      </c>
      <c r="Q1865" s="158"/>
      <c r="R1865" s="154" t="s">
        <v>22</v>
      </c>
    </row>
    <row r="1866" spans="6:18" ht="24" customHeight="1">
      <c r="G1866" s="165" t="s">
        <v>307</v>
      </c>
      <c r="H1866" s="154" t="s">
        <v>2332</v>
      </c>
      <c r="N1866" s="165" t="s">
        <v>589</v>
      </c>
      <c r="O1866" s="154" t="s">
        <v>590</v>
      </c>
      <c r="P1866" s="167">
        <f t="shared" si="214"/>
        <v>0</v>
      </c>
      <c r="Q1866" s="154" t="s">
        <v>589</v>
      </c>
      <c r="R1866" s="167">
        <v>0</v>
      </c>
    </row>
    <row r="1867" spans="6:18" ht="24" customHeight="1">
      <c r="H1867" s="154" t="s">
        <v>2333</v>
      </c>
      <c r="N1867" s="156"/>
      <c r="Q1867" s="158"/>
      <c r="R1867" s="162" t="s">
        <v>534</v>
      </c>
    </row>
    <row r="1868" spans="6:18" ht="24" customHeight="1">
      <c r="G1868" s="165" t="s">
        <v>1563</v>
      </c>
      <c r="H1868" s="154" t="s">
        <v>2334</v>
      </c>
      <c r="N1868" s="156"/>
      <c r="O1868" s="154" t="s">
        <v>1202</v>
      </c>
      <c r="Q1868" s="158"/>
      <c r="R1868" s="167">
        <f>SUM(R1856:R1866)</f>
        <v>4086.8</v>
      </c>
    </row>
    <row r="1869" spans="6:18" ht="24" customHeight="1">
      <c r="H1869" s="162" t="s">
        <v>534</v>
      </c>
      <c r="N1869" s="156"/>
      <c r="Q1869" s="158"/>
      <c r="R1869" s="162" t="s">
        <v>534</v>
      </c>
    </row>
    <row r="1870" spans="6:18" ht="24" customHeight="1">
      <c r="F1870" s="167">
        <v>1</v>
      </c>
      <c r="G1870" s="165" t="s">
        <v>41</v>
      </c>
      <c r="H1870" s="154" t="s">
        <v>2335</v>
      </c>
      <c r="I1870" s="167">
        <f>C517</f>
        <v>26</v>
      </c>
      <c r="J1870" s="154" t="s">
        <v>41</v>
      </c>
      <c r="K1870" s="167">
        <f>(F1870*I1870)</f>
        <v>26</v>
      </c>
      <c r="N1870" s="156"/>
      <c r="O1870" s="154" t="s">
        <v>1139</v>
      </c>
      <c r="Q1870" s="158"/>
      <c r="R1870" s="167">
        <f>(R1868/30)</f>
        <v>136.22666666666666</v>
      </c>
    </row>
    <row r="1871" spans="6:18" ht="24" customHeight="1">
      <c r="F1871" s="167">
        <v>1</v>
      </c>
      <c r="G1871" s="165" t="s">
        <v>589</v>
      </c>
      <c r="H1871" s="154" t="s">
        <v>2336</v>
      </c>
      <c r="I1871" s="167">
        <f>I1870*0.7</f>
        <v>18.2</v>
      </c>
      <c r="J1871" s="154" t="s">
        <v>589</v>
      </c>
      <c r="K1871" s="167">
        <f>(F1871*I1871)</f>
        <v>18.2</v>
      </c>
      <c r="N1871" s="156"/>
      <c r="Q1871" s="158"/>
      <c r="R1871" s="162" t="s">
        <v>534</v>
      </c>
    </row>
    <row r="1872" spans="6:18" ht="24" customHeight="1">
      <c r="F1872" s="167">
        <v>1</v>
      </c>
      <c r="G1872" s="165" t="s">
        <v>41</v>
      </c>
      <c r="H1872" s="154" t="s">
        <v>2337</v>
      </c>
      <c r="I1872" s="167">
        <f>K1818</f>
        <v>132.36000000000001</v>
      </c>
      <c r="J1872" s="154" t="s">
        <v>41</v>
      </c>
      <c r="K1872" s="167">
        <f>(F1872*I1872)</f>
        <v>132.36000000000001</v>
      </c>
    </row>
    <row r="1873" spans="6:18" ht="24" customHeight="1">
      <c r="I1873" s="154" t="s">
        <v>22</v>
      </c>
      <c r="K1873" s="162" t="s">
        <v>534</v>
      </c>
    </row>
    <row r="1874" spans="6:18" ht="24" customHeight="1">
      <c r="H1874" s="154" t="s">
        <v>2338</v>
      </c>
      <c r="K1874" s="166">
        <f>SUM(K1870:K1872)</f>
        <v>176.56</v>
      </c>
    </row>
    <row r="1875" spans="6:18" ht="24" customHeight="1">
      <c r="H1875" s="154" t="s">
        <v>22</v>
      </c>
      <c r="I1875" s="154" t="s">
        <v>22</v>
      </c>
      <c r="K1875" s="162" t="s">
        <v>528</v>
      </c>
      <c r="N1875" s="165" t="s">
        <v>1501</v>
      </c>
      <c r="O1875" s="154" t="s">
        <v>2339</v>
      </c>
      <c r="Q1875" s="158"/>
    </row>
    <row r="1876" spans="6:18" ht="24" customHeight="1">
      <c r="G1876" s="165" t="s">
        <v>1530</v>
      </c>
      <c r="H1876" s="154" t="s">
        <v>2340</v>
      </c>
      <c r="N1876" s="156"/>
      <c r="O1876" s="162" t="s">
        <v>534</v>
      </c>
      <c r="Q1876" s="158"/>
    </row>
    <row r="1877" spans="6:18" ht="24" customHeight="1">
      <c r="H1877" s="162" t="s">
        <v>534</v>
      </c>
      <c r="M1877" s="167">
        <v>1</v>
      </c>
      <c r="N1877" s="165" t="s">
        <v>41</v>
      </c>
      <c r="O1877" s="154" t="s">
        <v>2341</v>
      </c>
      <c r="P1877" s="167">
        <f>C520</f>
        <v>65</v>
      </c>
      <c r="Q1877" s="154" t="s">
        <v>41</v>
      </c>
      <c r="R1877" s="167">
        <f>(M1877*P1877)</f>
        <v>65</v>
      </c>
    </row>
    <row r="1878" spans="6:18" ht="24" customHeight="1">
      <c r="F1878" s="167">
        <v>1</v>
      </c>
      <c r="G1878" s="165" t="s">
        <v>41</v>
      </c>
      <c r="H1878" s="154" t="s">
        <v>2342</v>
      </c>
      <c r="I1878" s="167">
        <f>C518</f>
        <v>35</v>
      </c>
      <c r="J1878" s="154" t="s">
        <v>41</v>
      </c>
      <c r="K1878" s="167">
        <f>(F1878*I1878)</f>
        <v>35</v>
      </c>
      <c r="M1878" s="167">
        <v>1</v>
      </c>
      <c r="N1878" s="165" t="s">
        <v>589</v>
      </c>
      <c r="O1878" s="154" t="s">
        <v>2343</v>
      </c>
      <c r="P1878" s="167">
        <f>P1877*0.2</f>
        <v>13</v>
      </c>
      <c r="Q1878" s="154" t="s">
        <v>589</v>
      </c>
      <c r="R1878" s="167">
        <f>(M1878*P1878)</f>
        <v>13</v>
      </c>
    </row>
    <row r="1879" spans="6:18" ht="24" customHeight="1">
      <c r="F1879" s="167">
        <v>1</v>
      </c>
      <c r="G1879" s="165" t="s">
        <v>589</v>
      </c>
      <c r="H1879" s="154" t="s">
        <v>2344</v>
      </c>
      <c r="I1879" s="167">
        <f>I1878*0.4</f>
        <v>14</v>
      </c>
      <c r="J1879" s="154" t="s">
        <v>589</v>
      </c>
      <c r="K1879" s="167">
        <f>(F1879*I1879)</f>
        <v>14</v>
      </c>
      <c r="M1879" s="167">
        <v>1</v>
      </c>
      <c r="N1879" s="165" t="s">
        <v>41</v>
      </c>
      <c r="O1879" s="154" t="s">
        <v>2337</v>
      </c>
      <c r="P1879" s="167">
        <f>R1870</f>
        <v>136.22666666666666</v>
      </c>
      <c r="Q1879" s="154" t="s">
        <v>41</v>
      </c>
      <c r="R1879" s="167">
        <f>(M1879*P1879)</f>
        <v>136.22666666666666</v>
      </c>
    </row>
    <row r="1880" spans="6:18" ht="24" customHeight="1">
      <c r="F1880" s="167">
        <v>1</v>
      </c>
      <c r="G1880" s="165" t="s">
        <v>41</v>
      </c>
      <c r="H1880" s="154" t="s">
        <v>2337</v>
      </c>
      <c r="I1880" s="167">
        <f>K1836</f>
        <v>132.34666666666669</v>
      </c>
      <c r="J1880" s="154" t="s">
        <v>41</v>
      </c>
      <c r="K1880" s="167">
        <f>(F1880*I1880)</f>
        <v>132.34666666666669</v>
      </c>
      <c r="N1880" s="156"/>
      <c r="P1880" s="154" t="s">
        <v>22</v>
      </c>
      <c r="Q1880" s="158"/>
      <c r="R1880" s="162" t="s">
        <v>534</v>
      </c>
    </row>
    <row r="1881" spans="6:18" ht="24" customHeight="1">
      <c r="I1881" s="154" t="s">
        <v>22</v>
      </c>
      <c r="K1881" s="162" t="s">
        <v>534</v>
      </c>
      <c r="N1881" s="156"/>
      <c r="O1881" s="154" t="s">
        <v>2338</v>
      </c>
      <c r="Q1881" s="158"/>
      <c r="R1881" s="166">
        <f>SUM(R1877:R1879)</f>
        <v>214.22666666666666</v>
      </c>
    </row>
    <row r="1882" spans="6:18" ht="24" customHeight="1">
      <c r="H1882" s="154" t="s">
        <v>2338</v>
      </c>
      <c r="K1882" s="166">
        <f>SUM(K1878:K1880)</f>
        <v>181.34666666666669</v>
      </c>
      <c r="N1882" s="156"/>
      <c r="P1882" s="154" t="s">
        <v>22</v>
      </c>
      <c r="Q1882" s="158"/>
      <c r="R1882" s="162" t="s">
        <v>528</v>
      </c>
    </row>
    <row r="1883" spans="6:18" ht="24" customHeight="1">
      <c r="I1883" s="154" t="s">
        <v>22</v>
      </c>
      <c r="K1883" s="162" t="s">
        <v>528</v>
      </c>
    </row>
    <row r="1884" spans="6:18" ht="49.5" customHeight="1">
      <c r="G1884" s="165" t="s">
        <v>1501</v>
      </c>
      <c r="H1884" s="154" t="s">
        <v>2345</v>
      </c>
    </row>
    <row r="1885" spans="6:18" ht="24" customHeight="1">
      <c r="H1885" s="162" t="s">
        <v>534</v>
      </c>
      <c r="N1885" s="165" t="s">
        <v>1501</v>
      </c>
      <c r="O1885" s="154" t="s">
        <v>1182</v>
      </c>
      <c r="Q1885" s="158"/>
      <c r="R1885" s="154" t="s">
        <v>2346</v>
      </c>
    </row>
    <row r="1886" spans="6:18" ht="24" customHeight="1">
      <c r="F1886" s="167">
        <v>1</v>
      </c>
      <c r="G1886" s="165" t="s">
        <v>41</v>
      </c>
      <c r="H1886" s="154" t="s">
        <v>2347</v>
      </c>
      <c r="I1886" s="167">
        <v>52</v>
      </c>
      <c r="J1886" s="154" t="s">
        <v>41</v>
      </c>
      <c r="K1886" s="167">
        <f>(F1886*I1886)</f>
        <v>52</v>
      </c>
      <c r="N1886" s="156"/>
      <c r="O1886" s="162" t="s">
        <v>534</v>
      </c>
      <c r="Q1886" s="158"/>
      <c r="R1886" s="162" t="s">
        <v>528</v>
      </c>
    </row>
    <row r="1887" spans="6:18" ht="24" customHeight="1">
      <c r="F1887" s="167">
        <v>1</v>
      </c>
      <c r="G1887" s="165" t="s">
        <v>589</v>
      </c>
      <c r="H1887" s="154" t="s">
        <v>2343</v>
      </c>
      <c r="I1887" s="167">
        <f>I1886*0.2</f>
        <v>10.4</v>
      </c>
      <c r="J1887" s="154" t="s">
        <v>589</v>
      </c>
      <c r="K1887" s="167">
        <f>(F1887*I1887)</f>
        <v>10.4</v>
      </c>
      <c r="M1887" s="167">
        <v>30</v>
      </c>
      <c r="N1887" s="165" t="s">
        <v>410</v>
      </c>
      <c r="O1887" s="154" t="s">
        <v>1188</v>
      </c>
      <c r="P1887" s="167">
        <v>9.5</v>
      </c>
      <c r="Q1887" s="154" t="s">
        <v>410</v>
      </c>
      <c r="R1887" s="167">
        <f>(M1887*P1887)</f>
        <v>285</v>
      </c>
    </row>
    <row r="1888" spans="6:18" ht="24" customHeight="1">
      <c r="F1888" s="167">
        <v>1</v>
      </c>
      <c r="G1888" s="165" t="s">
        <v>41</v>
      </c>
      <c r="H1888" s="154" t="s">
        <v>2337</v>
      </c>
      <c r="I1888" s="167">
        <f>K1854</f>
        <v>135.27533333333335</v>
      </c>
      <c r="J1888" s="154" t="s">
        <v>41</v>
      </c>
      <c r="K1888" s="167">
        <f>(F1888*I1888)</f>
        <v>135.27533333333335</v>
      </c>
      <c r="M1888" s="154" t="s">
        <v>22</v>
      </c>
      <c r="N1888" s="156"/>
      <c r="O1888" s="154" t="s">
        <v>1191</v>
      </c>
      <c r="P1888" s="167" t="str">
        <f t="shared" ref="P1888:P1896" si="216">P1857</f>
        <v/>
      </c>
      <c r="Q1888" s="158"/>
      <c r="R1888" s="154" t="s">
        <v>22</v>
      </c>
    </row>
    <row r="1889" spans="6:18" ht="24" customHeight="1">
      <c r="I1889" s="154" t="s">
        <v>22</v>
      </c>
      <c r="K1889" s="162" t="s">
        <v>534</v>
      </c>
      <c r="M1889" s="167">
        <v>8</v>
      </c>
      <c r="N1889" s="165" t="s">
        <v>576</v>
      </c>
      <c r="O1889" s="154" t="s">
        <v>2348</v>
      </c>
      <c r="P1889" s="174">
        <v>12</v>
      </c>
      <c r="Q1889" s="154" t="s">
        <v>576</v>
      </c>
      <c r="R1889" s="167">
        <f t="shared" ref="R1889:R1894" si="217">(M1889*P1889)</f>
        <v>96</v>
      </c>
    </row>
    <row r="1890" spans="6:18" ht="24" customHeight="1">
      <c r="H1890" s="154" t="s">
        <v>2338</v>
      </c>
      <c r="K1890" s="166">
        <f>SUM(K1886:K1888)</f>
        <v>197.67533333333336</v>
      </c>
      <c r="M1890" s="167">
        <v>8</v>
      </c>
      <c r="N1890" s="165" t="s">
        <v>576</v>
      </c>
      <c r="O1890" s="154" t="s">
        <v>2349</v>
      </c>
      <c r="P1890" s="174">
        <v>27.9</v>
      </c>
      <c r="Q1890" s="154" t="s">
        <v>576</v>
      </c>
      <c r="R1890" s="167">
        <f t="shared" si="217"/>
        <v>223.2</v>
      </c>
    </row>
    <row r="1891" spans="6:18" ht="36.75" customHeight="1">
      <c r="I1891" s="154" t="s">
        <v>22</v>
      </c>
      <c r="K1891" s="162" t="s">
        <v>528</v>
      </c>
      <c r="M1891" s="167">
        <v>3</v>
      </c>
      <c r="N1891" s="165" t="s">
        <v>576</v>
      </c>
      <c r="O1891" s="154" t="s">
        <v>1196</v>
      </c>
      <c r="P1891" s="167">
        <f t="shared" si="216"/>
        <v>531.30000000000007</v>
      </c>
      <c r="Q1891" s="154" t="s">
        <v>576</v>
      </c>
      <c r="R1891" s="167">
        <f t="shared" si="217"/>
        <v>1593.9</v>
      </c>
    </row>
    <row r="1892" spans="6:18" ht="24" customHeight="1">
      <c r="I1892" s="154"/>
      <c r="K1892" s="162"/>
      <c r="M1892" s="167">
        <v>1</v>
      </c>
      <c r="N1892" s="165" t="s">
        <v>576</v>
      </c>
      <c r="O1892" s="154" t="s">
        <v>2316</v>
      </c>
      <c r="P1892" s="167">
        <f t="shared" si="216"/>
        <v>717.2</v>
      </c>
      <c r="Q1892" s="154" t="s">
        <v>576</v>
      </c>
      <c r="R1892" s="167">
        <f t="shared" si="217"/>
        <v>717.2</v>
      </c>
    </row>
    <row r="1893" spans="6:18" ht="24" customHeight="1">
      <c r="G1893" s="165" t="s">
        <v>1501</v>
      </c>
      <c r="H1893" s="154" t="s">
        <v>2350</v>
      </c>
      <c r="M1893" s="167">
        <v>2</v>
      </c>
      <c r="N1893" s="165" t="s">
        <v>576</v>
      </c>
      <c r="O1893" s="154" t="s">
        <v>754</v>
      </c>
      <c r="P1893" s="167">
        <f t="shared" si="216"/>
        <v>468.6</v>
      </c>
      <c r="Q1893" s="154" t="s">
        <v>576</v>
      </c>
      <c r="R1893" s="167">
        <f t="shared" si="217"/>
        <v>937.2</v>
      </c>
    </row>
    <row r="1894" spans="6:18" ht="24" customHeight="1">
      <c r="H1894" s="162" t="s">
        <v>534</v>
      </c>
      <c r="M1894" s="167">
        <v>1</v>
      </c>
      <c r="N1894" s="165" t="s">
        <v>576</v>
      </c>
      <c r="O1894" s="154" t="s">
        <v>756</v>
      </c>
      <c r="P1894" s="167">
        <f t="shared" si="216"/>
        <v>404.8</v>
      </c>
      <c r="Q1894" s="154" t="s">
        <v>576</v>
      </c>
      <c r="R1894" s="167">
        <f t="shared" si="217"/>
        <v>404.8</v>
      </c>
    </row>
    <row r="1895" spans="6:18" ht="24" customHeight="1">
      <c r="F1895" s="167">
        <v>1</v>
      </c>
      <c r="G1895" s="165" t="s">
        <v>41</v>
      </c>
      <c r="H1895" s="154" t="s">
        <v>2351</v>
      </c>
      <c r="I1895" s="167">
        <f>C521</f>
        <v>82</v>
      </c>
      <c r="J1895" s="154" t="s">
        <v>41</v>
      </c>
      <c r="K1895" s="167">
        <f>(F1895*I1895)</f>
        <v>82</v>
      </c>
      <c r="N1895" s="165" t="s">
        <v>589</v>
      </c>
      <c r="O1895" s="154" t="s">
        <v>2317</v>
      </c>
      <c r="P1895" s="167">
        <f t="shared" si="216"/>
        <v>5.26</v>
      </c>
      <c r="Q1895" s="154" t="s">
        <v>589</v>
      </c>
      <c r="R1895" s="167">
        <v>5</v>
      </c>
    </row>
    <row r="1896" spans="6:18" ht="24" customHeight="1">
      <c r="F1896" s="167">
        <v>1</v>
      </c>
      <c r="G1896" s="165" t="s">
        <v>589</v>
      </c>
      <c r="H1896" s="154" t="s">
        <v>2343</v>
      </c>
      <c r="I1896" s="167">
        <f>I1895*0.2</f>
        <v>16.400000000000002</v>
      </c>
      <c r="J1896" s="154" t="s">
        <v>589</v>
      </c>
      <c r="K1896" s="167">
        <f>(F1896*I1896)</f>
        <v>16.400000000000002</v>
      </c>
      <c r="N1896" s="156"/>
      <c r="O1896" s="154" t="s">
        <v>2318</v>
      </c>
      <c r="P1896" s="167" t="str">
        <f t="shared" si="216"/>
        <v/>
      </c>
      <c r="Q1896" s="158"/>
      <c r="R1896" s="154" t="s">
        <v>22</v>
      </c>
    </row>
    <row r="1897" spans="6:18" ht="24" customHeight="1">
      <c r="F1897" s="167">
        <v>1</v>
      </c>
      <c r="G1897" s="165" t="s">
        <v>41</v>
      </c>
      <c r="H1897" s="154" t="s">
        <v>2337</v>
      </c>
      <c r="I1897" s="167">
        <f>I1888</f>
        <v>135.27533333333335</v>
      </c>
      <c r="J1897" s="154" t="s">
        <v>41</v>
      </c>
      <c r="K1897" s="167">
        <f>(F1897*I1897)</f>
        <v>135.27533333333335</v>
      </c>
      <c r="N1897" s="165" t="s">
        <v>589</v>
      </c>
      <c r="O1897" s="154" t="s">
        <v>590</v>
      </c>
      <c r="P1897" s="167" t="str">
        <f>I1881</f>
        <v/>
      </c>
      <c r="Q1897" s="154" t="s">
        <v>589</v>
      </c>
      <c r="R1897" s="167">
        <v>0</v>
      </c>
    </row>
    <row r="1898" spans="6:18" ht="24" customHeight="1">
      <c r="I1898" s="154" t="s">
        <v>22</v>
      </c>
      <c r="K1898" s="162" t="s">
        <v>534</v>
      </c>
      <c r="N1898" s="156"/>
      <c r="Q1898" s="158"/>
      <c r="R1898" s="162" t="s">
        <v>534</v>
      </c>
    </row>
    <row r="1899" spans="6:18" ht="24" customHeight="1">
      <c r="H1899" s="154" t="s">
        <v>2338</v>
      </c>
      <c r="K1899" s="166">
        <f>SUM(K1895:K1897)</f>
        <v>233.67533333333336</v>
      </c>
      <c r="N1899" s="156"/>
      <c r="O1899" s="154" t="s">
        <v>1202</v>
      </c>
      <c r="Q1899" s="158"/>
      <c r="R1899" s="167">
        <f>SUM(R1887:R1897)</f>
        <v>4262.3</v>
      </c>
    </row>
    <row r="1900" spans="6:18" ht="24" customHeight="1">
      <c r="I1900" s="154" t="s">
        <v>22</v>
      </c>
      <c r="K1900" s="162" t="s">
        <v>528</v>
      </c>
      <c r="N1900" s="156"/>
      <c r="Q1900" s="158"/>
      <c r="R1900" s="162" t="s">
        <v>534</v>
      </c>
    </row>
    <row r="1901" spans="6:18" ht="24" customHeight="1">
      <c r="I1901" s="154"/>
      <c r="K1901" s="162"/>
      <c r="N1901" s="156"/>
      <c r="O1901" s="154" t="s">
        <v>1139</v>
      </c>
      <c r="Q1901" s="158"/>
      <c r="R1901" s="167">
        <f>(R1899/30)</f>
        <v>142.07666666666668</v>
      </c>
    </row>
    <row r="1902" spans="6:18" ht="39" customHeight="1">
      <c r="F1902" s="400">
        <v>52.1</v>
      </c>
      <c r="H1902" s="401" t="s">
        <v>2352</v>
      </c>
      <c r="I1902" s="154"/>
      <c r="K1902" s="162"/>
      <c r="N1902" s="156"/>
      <c r="Q1902" s="158"/>
      <c r="R1902" s="162" t="s">
        <v>534</v>
      </c>
    </row>
    <row r="1903" spans="6:18" ht="24" customHeight="1">
      <c r="I1903" s="154"/>
      <c r="K1903" s="162"/>
    </row>
    <row r="1904" spans="6:18" ht="24" customHeight="1">
      <c r="F1904" s="155"/>
      <c r="G1904" s="165"/>
      <c r="H1904" s="154" t="s">
        <v>1115</v>
      </c>
      <c r="I1904" s="154"/>
      <c r="K1904" s="162"/>
    </row>
    <row r="1905" spans="6:18" ht="24" customHeight="1">
      <c r="G1905" s="165"/>
      <c r="H1905" s="154" t="s">
        <v>2353</v>
      </c>
      <c r="I1905" s="154"/>
      <c r="K1905" s="162"/>
    </row>
    <row r="1906" spans="6:18" ht="24" customHeight="1">
      <c r="H1906" s="162" t="s">
        <v>534</v>
      </c>
      <c r="I1906" s="154"/>
      <c r="K1906" s="162"/>
      <c r="N1906" s="165" t="s">
        <v>1501</v>
      </c>
      <c r="O1906" s="154" t="s">
        <v>2350</v>
      </c>
      <c r="Q1906" s="158"/>
    </row>
    <row r="1907" spans="6:18" ht="24" customHeight="1">
      <c r="F1907" s="167">
        <v>30</v>
      </c>
      <c r="G1907" s="165" t="s">
        <v>410</v>
      </c>
      <c r="H1907" s="154" t="s">
        <v>2354</v>
      </c>
      <c r="I1907" s="263">
        <f>E661</f>
        <v>10.92</v>
      </c>
      <c r="J1907" s="154" t="s">
        <v>410</v>
      </c>
      <c r="K1907" s="167">
        <f>(F1907*I1907)</f>
        <v>327.60000000000002</v>
      </c>
      <c r="N1907" s="156"/>
      <c r="O1907" s="162" t="s">
        <v>534</v>
      </c>
      <c r="Q1907" s="158"/>
    </row>
    <row r="1908" spans="6:18" ht="24" customHeight="1">
      <c r="F1908" s="167">
        <v>8</v>
      </c>
      <c r="G1908" s="165" t="s">
        <v>576</v>
      </c>
      <c r="H1908" s="154" t="s">
        <v>1131</v>
      </c>
      <c r="I1908" s="263">
        <f>C663</f>
        <v>6.2</v>
      </c>
      <c r="J1908" s="154" t="s">
        <v>576</v>
      </c>
      <c r="K1908" s="167">
        <f t="shared" ref="K1908:K1913" si="218">(F1908*I1908)</f>
        <v>49.6</v>
      </c>
      <c r="M1908" s="167">
        <v>1</v>
      </c>
      <c r="N1908" s="165" t="s">
        <v>41</v>
      </c>
      <c r="O1908" s="154" t="s">
        <v>2355</v>
      </c>
      <c r="P1908" s="167">
        <f>C521</f>
        <v>82</v>
      </c>
      <c r="Q1908" s="154" t="s">
        <v>41</v>
      </c>
      <c r="R1908" s="167">
        <f>(M1908*P1908)</f>
        <v>82</v>
      </c>
    </row>
    <row r="1909" spans="6:18" ht="24" customHeight="1">
      <c r="F1909" s="167">
        <v>8</v>
      </c>
      <c r="G1909" s="165" t="s">
        <v>576</v>
      </c>
      <c r="H1909" s="154" t="s">
        <v>1134</v>
      </c>
      <c r="I1909" s="263">
        <f>D672</f>
        <v>8.9</v>
      </c>
      <c r="J1909" s="154" t="s">
        <v>576</v>
      </c>
      <c r="K1909" s="167">
        <f t="shared" si="218"/>
        <v>71.2</v>
      </c>
      <c r="M1909" s="167">
        <v>1</v>
      </c>
      <c r="N1909" s="165" t="s">
        <v>589</v>
      </c>
      <c r="O1909" s="154" t="s">
        <v>2343</v>
      </c>
      <c r="P1909" s="167">
        <f>P1908*0.2</f>
        <v>16.400000000000002</v>
      </c>
      <c r="Q1909" s="154" t="s">
        <v>589</v>
      </c>
      <c r="R1909" s="167">
        <f>(M1909*P1909)</f>
        <v>16.400000000000002</v>
      </c>
    </row>
    <row r="1910" spans="6:18" ht="24" customHeight="1">
      <c r="F1910" s="167">
        <v>3</v>
      </c>
      <c r="G1910" s="165" t="s">
        <v>576</v>
      </c>
      <c r="H1910" s="154" t="s">
        <v>1196</v>
      </c>
      <c r="I1910" s="263">
        <f>C41</f>
        <v>531.30000000000007</v>
      </c>
      <c r="J1910" s="154" t="s">
        <v>576</v>
      </c>
      <c r="K1910" s="167">
        <f t="shared" si="218"/>
        <v>1593.9</v>
      </c>
      <c r="M1910" s="167">
        <v>1</v>
      </c>
      <c r="N1910" s="165" t="s">
        <v>41</v>
      </c>
      <c r="O1910" s="154" t="s">
        <v>2337</v>
      </c>
      <c r="P1910" s="167">
        <f>R1901</f>
        <v>142.07666666666668</v>
      </c>
      <c r="Q1910" s="154" t="s">
        <v>41</v>
      </c>
      <c r="R1910" s="167">
        <f>(M1910*P1910)</f>
        <v>142.07666666666668</v>
      </c>
    </row>
    <row r="1911" spans="6:18" ht="24" customHeight="1">
      <c r="F1911" s="167">
        <v>1</v>
      </c>
      <c r="G1911" s="165" t="s">
        <v>576</v>
      </c>
      <c r="H1911" s="154" t="s">
        <v>2316</v>
      </c>
      <c r="I1911" s="263">
        <f>C10</f>
        <v>717.2</v>
      </c>
      <c r="J1911" s="154" t="s">
        <v>576</v>
      </c>
      <c r="K1911" s="167">
        <f t="shared" si="218"/>
        <v>717.2</v>
      </c>
      <c r="N1911" s="156"/>
      <c r="P1911" s="154" t="s">
        <v>22</v>
      </c>
      <c r="Q1911" s="158"/>
      <c r="R1911" s="162" t="s">
        <v>534</v>
      </c>
    </row>
    <row r="1912" spans="6:18" ht="24" customHeight="1">
      <c r="F1912" s="167">
        <v>2</v>
      </c>
      <c r="G1912" s="165" t="s">
        <v>576</v>
      </c>
      <c r="H1912" s="154" t="s">
        <v>754</v>
      </c>
      <c r="I1912" s="263">
        <f>C12</f>
        <v>468.6</v>
      </c>
      <c r="J1912" s="154" t="s">
        <v>576</v>
      </c>
      <c r="K1912" s="167">
        <f t="shared" si="218"/>
        <v>937.2</v>
      </c>
      <c r="N1912" s="156"/>
      <c r="O1912" s="154" t="s">
        <v>2338</v>
      </c>
      <c r="Q1912" s="158"/>
      <c r="R1912" s="166">
        <f>SUM(R1908:R1910)</f>
        <v>240.47666666666669</v>
      </c>
    </row>
    <row r="1913" spans="6:18" ht="24" customHeight="1">
      <c r="F1913" s="167">
        <v>1</v>
      </c>
      <c r="G1913" s="165" t="s">
        <v>576</v>
      </c>
      <c r="H1913" s="154" t="s">
        <v>756</v>
      </c>
      <c r="I1913" s="263">
        <f>C13</f>
        <v>404.8</v>
      </c>
      <c r="J1913" s="154" t="s">
        <v>576</v>
      </c>
      <c r="K1913" s="167">
        <f t="shared" si="218"/>
        <v>404.8</v>
      </c>
      <c r="N1913" s="156"/>
      <c r="P1913" s="154" t="s">
        <v>22</v>
      </c>
      <c r="Q1913" s="158"/>
      <c r="R1913" s="162" t="s">
        <v>528</v>
      </c>
    </row>
    <row r="1914" spans="6:18" ht="24" customHeight="1">
      <c r="K1914" s="162" t="s">
        <v>534</v>
      </c>
    </row>
    <row r="1915" spans="6:18" ht="24" customHeight="1">
      <c r="H1915" s="154" t="s">
        <v>1202</v>
      </c>
      <c r="K1915" s="167">
        <f>SUM(K1907:K1913)</f>
        <v>4101.5</v>
      </c>
    </row>
    <row r="1916" spans="6:18" ht="24" customHeight="1">
      <c r="K1916" s="162" t="s">
        <v>534</v>
      </c>
    </row>
    <row r="1917" spans="6:18" ht="24" customHeight="1">
      <c r="H1917" s="154" t="s">
        <v>1139</v>
      </c>
      <c r="K1917" s="167">
        <f>(K1915/30)</f>
        <v>136.71666666666667</v>
      </c>
    </row>
    <row r="1918" spans="6:18" ht="24" customHeight="1">
      <c r="K1918" s="162" t="s">
        <v>534</v>
      </c>
    </row>
    <row r="1919" spans="6:18" ht="24" customHeight="1">
      <c r="I1919" s="154"/>
      <c r="K1919" s="162"/>
    </row>
    <row r="1920" spans="6:18" ht="24" customHeight="1">
      <c r="H1920" s="76" t="s">
        <v>2356</v>
      </c>
      <c r="I1920" s="154"/>
      <c r="K1920" s="162"/>
    </row>
    <row r="1921" spans="6:11" ht="24" customHeight="1">
      <c r="H1921" s="162" t="s">
        <v>534</v>
      </c>
      <c r="I1921" s="154"/>
      <c r="K1921" s="162"/>
    </row>
    <row r="1922" spans="6:11" ht="24" customHeight="1">
      <c r="F1922" s="167">
        <v>1</v>
      </c>
      <c r="G1922" s="165" t="s">
        <v>41</v>
      </c>
      <c r="H1922" s="154" t="s">
        <v>2357</v>
      </c>
      <c r="I1922" s="263">
        <f>E698</f>
        <v>97.7</v>
      </c>
      <c r="J1922" s="154" t="s">
        <v>41</v>
      </c>
      <c r="K1922" s="167">
        <f>(F1922*I1922)</f>
        <v>97.7</v>
      </c>
    </row>
    <row r="1923" spans="6:11" ht="24" customHeight="1">
      <c r="F1923" s="167">
        <v>1</v>
      </c>
      <c r="G1923" s="165" t="s">
        <v>589</v>
      </c>
      <c r="H1923" s="154" t="s">
        <v>2358</v>
      </c>
      <c r="I1923" s="263">
        <f>I1922*0.2</f>
        <v>19.540000000000003</v>
      </c>
      <c r="J1923" s="154" t="s">
        <v>589</v>
      </c>
      <c r="K1923" s="167">
        <f>(F1923*I1923)</f>
        <v>19.540000000000003</v>
      </c>
    </row>
    <row r="1924" spans="6:11" ht="24" customHeight="1">
      <c r="F1924" s="167">
        <v>1</v>
      </c>
      <c r="G1924" s="165" t="s">
        <v>41</v>
      </c>
      <c r="H1924" s="154" t="s">
        <v>2337</v>
      </c>
      <c r="I1924" s="263">
        <f>K1917</f>
        <v>136.71666666666667</v>
      </c>
      <c r="J1924" s="154" t="s">
        <v>41</v>
      </c>
      <c r="K1924" s="167">
        <f>(F1924*I1924)</f>
        <v>136.71666666666667</v>
      </c>
    </row>
    <row r="1925" spans="6:11" ht="24" customHeight="1">
      <c r="F1925" s="167"/>
      <c r="G1925" s="165"/>
      <c r="H1925" s="210" t="s">
        <v>2359</v>
      </c>
      <c r="I1925" s="263"/>
      <c r="J1925" s="154" t="s">
        <v>589</v>
      </c>
      <c r="K1925" s="167">
        <f>1.25+0.47</f>
        <v>1.72</v>
      </c>
    </row>
    <row r="1926" spans="6:11" ht="24" customHeight="1">
      <c r="I1926" s="154"/>
      <c r="K1926" s="162" t="s">
        <v>534</v>
      </c>
    </row>
    <row r="1927" spans="6:11" ht="24" customHeight="1">
      <c r="H1927" s="154" t="s">
        <v>2338</v>
      </c>
      <c r="I1927" s="154"/>
      <c r="K1927" s="166">
        <f>SUM(K1922:K1925)</f>
        <v>255.67666666666668</v>
      </c>
    </row>
    <row r="1928" spans="6:11" ht="24" customHeight="1">
      <c r="I1928" s="154"/>
      <c r="K1928" s="162" t="s">
        <v>528</v>
      </c>
    </row>
    <row r="1929" spans="6:11" ht="24" customHeight="1">
      <c r="I1929" s="154"/>
      <c r="K1929" s="162"/>
    </row>
    <row r="1930" spans="6:11" ht="24" customHeight="1">
      <c r="I1930" s="154"/>
      <c r="K1930" s="162"/>
    </row>
    <row r="1931" spans="6:11" ht="24" customHeight="1">
      <c r="F1931" s="200">
        <v>53.1</v>
      </c>
      <c r="G1931" s="165" t="s">
        <v>307</v>
      </c>
      <c r="H1931" s="154" t="s">
        <v>2360</v>
      </c>
    </row>
    <row r="1932" spans="6:11" ht="24" customHeight="1">
      <c r="H1932" s="157" t="s">
        <v>2361</v>
      </c>
    </row>
    <row r="1933" spans="6:11" ht="24" customHeight="1">
      <c r="H1933" s="154" t="s">
        <v>2362</v>
      </c>
    </row>
    <row r="1934" spans="6:11" ht="24" customHeight="1">
      <c r="H1934" s="154" t="s">
        <v>2363</v>
      </c>
    </row>
    <row r="1935" spans="6:11" ht="24" customHeight="1">
      <c r="H1935" s="162" t="s">
        <v>534</v>
      </c>
    </row>
    <row r="1936" spans="6:11" ht="85.5" customHeight="1">
      <c r="F1936" s="402">
        <v>1</v>
      </c>
      <c r="G1936" s="402" t="s">
        <v>576</v>
      </c>
      <c r="H1936" s="403" t="s">
        <v>2364</v>
      </c>
      <c r="I1936" s="402">
        <f>(C617)</f>
        <v>1625</v>
      </c>
      <c r="J1936" s="404" t="s">
        <v>576</v>
      </c>
      <c r="K1936" s="402">
        <f>(F1936*I1936)</f>
        <v>1625</v>
      </c>
    </row>
    <row r="1937" spans="6:22" ht="24" customHeight="1">
      <c r="F1937" s="167"/>
      <c r="G1937" s="165"/>
      <c r="H1937" s="186"/>
      <c r="I1937" s="167"/>
      <c r="J1937" s="154"/>
      <c r="K1937" s="167"/>
    </row>
    <row r="1938" spans="6:22" ht="24" customHeight="1">
      <c r="F1938" s="167"/>
      <c r="G1938" s="165"/>
      <c r="H1938" s="186"/>
      <c r="I1938" s="167"/>
      <c r="J1938" s="155"/>
      <c r="K1938" s="167"/>
    </row>
    <row r="1939" spans="6:22" ht="24" customHeight="1">
      <c r="F1939" s="405">
        <v>1</v>
      </c>
      <c r="G1939" s="405" t="s">
        <v>576</v>
      </c>
      <c r="H1939" s="154" t="s">
        <v>2365</v>
      </c>
      <c r="I1939" s="406">
        <v>-159</v>
      </c>
      <c r="J1939" s="186" t="s">
        <v>576</v>
      </c>
      <c r="K1939" s="405">
        <f>(F1939*I1939)</f>
        <v>-159</v>
      </c>
    </row>
    <row r="1940" spans="6:22" ht="24" customHeight="1">
      <c r="F1940" s="173"/>
      <c r="G1940" s="398"/>
      <c r="H1940" s="186"/>
      <c r="I1940" s="173"/>
      <c r="J1940" s="229"/>
      <c r="K1940" s="173"/>
    </row>
    <row r="1941" spans="6:22" ht="24" customHeight="1">
      <c r="F1941" s="173">
        <v>1</v>
      </c>
      <c r="G1941" s="398" t="s">
        <v>576</v>
      </c>
      <c r="H1941" s="186" t="s">
        <v>2366</v>
      </c>
      <c r="I1941" s="407">
        <v>250</v>
      </c>
      <c r="J1941" s="186" t="s">
        <v>576</v>
      </c>
      <c r="K1941" s="408">
        <f>(F1941*I1941)</f>
        <v>250</v>
      </c>
    </row>
    <row r="1942" spans="6:22" ht="24" customHeight="1">
      <c r="F1942" s="167"/>
      <c r="G1942" s="165"/>
      <c r="H1942" s="154"/>
      <c r="I1942" s="167"/>
      <c r="J1942" s="154"/>
      <c r="K1942" s="167"/>
    </row>
    <row r="1943" spans="6:22" ht="24" customHeight="1">
      <c r="F1943" s="167">
        <v>0.5</v>
      </c>
      <c r="G1943" s="165" t="s">
        <v>576</v>
      </c>
      <c r="H1943" s="154" t="s">
        <v>2202</v>
      </c>
      <c r="I1943" s="167">
        <f>(C15)</f>
        <v>622.6</v>
      </c>
      <c r="J1943" s="154" t="s">
        <v>576</v>
      </c>
      <c r="K1943" s="167">
        <f>(F1943*I1943)</f>
        <v>311.3</v>
      </c>
      <c r="N1943" s="76">
        <f>7635</f>
        <v>7635</v>
      </c>
    </row>
    <row r="1944" spans="6:22" ht="24" customHeight="1">
      <c r="F1944" s="167">
        <v>1</v>
      </c>
      <c r="G1944" s="165" t="s">
        <v>576</v>
      </c>
      <c r="H1944" s="154" t="s">
        <v>754</v>
      </c>
      <c r="I1944" s="167">
        <f>(C12)</f>
        <v>468.6</v>
      </c>
      <c r="J1944" s="154" t="s">
        <v>576</v>
      </c>
      <c r="K1944" s="167">
        <f>(F1944*I1944)</f>
        <v>468.6</v>
      </c>
      <c r="N1944" s="76">
        <f>N1943*4%</f>
        <v>305.40000000000003</v>
      </c>
    </row>
    <row r="1945" spans="6:22" ht="24" customHeight="1">
      <c r="F1945" s="167">
        <v>0.5</v>
      </c>
      <c r="G1945" s="165" t="s">
        <v>576</v>
      </c>
      <c r="H1945" s="154" t="s">
        <v>778</v>
      </c>
      <c r="I1945" s="167">
        <f>(C10)</f>
        <v>717.2</v>
      </c>
      <c r="J1945" s="154" t="s">
        <v>576</v>
      </c>
      <c r="K1945" s="167">
        <f>(F1945*I1945)</f>
        <v>358.6</v>
      </c>
      <c r="N1945" s="76">
        <f>SUM(N1943:N1944)</f>
        <v>7940.4</v>
      </c>
    </row>
    <row r="1946" spans="6:22" ht="24" customHeight="1">
      <c r="G1946" s="165" t="s">
        <v>589</v>
      </c>
      <c r="H1946" s="154" t="s">
        <v>2367</v>
      </c>
      <c r="J1946" s="154" t="s">
        <v>589</v>
      </c>
      <c r="K1946" s="167">
        <v>0.82</v>
      </c>
    </row>
    <row r="1947" spans="6:22" ht="24" customHeight="1">
      <c r="K1947" s="162" t="s">
        <v>534</v>
      </c>
    </row>
    <row r="1948" spans="6:22" ht="24" customHeight="1">
      <c r="H1948" s="154" t="s">
        <v>1299</v>
      </c>
      <c r="K1948" s="167">
        <f>SUM(K1936:K1946)</f>
        <v>2855.32</v>
      </c>
    </row>
    <row r="1949" spans="6:22" ht="24" customHeight="1">
      <c r="K1949" s="162" t="s">
        <v>534</v>
      </c>
    </row>
    <row r="1950" spans="6:22" ht="24" customHeight="1">
      <c r="F1950" s="155" t="s">
        <v>2368</v>
      </c>
      <c r="H1950" s="154" t="s">
        <v>2369</v>
      </c>
      <c r="J1950" s="154" t="s">
        <v>332</v>
      </c>
      <c r="K1950" s="409">
        <v>967.5</v>
      </c>
      <c r="V1950" s="154" t="s">
        <v>2315</v>
      </c>
    </row>
    <row r="1951" spans="6:22" ht="24" customHeight="1">
      <c r="H1951" s="154" t="s">
        <v>2370</v>
      </c>
      <c r="J1951" s="154" t="s">
        <v>332</v>
      </c>
      <c r="K1951" s="410">
        <v>1810</v>
      </c>
    </row>
    <row r="1952" spans="6:22" ht="24" customHeight="1">
      <c r="F1952" s="155" t="s">
        <v>2371</v>
      </c>
      <c r="H1952" s="154" t="s">
        <v>2372</v>
      </c>
      <c r="J1952" s="154" t="s">
        <v>332</v>
      </c>
      <c r="K1952" s="409">
        <v>30</v>
      </c>
    </row>
    <row r="1953" spans="6:18" ht="24" customHeight="1">
      <c r="F1953" s="155"/>
      <c r="H1953" s="154"/>
      <c r="K1953" s="154"/>
    </row>
    <row r="1954" spans="6:18" ht="24" customHeight="1">
      <c r="F1954" s="187">
        <v>54</v>
      </c>
      <c r="G1954" s="165" t="s">
        <v>307</v>
      </c>
      <c r="H1954" s="154" t="s">
        <v>2373</v>
      </c>
      <c r="J1954" s="154" t="s">
        <v>332</v>
      </c>
      <c r="K1954" s="411">
        <v>200</v>
      </c>
    </row>
    <row r="1955" spans="6:18" ht="24" customHeight="1">
      <c r="K1955" s="162" t="s">
        <v>528</v>
      </c>
    </row>
    <row r="1957" spans="6:18" ht="24" customHeight="1">
      <c r="F1957" s="200">
        <v>54.1</v>
      </c>
      <c r="G1957" s="165" t="s">
        <v>307</v>
      </c>
      <c r="H1957" s="154" t="s">
        <v>2374</v>
      </c>
      <c r="J1957" s="154" t="s">
        <v>332</v>
      </c>
      <c r="K1957" s="274">
        <v>300</v>
      </c>
    </row>
    <row r="1958" spans="6:18" ht="24" customHeight="1">
      <c r="K1958" s="162" t="s">
        <v>528</v>
      </c>
    </row>
    <row r="1960" spans="6:18" ht="24" customHeight="1">
      <c r="F1960" s="200">
        <v>54.2</v>
      </c>
      <c r="G1960" s="165" t="s">
        <v>307</v>
      </c>
      <c r="H1960" s="154" t="s">
        <v>2375</v>
      </c>
      <c r="J1960" s="154" t="s">
        <v>332</v>
      </c>
      <c r="K1960" s="274">
        <v>250</v>
      </c>
    </row>
    <row r="1961" spans="6:18" ht="24" customHeight="1">
      <c r="K1961" s="162" t="s">
        <v>528</v>
      </c>
    </row>
    <row r="1962" spans="6:18" ht="24" hidden="1" customHeight="1"/>
    <row r="1963" spans="6:18" ht="24" customHeight="1">
      <c r="F1963" s="155" t="s">
        <v>2376</v>
      </c>
      <c r="G1963" s="165" t="s">
        <v>307</v>
      </c>
      <c r="H1963" s="154" t="s">
        <v>2377</v>
      </c>
      <c r="M1963" s="155" t="s">
        <v>2376</v>
      </c>
      <c r="N1963" s="165" t="s">
        <v>307</v>
      </c>
      <c r="O1963" s="154" t="s">
        <v>2377</v>
      </c>
      <c r="Q1963" s="158"/>
    </row>
    <row r="1964" spans="6:18" ht="24" customHeight="1">
      <c r="H1964" s="154" t="s">
        <v>2378</v>
      </c>
      <c r="N1964" s="156"/>
      <c r="O1964" s="154" t="s">
        <v>2378</v>
      </c>
      <c r="Q1964" s="158"/>
    </row>
    <row r="1965" spans="6:18" ht="24" customHeight="1">
      <c r="H1965" s="154" t="s">
        <v>2379</v>
      </c>
      <c r="N1965" s="156"/>
      <c r="O1965" s="154" t="s">
        <v>2379</v>
      </c>
      <c r="Q1965" s="158"/>
    </row>
    <row r="1966" spans="6:18" ht="24" customHeight="1">
      <c r="H1966" s="154" t="s">
        <v>2380</v>
      </c>
      <c r="N1966" s="156"/>
      <c r="O1966" s="154" t="s">
        <v>2380</v>
      </c>
      <c r="Q1966" s="158"/>
    </row>
    <row r="1967" spans="6:18" ht="24" customHeight="1">
      <c r="H1967" s="162" t="s">
        <v>534</v>
      </c>
      <c r="N1967" s="156"/>
      <c r="O1967" s="162" t="s">
        <v>534</v>
      </c>
      <c r="Q1967" s="158"/>
    </row>
    <row r="1968" spans="6:18" ht="24" customHeight="1">
      <c r="F1968" s="167">
        <v>1</v>
      </c>
      <c r="G1968" s="165" t="s">
        <v>576</v>
      </c>
      <c r="H1968" s="154" t="s">
        <v>2381</v>
      </c>
      <c r="I1968" s="167">
        <f>(C201)</f>
        <v>1170</v>
      </c>
      <c r="J1968" s="154" t="s">
        <v>576</v>
      </c>
      <c r="K1968" s="167">
        <f t="shared" ref="K1968:K1974" si="219">(F1968*I1968)</f>
        <v>1170</v>
      </c>
      <c r="M1968" s="167">
        <v>1</v>
      </c>
      <c r="N1968" s="165" t="s">
        <v>576</v>
      </c>
      <c r="O1968" s="154" t="s">
        <v>2381</v>
      </c>
      <c r="P1968" s="167">
        <f>I1968</f>
        <v>1170</v>
      </c>
      <c r="Q1968" s="154" t="s">
        <v>576</v>
      </c>
      <c r="R1968" s="167">
        <f t="shared" ref="R1968:R1974" si="220">(M1968*P1968)</f>
        <v>1170</v>
      </c>
    </row>
    <row r="1969" spans="6:18" ht="24" customHeight="1">
      <c r="F1969" s="167">
        <v>0.65</v>
      </c>
      <c r="G1969" s="165" t="s">
        <v>577</v>
      </c>
      <c r="H1969" s="154" t="s">
        <v>2382</v>
      </c>
      <c r="I1969" s="167">
        <f>(C61*2)</f>
        <v>160.82</v>
      </c>
      <c r="J1969" s="154" t="s">
        <v>577</v>
      </c>
      <c r="K1969" s="167">
        <f t="shared" si="219"/>
        <v>104.533</v>
      </c>
      <c r="M1969" s="167">
        <v>0.65</v>
      </c>
      <c r="N1969" s="165" t="s">
        <v>577</v>
      </c>
      <c r="O1969" s="154" t="s">
        <v>2382</v>
      </c>
      <c r="P1969" s="167">
        <f t="shared" ref="P1969:P1975" si="221">I1969</f>
        <v>160.82</v>
      </c>
      <c r="Q1969" s="154" t="s">
        <v>577</v>
      </c>
      <c r="R1969" s="167">
        <f t="shared" si="220"/>
        <v>104.533</v>
      </c>
    </row>
    <row r="1970" spans="6:18" ht="24" customHeight="1">
      <c r="F1970" s="167">
        <v>0.56999999999999995</v>
      </c>
      <c r="G1970" s="165" t="s">
        <v>577</v>
      </c>
      <c r="H1970" s="154" t="s">
        <v>2383</v>
      </c>
      <c r="I1970" s="167">
        <f>(C26)</f>
        <v>28.05</v>
      </c>
      <c r="J1970" s="154" t="s">
        <v>577</v>
      </c>
      <c r="K1970" s="167">
        <f t="shared" si="219"/>
        <v>15.988499999999998</v>
      </c>
      <c r="M1970" s="167">
        <v>0.56999999999999995</v>
      </c>
      <c r="N1970" s="165" t="s">
        <v>577</v>
      </c>
      <c r="O1970" s="154" t="s">
        <v>2383</v>
      </c>
      <c r="P1970" s="167">
        <f t="shared" si="221"/>
        <v>28.05</v>
      </c>
      <c r="Q1970" s="154" t="s">
        <v>577</v>
      </c>
      <c r="R1970" s="167">
        <f t="shared" si="220"/>
        <v>15.988499999999998</v>
      </c>
    </row>
    <row r="1971" spans="6:18" ht="24" customHeight="1">
      <c r="F1971" s="198">
        <v>8.1000000000000003E-2</v>
      </c>
      <c r="G1971" s="165" t="s">
        <v>577</v>
      </c>
      <c r="H1971" s="154" t="s">
        <v>2384</v>
      </c>
      <c r="I1971" s="167">
        <f>(R60)</f>
        <v>3405.6734999999999</v>
      </c>
      <c r="J1971" s="154" t="s">
        <v>577</v>
      </c>
      <c r="K1971" s="167">
        <f t="shared" si="219"/>
        <v>275.8595535</v>
      </c>
      <c r="M1971" s="198">
        <v>8.1000000000000003E-2</v>
      </c>
      <c r="N1971" s="165" t="s">
        <v>577</v>
      </c>
      <c r="O1971" s="154" t="s">
        <v>2384</v>
      </c>
      <c r="P1971" s="167">
        <f t="shared" si="221"/>
        <v>3405.6734999999999</v>
      </c>
      <c r="Q1971" s="154" t="s">
        <v>577</v>
      </c>
      <c r="R1971" s="167">
        <f t="shared" si="220"/>
        <v>275.8595535</v>
      </c>
    </row>
    <row r="1972" spans="6:18" ht="24" customHeight="1">
      <c r="F1972" s="167">
        <v>1</v>
      </c>
      <c r="G1972" s="165" t="s">
        <v>576</v>
      </c>
      <c r="H1972" s="154" t="s">
        <v>2202</v>
      </c>
      <c r="I1972" s="167">
        <f>(C15)</f>
        <v>622.6</v>
      </c>
      <c r="J1972" s="154" t="s">
        <v>576</v>
      </c>
      <c r="K1972" s="167">
        <f t="shared" si="219"/>
        <v>622.6</v>
      </c>
      <c r="M1972" s="167">
        <v>1</v>
      </c>
      <c r="N1972" s="165" t="s">
        <v>576</v>
      </c>
      <c r="O1972" s="154" t="s">
        <v>2202</v>
      </c>
      <c r="P1972" s="167">
        <f t="shared" si="221"/>
        <v>622.6</v>
      </c>
      <c r="Q1972" s="154" t="s">
        <v>576</v>
      </c>
      <c r="R1972" s="167">
        <f t="shared" si="220"/>
        <v>622.6</v>
      </c>
    </row>
    <row r="1973" spans="6:18" ht="24" customHeight="1">
      <c r="F1973" s="167">
        <v>0.5</v>
      </c>
      <c r="G1973" s="165" t="s">
        <v>576</v>
      </c>
      <c r="H1973" s="154" t="s">
        <v>752</v>
      </c>
      <c r="I1973" s="167">
        <f>(C11)</f>
        <v>669.90000000000009</v>
      </c>
      <c r="J1973" s="154" t="s">
        <v>576</v>
      </c>
      <c r="K1973" s="167">
        <f t="shared" si="219"/>
        <v>334.95000000000005</v>
      </c>
      <c r="M1973" s="167">
        <v>0.5</v>
      </c>
      <c r="N1973" s="165" t="s">
        <v>576</v>
      </c>
      <c r="O1973" s="154" t="s">
        <v>752</v>
      </c>
      <c r="P1973" s="167">
        <f t="shared" si="221"/>
        <v>669.90000000000009</v>
      </c>
      <c r="Q1973" s="154" t="s">
        <v>576</v>
      </c>
      <c r="R1973" s="167">
        <f t="shared" si="220"/>
        <v>334.95000000000005</v>
      </c>
    </row>
    <row r="1974" spans="6:18" ht="24" customHeight="1">
      <c r="F1974" s="167">
        <v>0.5</v>
      </c>
      <c r="G1974" s="165" t="s">
        <v>576</v>
      </c>
      <c r="H1974" s="154" t="s">
        <v>754</v>
      </c>
      <c r="I1974" s="167">
        <f>(C12)</f>
        <v>468.6</v>
      </c>
      <c r="J1974" s="154" t="s">
        <v>576</v>
      </c>
      <c r="K1974" s="167">
        <f t="shared" si="219"/>
        <v>234.3</v>
      </c>
      <c r="M1974" s="167">
        <v>0.5</v>
      </c>
      <c r="N1974" s="165" t="s">
        <v>576</v>
      </c>
      <c r="O1974" s="154" t="s">
        <v>754</v>
      </c>
      <c r="P1974" s="167">
        <f t="shared" si="221"/>
        <v>468.6</v>
      </c>
      <c r="Q1974" s="154" t="s">
        <v>576</v>
      </c>
      <c r="R1974" s="167">
        <f t="shared" si="220"/>
        <v>234.3</v>
      </c>
    </row>
    <row r="1975" spans="6:18" ht="24" customHeight="1">
      <c r="G1975" s="165" t="s">
        <v>589</v>
      </c>
      <c r="H1975" s="154" t="s">
        <v>590</v>
      </c>
      <c r="I1975" s="154" t="s">
        <v>22</v>
      </c>
      <c r="J1975" s="154" t="s">
        <v>589</v>
      </c>
      <c r="K1975" s="167">
        <v>1.25</v>
      </c>
      <c r="N1975" s="165"/>
      <c r="O1975" s="157" t="s">
        <v>2385</v>
      </c>
      <c r="P1975" s="167" t="str">
        <f t="shared" si="221"/>
        <v/>
      </c>
      <c r="Q1975" s="154"/>
      <c r="R1975" s="195">
        <v>-164</v>
      </c>
    </row>
    <row r="1976" spans="6:18" ht="24" customHeight="1">
      <c r="K1976" s="162" t="s">
        <v>534</v>
      </c>
      <c r="O1976" s="157" t="s">
        <v>2386</v>
      </c>
      <c r="P1976" s="167"/>
      <c r="Q1976" s="154"/>
      <c r="R1976" s="195">
        <v>134.1</v>
      </c>
    </row>
    <row r="1977" spans="6:18" ht="24" customHeight="1" thickBot="1">
      <c r="H1977" s="154" t="s">
        <v>1299</v>
      </c>
      <c r="K1977" s="167">
        <f>SUM(K1968:K1975)</f>
        <v>2759.4810534999997</v>
      </c>
      <c r="N1977" s="156" t="s">
        <v>519</v>
      </c>
      <c r="O1977" s="157" t="s">
        <v>1699</v>
      </c>
      <c r="Q1977" s="158"/>
      <c r="R1977" s="167">
        <v>0.32</v>
      </c>
    </row>
    <row r="1978" spans="6:18" ht="24" customHeight="1" thickTop="1">
      <c r="K1978" s="162" t="s">
        <v>528</v>
      </c>
      <c r="N1978" s="156"/>
      <c r="O1978" s="154" t="s">
        <v>1299</v>
      </c>
      <c r="Q1978" s="158"/>
      <c r="R1978" s="412">
        <f>SUM(R1968:R1977)</f>
        <v>2728.6510534999998</v>
      </c>
    </row>
    <row r="1979" spans="6:18" ht="24" customHeight="1" thickBot="1">
      <c r="G1979" s="165" t="s">
        <v>22</v>
      </c>
      <c r="H1979" s="154" t="s">
        <v>22</v>
      </c>
      <c r="K1979" s="154" t="s">
        <v>22</v>
      </c>
      <c r="N1979" s="156"/>
      <c r="Q1979" s="158"/>
      <c r="R1979" s="413"/>
    </row>
    <row r="1980" spans="6:18" ht="24" customHeight="1" thickTop="1">
      <c r="J1980" s="154" t="s">
        <v>22</v>
      </c>
      <c r="K1980" s="154" t="s">
        <v>22</v>
      </c>
    </row>
    <row r="1981" spans="6:18" ht="24" customHeight="1">
      <c r="F1981" s="155" t="s">
        <v>2387</v>
      </c>
      <c r="G1981" s="165" t="s">
        <v>307</v>
      </c>
      <c r="H1981" s="154" t="s">
        <v>2377</v>
      </c>
      <c r="M1981" s="155" t="s">
        <v>2387</v>
      </c>
      <c r="N1981" s="165" t="s">
        <v>307</v>
      </c>
      <c r="O1981" s="154" t="s">
        <v>2377</v>
      </c>
      <c r="Q1981" s="158"/>
    </row>
    <row r="1982" spans="6:18" ht="24" customHeight="1">
      <c r="H1982" s="154" t="s">
        <v>2378</v>
      </c>
      <c r="N1982" s="156"/>
      <c r="O1982" s="154" t="s">
        <v>2378</v>
      </c>
      <c r="Q1982" s="158"/>
    </row>
    <row r="1983" spans="6:18" ht="24" customHeight="1">
      <c r="H1983" s="154" t="s">
        <v>2379</v>
      </c>
      <c r="N1983" s="156"/>
      <c r="O1983" s="154" t="s">
        <v>2379</v>
      </c>
      <c r="Q1983" s="158"/>
    </row>
    <row r="1984" spans="6:18" ht="24" customHeight="1">
      <c r="H1984" s="154" t="s">
        <v>2388</v>
      </c>
      <c r="N1984" s="156"/>
      <c r="O1984" s="154" t="s">
        <v>2388</v>
      </c>
      <c r="Q1984" s="158"/>
    </row>
    <row r="1985" spans="6:18" ht="24" customHeight="1">
      <c r="H1985" s="162" t="s">
        <v>534</v>
      </c>
      <c r="N1985" s="156"/>
      <c r="O1985" s="162" t="s">
        <v>534</v>
      </c>
      <c r="Q1985" s="158"/>
    </row>
    <row r="1986" spans="6:18" ht="24" customHeight="1">
      <c r="F1986" s="167">
        <v>1</v>
      </c>
      <c r="G1986" s="165" t="s">
        <v>576</v>
      </c>
      <c r="H1986" s="154" t="s">
        <v>2381</v>
      </c>
      <c r="I1986" s="167">
        <f>(C201)</f>
        <v>1170</v>
      </c>
      <c r="J1986" s="154" t="s">
        <v>576</v>
      </c>
      <c r="K1986" s="167">
        <f>(F1986*I1986)</f>
        <v>1170</v>
      </c>
      <c r="M1986" s="167">
        <v>1</v>
      </c>
      <c r="N1986" s="165" t="s">
        <v>576</v>
      </c>
      <c r="O1986" s="154" t="s">
        <v>2381</v>
      </c>
      <c r="P1986" s="167">
        <f>I1986</f>
        <v>1170</v>
      </c>
      <c r="Q1986" s="154" t="s">
        <v>576</v>
      </c>
      <c r="R1986" s="167">
        <f>(M1986*P1986)</f>
        <v>1170</v>
      </c>
    </row>
    <row r="1987" spans="6:18" ht="24" customHeight="1">
      <c r="F1987" s="198">
        <v>0.40500000000000003</v>
      </c>
      <c r="G1987" s="165" t="s">
        <v>577</v>
      </c>
      <c r="H1987" s="154" t="s">
        <v>2389</v>
      </c>
      <c r="I1987" s="167">
        <f>(K1330)</f>
        <v>3125.9059999999999</v>
      </c>
      <c r="J1987" s="154" t="s">
        <v>577</v>
      </c>
      <c r="K1987" s="167">
        <f>(F1987*I1987)</f>
        <v>1265.9919300000001</v>
      </c>
      <c r="M1987" s="198">
        <v>0.40500000000000003</v>
      </c>
      <c r="N1987" s="165" t="s">
        <v>577</v>
      </c>
      <c r="O1987" s="154" t="s">
        <v>2389</v>
      </c>
      <c r="P1987" s="167">
        <f t="shared" ref="P1987:P1996" si="222">I1987</f>
        <v>3125.9059999999999</v>
      </c>
      <c r="Q1987" s="154" t="s">
        <v>577</v>
      </c>
      <c r="R1987" s="167">
        <f>(M1987*P1987)</f>
        <v>1265.9919300000001</v>
      </c>
    </row>
    <row r="1988" spans="6:18" ht="24" customHeight="1">
      <c r="H1988" s="154" t="s">
        <v>2390</v>
      </c>
      <c r="I1988" s="154" t="s">
        <v>22</v>
      </c>
      <c r="K1988" s="154" t="s">
        <v>22</v>
      </c>
      <c r="N1988" s="156"/>
      <c r="O1988" s="154" t="s">
        <v>2390</v>
      </c>
      <c r="P1988" s="167" t="str">
        <f t="shared" si="222"/>
        <v/>
      </c>
      <c r="Q1988" s="158"/>
      <c r="R1988" s="154" t="s">
        <v>22</v>
      </c>
    </row>
    <row r="1989" spans="6:18" ht="24" customHeight="1">
      <c r="F1989" s="167">
        <v>1.89</v>
      </c>
      <c r="G1989" s="165" t="s">
        <v>916</v>
      </c>
      <c r="H1989" s="154" t="s">
        <v>2391</v>
      </c>
      <c r="I1989" s="167">
        <f>(K1442)</f>
        <v>216.15738000000002</v>
      </c>
      <c r="J1989" s="154" t="s">
        <v>916</v>
      </c>
      <c r="K1989" s="167">
        <f>(F1989*I1989)</f>
        <v>408.53744820000003</v>
      </c>
      <c r="M1989" s="167">
        <v>1.89</v>
      </c>
      <c r="N1989" s="165" t="s">
        <v>916</v>
      </c>
      <c r="O1989" s="154" t="s">
        <v>2391</v>
      </c>
      <c r="P1989" s="167">
        <f t="shared" si="222"/>
        <v>216.15738000000002</v>
      </c>
      <c r="Q1989" s="154" t="s">
        <v>916</v>
      </c>
      <c r="R1989" s="167">
        <f>(M1989*P1989)</f>
        <v>408.53744820000003</v>
      </c>
    </row>
    <row r="1990" spans="6:18" ht="24" customHeight="1">
      <c r="H1990" s="154" t="s">
        <v>2392</v>
      </c>
      <c r="I1990" s="154" t="s">
        <v>22</v>
      </c>
      <c r="K1990" s="154" t="s">
        <v>22</v>
      </c>
      <c r="N1990" s="156"/>
      <c r="O1990" s="154" t="s">
        <v>2392</v>
      </c>
      <c r="P1990" s="167" t="str">
        <f t="shared" si="222"/>
        <v/>
      </c>
      <c r="Q1990" s="158"/>
      <c r="R1990" s="154" t="s">
        <v>22</v>
      </c>
    </row>
    <row r="1991" spans="6:18" ht="24" customHeight="1">
      <c r="F1991" s="198">
        <v>8.1000000000000003E-2</v>
      </c>
      <c r="G1991" s="165" t="s">
        <v>577</v>
      </c>
      <c r="H1991" s="154" t="s">
        <v>2393</v>
      </c>
      <c r="I1991" s="167">
        <f>(R60)</f>
        <v>3405.6734999999999</v>
      </c>
      <c r="J1991" s="154" t="s">
        <v>577</v>
      </c>
      <c r="K1991" s="167">
        <f>(F1991*I1991)</f>
        <v>275.8595535</v>
      </c>
      <c r="M1991" s="198">
        <v>8.1000000000000003E-2</v>
      </c>
      <c r="N1991" s="165" t="s">
        <v>577</v>
      </c>
      <c r="O1991" s="154" t="s">
        <v>2393</v>
      </c>
      <c r="P1991" s="167">
        <f t="shared" si="222"/>
        <v>3405.6734999999999</v>
      </c>
      <c r="Q1991" s="154" t="s">
        <v>577</v>
      </c>
      <c r="R1991" s="167">
        <f>(M1991*P1991)</f>
        <v>275.8595535</v>
      </c>
    </row>
    <row r="1992" spans="6:18" ht="24" customHeight="1">
      <c r="H1992" s="154" t="s">
        <v>2394</v>
      </c>
      <c r="N1992" s="156"/>
      <c r="O1992" s="154" t="s">
        <v>2394</v>
      </c>
      <c r="P1992" s="167"/>
      <c r="Q1992" s="158"/>
    </row>
    <row r="1993" spans="6:18" ht="24" customHeight="1">
      <c r="F1993" s="167">
        <v>1</v>
      </c>
      <c r="G1993" s="165" t="s">
        <v>680</v>
      </c>
      <c r="H1993" s="154" t="s">
        <v>2202</v>
      </c>
      <c r="I1993" s="167">
        <f>(C15)</f>
        <v>622.6</v>
      </c>
      <c r="J1993" s="154" t="s">
        <v>680</v>
      </c>
      <c r="K1993" s="167">
        <f>(F1993*I1993)</f>
        <v>622.6</v>
      </c>
      <c r="M1993" s="167">
        <v>1</v>
      </c>
      <c r="N1993" s="165" t="s">
        <v>680</v>
      </c>
      <c r="O1993" s="154" t="s">
        <v>2202</v>
      </c>
      <c r="P1993" s="167">
        <f t="shared" si="222"/>
        <v>622.6</v>
      </c>
      <c r="Q1993" s="154" t="s">
        <v>680</v>
      </c>
      <c r="R1993" s="167">
        <f>(M1993*P1993)</f>
        <v>622.6</v>
      </c>
    </row>
    <row r="1994" spans="6:18" ht="24" customHeight="1">
      <c r="F1994" s="167">
        <v>0.5</v>
      </c>
      <c r="G1994" s="165" t="s">
        <v>576</v>
      </c>
      <c r="H1994" s="154" t="s">
        <v>752</v>
      </c>
      <c r="I1994" s="167">
        <f>(C11)</f>
        <v>669.90000000000009</v>
      </c>
      <c r="J1994" s="154" t="s">
        <v>576</v>
      </c>
      <c r="K1994" s="167">
        <f>(F1994*I1994)</f>
        <v>334.95000000000005</v>
      </c>
      <c r="M1994" s="167">
        <v>0.5</v>
      </c>
      <c r="N1994" s="165" t="s">
        <v>576</v>
      </c>
      <c r="O1994" s="154" t="s">
        <v>752</v>
      </c>
      <c r="P1994" s="167">
        <f t="shared" si="222"/>
        <v>669.90000000000009</v>
      </c>
      <c r="Q1994" s="154" t="s">
        <v>576</v>
      </c>
      <c r="R1994" s="167">
        <f>(M1994*P1994)</f>
        <v>334.95000000000005</v>
      </c>
    </row>
    <row r="1995" spans="6:18" ht="24" customHeight="1">
      <c r="F1995" s="167">
        <v>0.5</v>
      </c>
      <c r="G1995" s="165" t="s">
        <v>576</v>
      </c>
      <c r="H1995" s="154" t="s">
        <v>754</v>
      </c>
      <c r="I1995" s="167">
        <f>(C12)</f>
        <v>468.6</v>
      </c>
      <c r="J1995" s="154" t="s">
        <v>576</v>
      </c>
      <c r="K1995" s="167">
        <f>(F1995*I1995)</f>
        <v>234.3</v>
      </c>
      <c r="M1995" s="167">
        <v>0.5</v>
      </c>
      <c r="N1995" s="165" t="s">
        <v>576</v>
      </c>
      <c r="O1995" s="154" t="s">
        <v>754</v>
      </c>
      <c r="P1995" s="167">
        <f t="shared" si="222"/>
        <v>468.6</v>
      </c>
      <c r="Q1995" s="154" t="s">
        <v>576</v>
      </c>
      <c r="R1995" s="167">
        <f>(M1995*P1995)</f>
        <v>234.3</v>
      </c>
    </row>
    <row r="1996" spans="6:18" ht="24" customHeight="1">
      <c r="G1996" s="165" t="s">
        <v>589</v>
      </c>
      <c r="H1996" s="154" t="s">
        <v>590</v>
      </c>
      <c r="I1996" s="154" t="s">
        <v>22</v>
      </c>
      <c r="J1996" s="154" t="s">
        <v>589</v>
      </c>
      <c r="K1996" s="167">
        <v>1.03</v>
      </c>
      <c r="N1996" s="165"/>
      <c r="O1996" s="157" t="s">
        <v>2385</v>
      </c>
      <c r="P1996" s="167" t="str">
        <f t="shared" si="222"/>
        <v/>
      </c>
      <c r="Q1996" s="154"/>
      <c r="R1996" s="195">
        <v>-164</v>
      </c>
    </row>
    <row r="1997" spans="6:18" ht="24" customHeight="1">
      <c r="H1997" s="154" t="s">
        <v>22</v>
      </c>
      <c r="K1997" s="162" t="s">
        <v>534</v>
      </c>
      <c r="O1997" s="157" t="s">
        <v>2386</v>
      </c>
      <c r="P1997" s="167"/>
      <c r="Q1997" s="154"/>
      <c r="R1997" s="195">
        <v>134.1</v>
      </c>
    </row>
    <row r="1998" spans="6:18" ht="24" customHeight="1" thickBot="1">
      <c r="H1998" s="154" t="s">
        <v>1299</v>
      </c>
      <c r="K1998" s="167">
        <f>SUM(K1986:K1996)</f>
        <v>4313.2689317000004</v>
      </c>
      <c r="N1998" s="156" t="s">
        <v>519</v>
      </c>
      <c r="O1998" s="157" t="s">
        <v>1699</v>
      </c>
      <c r="Q1998" s="158"/>
      <c r="R1998" s="167">
        <v>0.47</v>
      </c>
    </row>
    <row r="1999" spans="6:18" ht="24" customHeight="1" thickTop="1">
      <c r="K1999" s="162" t="s">
        <v>528</v>
      </c>
      <c r="N1999" s="156"/>
      <c r="O1999" s="186" t="s">
        <v>1299</v>
      </c>
      <c r="Q1999" s="158"/>
      <c r="R1999" s="412">
        <f>SUM(R1986:R1998)</f>
        <v>4282.8089317000013</v>
      </c>
    </row>
    <row r="2000" spans="6:18" ht="24" customHeight="1" thickBot="1">
      <c r="G2000" s="165" t="s">
        <v>22</v>
      </c>
      <c r="H2000" s="154" t="s">
        <v>22</v>
      </c>
      <c r="K2000" s="154" t="s">
        <v>22</v>
      </c>
      <c r="N2000" s="156"/>
      <c r="Q2000" s="158"/>
      <c r="R2000" s="413"/>
    </row>
    <row r="2001" spans="6:19" ht="24" customHeight="1" thickTop="1">
      <c r="F2001" s="187">
        <v>57</v>
      </c>
      <c r="G2001" s="165" t="s">
        <v>307</v>
      </c>
      <c r="H2001" s="154" t="s">
        <v>2395</v>
      </c>
    </row>
    <row r="2002" spans="6:19" ht="24" customHeight="1">
      <c r="H2002" s="154" t="s">
        <v>2396</v>
      </c>
      <c r="M2002" s="187">
        <v>57</v>
      </c>
      <c r="N2002" s="165" t="s">
        <v>307</v>
      </c>
      <c r="O2002" s="154" t="s">
        <v>2395</v>
      </c>
      <c r="Q2002" s="158"/>
      <c r="S2002" s="76"/>
    </row>
    <row r="2003" spans="6:19" ht="24" customHeight="1">
      <c r="H2003" s="154" t="s">
        <v>2397</v>
      </c>
      <c r="N2003" s="156"/>
      <c r="O2003" s="154" t="s">
        <v>2396</v>
      </c>
      <c r="Q2003" s="158"/>
      <c r="S2003" s="76"/>
    </row>
    <row r="2004" spans="6:19" ht="24" customHeight="1">
      <c r="H2004" s="162" t="s">
        <v>534</v>
      </c>
      <c r="N2004" s="156"/>
      <c r="O2004" s="154" t="s">
        <v>2397</v>
      </c>
      <c r="Q2004" s="158"/>
      <c r="S2004" s="76"/>
    </row>
    <row r="2005" spans="6:19" ht="60.75" customHeight="1">
      <c r="F2005" s="402">
        <v>1</v>
      </c>
      <c r="G2005" s="402" t="s">
        <v>1314</v>
      </c>
      <c r="H2005" s="214" t="s">
        <v>2398</v>
      </c>
      <c r="I2005" s="402">
        <f>C613</f>
        <v>3000</v>
      </c>
      <c r="J2005" s="404" t="s">
        <v>1314</v>
      </c>
      <c r="K2005" s="402">
        <f>(F2005*I2005)</f>
        <v>3000</v>
      </c>
      <c r="N2005" s="156"/>
      <c r="O2005" s="162" t="s">
        <v>534</v>
      </c>
      <c r="Q2005" s="158"/>
      <c r="S2005" s="76"/>
    </row>
    <row r="2006" spans="6:19" ht="48.75" customHeight="1">
      <c r="F2006" s="167"/>
      <c r="G2006" s="165"/>
      <c r="H2006" s="414" t="s">
        <v>2399</v>
      </c>
      <c r="I2006" s="167"/>
      <c r="J2006" s="154"/>
      <c r="K2006" s="167"/>
      <c r="M2006" s="402">
        <v>1</v>
      </c>
      <c r="N2006" s="402" t="s">
        <v>1314</v>
      </c>
      <c r="O2006" s="214" t="s">
        <v>2400</v>
      </c>
      <c r="P2006" s="402">
        <f>I2005</f>
        <v>3000</v>
      </c>
      <c r="Q2006" s="404" t="s">
        <v>1314</v>
      </c>
      <c r="R2006" s="402">
        <f>(M2006*P2006)</f>
        <v>3000</v>
      </c>
      <c r="S2006" s="76"/>
    </row>
    <row r="2007" spans="6:19" ht="36" customHeight="1">
      <c r="F2007" s="167">
        <v>1</v>
      </c>
      <c r="G2007" s="165" t="s">
        <v>576</v>
      </c>
      <c r="H2007" s="154" t="s">
        <v>778</v>
      </c>
      <c r="I2007" s="167">
        <f>(C10)</f>
        <v>717.2</v>
      </c>
      <c r="J2007" s="154" t="s">
        <v>576</v>
      </c>
      <c r="K2007" s="167">
        <f>(F2007*I2007)</f>
        <v>717.2</v>
      </c>
      <c r="M2007" s="167"/>
      <c r="N2007" s="165"/>
      <c r="O2007" s="414" t="s">
        <v>2399</v>
      </c>
      <c r="P2007" s="167"/>
      <c r="Q2007" s="154"/>
      <c r="R2007" s="167"/>
      <c r="S2007" s="76"/>
    </row>
    <row r="2008" spans="6:19" ht="24" customHeight="1">
      <c r="F2008" s="167">
        <v>2</v>
      </c>
      <c r="G2008" s="165" t="s">
        <v>576</v>
      </c>
      <c r="H2008" s="154" t="s">
        <v>2202</v>
      </c>
      <c r="I2008" s="167">
        <f>(C15)</f>
        <v>622.6</v>
      </c>
      <c r="J2008" s="154" t="s">
        <v>576</v>
      </c>
      <c r="K2008" s="167">
        <f>(F2008*I2008)</f>
        <v>1245.2</v>
      </c>
      <c r="M2008" s="167">
        <v>1</v>
      </c>
      <c r="N2008" s="165" t="s">
        <v>576</v>
      </c>
      <c r="O2008" s="154" t="s">
        <v>778</v>
      </c>
      <c r="P2008" s="167">
        <f t="shared" ref="P2008:P2013" si="223">I2007</f>
        <v>717.2</v>
      </c>
      <c r="Q2008" s="154" t="s">
        <v>576</v>
      </c>
      <c r="R2008" s="167">
        <f>(M2008*P2008)</f>
        <v>717.2</v>
      </c>
      <c r="S2008" s="76"/>
    </row>
    <row r="2009" spans="6:19" ht="24" customHeight="1">
      <c r="F2009" s="167">
        <v>1</v>
      </c>
      <c r="G2009" s="165" t="s">
        <v>576</v>
      </c>
      <c r="H2009" s="154" t="s">
        <v>756</v>
      </c>
      <c r="I2009" s="167">
        <f>(C13)</f>
        <v>404.8</v>
      </c>
      <c r="J2009" s="154" t="s">
        <v>576</v>
      </c>
      <c r="K2009" s="167">
        <f>(F2009*I2009)</f>
        <v>404.8</v>
      </c>
      <c r="M2009" s="167">
        <v>2</v>
      </c>
      <c r="N2009" s="165" t="s">
        <v>576</v>
      </c>
      <c r="O2009" s="154" t="s">
        <v>2202</v>
      </c>
      <c r="P2009" s="167">
        <f t="shared" si="223"/>
        <v>622.6</v>
      </c>
      <c r="Q2009" s="154" t="s">
        <v>576</v>
      </c>
      <c r="R2009" s="167">
        <f>(M2009*P2009)</f>
        <v>1245.2</v>
      </c>
      <c r="S2009" s="76"/>
    </row>
    <row r="2010" spans="6:19" ht="24" customHeight="1">
      <c r="F2010" s="167"/>
      <c r="G2010" s="165"/>
      <c r="H2010" s="414" t="s">
        <v>2401</v>
      </c>
      <c r="I2010" s="167"/>
      <c r="J2010" s="154"/>
      <c r="K2010" s="167"/>
      <c r="M2010" s="167">
        <v>1</v>
      </c>
      <c r="N2010" s="165" t="s">
        <v>576</v>
      </c>
      <c r="O2010" s="154" t="s">
        <v>756</v>
      </c>
      <c r="P2010" s="167">
        <f t="shared" si="223"/>
        <v>404.8</v>
      </c>
      <c r="Q2010" s="154" t="s">
        <v>576</v>
      </c>
      <c r="R2010" s="167">
        <f>(M2010*P2010)</f>
        <v>404.8</v>
      </c>
      <c r="S2010" s="76"/>
    </row>
    <row r="2011" spans="6:19" ht="24" customHeight="1">
      <c r="F2011" s="167">
        <v>0.5</v>
      </c>
      <c r="G2011" s="165" t="s">
        <v>576</v>
      </c>
      <c r="H2011" s="154" t="s">
        <v>2202</v>
      </c>
      <c r="I2011" s="167">
        <f>(C15)</f>
        <v>622.6</v>
      </c>
      <c r="J2011" s="154" t="s">
        <v>576</v>
      </c>
      <c r="K2011" s="167">
        <f>(F2011*I2011)</f>
        <v>311.3</v>
      </c>
      <c r="M2011" s="167"/>
      <c r="N2011" s="165"/>
      <c r="O2011" s="414" t="s">
        <v>2401</v>
      </c>
      <c r="P2011" s="167"/>
      <c r="Q2011" s="154"/>
      <c r="R2011" s="167"/>
      <c r="S2011" s="76"/>
    </row>
    <row r="2012" spans="6:19" ht="24" customHeight="1">
      <c r="F2012" s="167">
        <v>0.5</v>
      </c>
      <c r="G2012" s="165" t="s">
        <v>576</v>
      </c>
      <c r="H2012" s="154" t="s">
        <v>754</v>
      </c>
      <c r="I2012" s="167">
        <f>(C12)</f>
        <v>468.6</v>
      </c>
      <c r="J2012" s="154" t="s">
        <v>576</v>
      </c>
      <c r="K2012" s="167">
        <f>(F2012*I2012)</f>
        <v>234.3</v>
      </c>
      <c r="M2012" s="167">
        <v>0.5</v>
      </c>
      <c r="N2012" s="165" t="s">
        <v>576</v>
      </c>
      <c r="O2012" s="154" t="s">
        <v>2202</v>
      </c>
      <c r="P2012" s="167">
        <f t="shared" si="223"/>
        <v>622.6</v>
      </c>
      <c r="Q2012" s="154" t="s">
        <v>576</v>
      </c>
      <c r="R2012" s="167">
        <f>(M2012*P2012)</f>
        <v>311.3</v>
      </c>
      <c r="S2012" s="76"/>
    </row>
    <row r="2013" spans="6:19" ht="24" customHeight="1">
      <c r="G2013" s="165" t="s">
        <v>589</v>
      </c>
      <c r="H2013" s="154" t="s">
        <v>590</v>
      </c>
      <c r="J2013" s="154" t="s">
        <v>589</v>
      </c>
      <c r="K2013" s="167">
        <v>0.7</v>
      </c>
      <c r="M2013" s="167">
        <v>0.5</v>
      </c>
      <c r="N2013" s="165" t="s">
        <v>576</v>
      </c>
      <c r="O2013" s="154" t="s">
        <v>754</v>
      </c>
      <c r="P2013" s="167">
        <f t="shared" si="223"/>
        <v>468.6</v>
      </c>
      <c r="Q2013" s="154" t="s">
        <v>576</v>
      </c>
      <c r="R2013" s="167">
        <f>(M2013*P2013)</f>
        <v>234.3</v>
      </c>
      <c r="S2013" s="76"/>
    </row>
    <row r="2014" spans="6:19" ht="24" customHeight="1">
      <c r="K2014" s="162" t="s">
        <v>534</v>
      </c>
      <c r="M2014" s="167"/>
      <c r="N2014" s="165"/>
      <c r="O2014" s="157" t="s">
        <v>2385</v>
      </c>
      <c r="P2014" s="167">
        <f>I2014</f>
        <v>0</v>
      </c>
      <c r="Q2014" s="154"/>
      <c r="R2014" s="195">
        <v>-164</v>
      </c>
      <c r="S2014" s="76"/>
    </row>
    <row r="2015" spans="6:19" ht="24" customHeight="1">
      <c r="H2015" s="154" t="s">
        <v>1299</v>
      </c>
      <c r="K2015" s="167">
        <f>SUM(K2005:K2013)</f>
        <v>5913.5</v>
      </c>
      <c r="M2015" s="167"/>
      <c r="N2015" s="165"/>
      <c r="O2015" s="157" t="s">
        <v>2386</v>
      </c>
      <c r="P2015" s="167"/>
      <c r="Q2015" s="154"/>
      <c r="R2015" s="195">
        <v>134.1</v>
      </c>
      <c r="S2015" s="76"/>
    </row>
    <row r="2016" spans="6:19" ht="24" customHeight="1">
      <c r="F2016" s="154" t="s">
        <v>22</v>
      </c>
      <c r="N2016" s="165" t="s">
        <v>589</v>
      </c>
      <c r="O2016" s="154" t="s">
        <v>590</v>
      </c>
      <c r="Q2016" s="154" t="s">
        <v>589</v>
      </c>
      <c r="R2016" s="167">
        <v>0.7</v>
      </c>
      <c r="S2016" s="76"/>
    </row>
    <row r="2017" spans="6:19" ht="24" customHeight="1">
      <c r="K2017" s="162" t="s">
        <v>534</v>
      </c>
      <c r="N2017" s="156"/>
      <c r="O2017" s="154" t="s">
        <v>1299</v>
      </c>
      <c r="Q2017" s="158"/>
      <c r="R2017" s="167"/>
      <c r="S2017" s="76"/>
    </row>
    <row r="2018" spans="6:19" ht="24" customHeight="1">
      <c r="G2018" s="165" t="s">
        <v>22</v>
      </c>
      <c r="H2018" s="154" t="s">
        <v>22</v>
      </c>
      <c r="K2018" s="154" t="s">
        <v>22</v>
      </c>
      <c r="N2018" s="156"/>
      <c r="Q2018" s="158"/>
      <c r="R2018" s="199">
        <f>SUM(R2006:R2017)</f>
        <v>5883.6</v>
      </c>
      <c r="S2018" s="76"/>
    </row>
    <row r="2019" spans="6:19" ht="24" customHeight="1">
      <c r="H2019" s="154" t="s">
        <v>22</v>
      </c>
      <c r="M2019" s="154" t="s">
        <v>22</v>
      </c>
      <c r="N2019" s="156"/>
      <c r="S2019" s="76"/>
    </row>
    <row r="2020" spans="6:19" ht="24" customHeight="1">
      <c r="F2020" s="200">
        <v>57.1</v>
      </c>
      <c r="G2020" s="165" t="s">
        <v>307</v>
      </c>
      <c r="H2020" s="154" t="s">
        <v>2402</v>
      </c>
      <c r="M2020" s="187">
        <v>57</v>
      </c>
      <c r="N2020" s="165" t="s">
        <v>307</v>
      </c>
      <c r="O2020" s="154" t="s">
        <v>2402</v>
      </c>
      <c r="Q2020" s="158"/>
      <c r="S2020" s="76"/>
    </row>
    <row r="2021" spans="6:19" ht="24" customHeight="1">
      <c r="H2021" s="154" t="s">
        <v>2396</v>
      </c>
      <c r="N2021" s="156"/>
      <c r="O2021" s="154" t="s">
        <v>2396</v>
      </c>
      <c r="Q2021" s="158"/>
    </row>
    <row r="2022" spans="6:19" ht="24" customHeight="1">
      <c r="H2022" s="154" t="s">
        <v>2397</v>
      </c>
      <c r="N2022" s="156"/>
      <c r="O2022" s="154" t="s">
        <v>2397</v>
      </c>
      <c r="Q2022" s="158"/>
    </row>
    <row r="2023" spans="6:19" ht="24" customHeight="1">
      <c r="H2023" s="162" t="s">
        <v>534</v>
      </c>
      <c r="N2023" s="156"/>
      <c r="O2023" s="162" t="s">
        <v>534</v>
      </c>
      <c r="Q2023" s="158"/>
    </row>
    <row r="2024" spans="6:19" ht="62.25" customHeight="1">
      <c r="F2024" s="402">
        <v>1</v>
      </c>
      <c r="G2024" s="402" t="s">
        <v>1314</v>
      </c>
      <c r="H2024" s="210" t="s">
        <v>2400</v>
      </c>
      <c r="I2024" s="76">
        <f>E613</f>
        <v>3390</v>
      </c>
      <c r="J2024" s="404" t="s">
        <v>1314</v>
      </c>
      <c r="K2024" s="402">
        <f>(F2024*I2024)</f>
        <v>3390</v>
      </c>
      <c r="M2024" s="402">
        <v>1</v>
      </c>
      <c r="N2024" s="402" t="s">
        <v>1314</v>
      </c>
      <c r="O2024" s="214" t="s">
        <v>2400</v>
      </c>
      <c r="P2024" s="402">
        <f>I2024</f>
        <v>3390</v>
      </c>
      <c r="Q2024" s="404" t="s">
        <v>1314</v>
      </c>
      <c r="R2024" s="402">
        <f>(M2024*P2024)</f>
        <v>3390</v>
      </c>
    </row>
    <row r="2025" spans="6:19" ht="54.75" customHeight="1">
      <c r="F2025" s="167"/>
      <c r="G2025" s="165"/>
      <c r="H2025" s="414" t="s">
        <v>2399</v>
      </c>
      <c r="J2025" s="154"/>
      <c r="K2025" s="167"/>
      <c r="M2025" s="167"/>
      <c r="N2025" s="165"/>
      <c r="O2025" s="414" t="s">
        <v>2399</v>
      </c>
      <c r="P2025" s="167"/>
      <c r="Q2025" s="154"/>
      <c r="R2025" s="402"/>
    </row>
    <row r="2026" spans="6:19" ht="24" customHeight="1">
      <c r="F2026" s="167">
        <v>1</v>
      </c>
      <c r="G2026" s="165" t="s">
        <v>576</v>
      </c>
      <c r="H2026" s="154" t="s">
        <v>778</v>
      </c>
      <c r="I2026" s="76">
        <f>C10</f>
        <v>717.2</v>
      </c>
      <c r="J2026" s="154" t="s">
        <v>576</v>
      </c>
      <c r="K2026" s="167">
        <f>(F2026*I2026)</f>
        <v>717.2</v>
      </c>
      <c r="M2026" s="167">
        <v>1</v>
      </c>
      <c r="N2026" s="165" t="s">
        <v>576</v>
      </c>
      <c r="O2026" s="154" t="s">
        <v>778</v>
      </c>
      <c r="P2026" s="167">
        <f>I2026</f>
        <v>717.2</v>
      </c>
      <c r="Q2026" s="154" t="s">
        <v>576</v>
      </c>
      <c r="R2026" s="402">
        <f>(M2026*P2026)</f>
        <v>717.2</v>
      </c>
    </row>
    <row r="2027" spans="6:19" ht="24" customHeight="1">
      <c r="F2027" s="167">
        <v>2</v>
      </c>
      <c r="G2027" s="165" t="s">
        <v>576</v>
      </c>
      <c r="H2027" s="154" t="s">
        <v>2202</v>
      </c>
      <c r="I2027" s="76">
        <f>C15</f>
        <v>622.6</v>
      </c>
      <c r="J2027" s="154" t="s">
        <v>576</v>
      </c>
      <c r="K2027" s="167">
        <f>(F2027*I2027)</f>
        <v>1245.2</v>
      </c>
      <c r="M2027" s="167">
        <v>2</v>
      </c>
      <c r="N2027" s="165" t="s">
        <v>576</v>
      </c>
      <c r="O2027" s="154" t="s">
        <v>2202</v>
      </c>
      <c r="P2027" s="167">
        <f>I2027</f>
        <v>622.6</v>
      </c>
      <c r="Q2027" s="154" t="s">
        <v>576</v>
      </c>
      <c r="R2027" s="402">
        <f>(M2027*P2027)</f>
        <v>1245.2</v>
      </c>
    </row>
    <row r="2028" spans="6:19" ht="24" customHeight="1">
      <c r="F2028" s="167">
        <v>1</v>
      </c>
      <c r="G2028" s="165" t="s">
        <v>576</v>
      </c>
      <c r="H2028" s="154" t="s">
        <v>756</v>
      </c>
      <c r="I2028" s="76">
        <f>C13</f>
        <v>404.8</v>
      </c>
      <c r="J2028" s="154" t="s">
        <v>576</v>
      </c>
      <c r="K2028" s="167">
        <f>(F2028*I2028)</f>
        <v>404.8</v>
      </c>
      <c r="M2028" s="167">
        <v>1</v>
      </c>
      <c r="N2028" s="165" t="s">
        <v>576</v>
      </c>
      <c r="O2028" s="154" t="s">
        <v>756</v>
      </c>
      <c r="P2028" s="167">
        <f>I2028</f>
        <v>404.8</v>
      </c>
      <c r="Q2028" s="154" t="s">
        <v>576</v>
      </c>
      <c r="R2028" s="402">
        <f>(M2028*P2028)</f>
        <v>404.8</v>
      </c>
    </row>
    <row r="2029" spans="6:19" ht="24" customHeight="1">
      <c r="F2029" s="167"/>
      <c r="G2029" s="165"/>
      <c r="H2029" s="414" t="s">
        <v>2401</v>
      </c>
      <c r="J2029" s="154"/>
      <c r="K2029" s="167"/>
      <c r="M2029" s="167"/>
      <c r="N2029" s="165"/>
      <c r="O2029" s="414" t="s">
        <v>2401</v>
      </c>
      <c r="Q2029" s="154"/>
      <c r="R2029" s="167"/>
    </row>
    <row r="2030" spans="6:19" ht="24" customHeight="1">
      <c r="F2030" s="167">
        <v>0.5</v>
      </c>
      <c r="G2030" s="165" t="s">
        <v>576</v>
      </c>
      <c r="H2030" s="154" t="s">
        <v>2202</v>
      </c>
      <c r="I2030" s="76">
        <f>C15</f>
        <v>622.6</v>
      </c>
      <c r="J2030" s="154" t="s">
        <v>576</v>
      </c>
      <c r="K2030" s="167">
        <f>(F2030*I2030)</f>
        <v>311.3</v>
      </c>
      <c r="M2030" s="167">
        <v>0.5</v>
      </c>
      <c r="N2030" s="165" t="s">
        <v>576</v>
      </c>
      <c r="O2030" s="154" t="s">
        <v>2202</v>
      </c>
      <c r="P2030" s="167">
        <f>I2030</f>
        <v>622.6</v>
      </c>
      <c r="Q2030" s="154" t="s">
        <v>576</v>
      </c>
      <c r="R2030" s="167">
        <f>(M2030*P2030)</f>
        <v>311.3</v>
      </c>
    </row>
    <row r="2031" spans="6:19" ht="24" customHeight="1">
      <c r="F2031" s="167">
        <v>0.5</v>
      </c>
      <c r="G2031" s="165" t="s">
        <v>576</v>
      </c>
      <c r="H2031" s="154" t="s">
        <v>754</v>
      </c>
      <c r="I2031" s="76">
        <f>C12</f>
        <v>468.6</v>
      </c>
      <c r="J2031" s="154" t="s">
        <v>576</v>
      </c>
      <c r="K2031" s="167">
        <f>(F2031*I2031)</f>
        <v>234.3</v>
      </c>
      <c r="M2031" s="167">
        <v>0.5</v>
      </c>
      <c r="N2031" s="165" t="s">
        <v>576</v>
      </c>
      <c r="O2031" s="154" t="s">
        <v>754</v>
      </c>
      <c r="P2031" s="167">
        <f>I2031</f>
        <v>468.6</v>
      </c>
      <c r="Q2031" s="154" t="s">
        <v>576</v>
      </c>
      <c r="R2031" s="167">
        <f>(M2031*P2031)</f>
        <v>234.3</v>
      </c>
    </row>
    <row r="2032" spans="6:19" ht="24" customHeight="1">
      <c r="G2032" s="165" t="s">
        <v>589</v>
      </c>
      <c r="H2032" s="154" t="s">
        <v>590</v>
      </c>
      <c r="J2032" s="154" t="s">
        <v>589</v>
      </c>
      <c r="K2032" s="167">
        <v>0.7</v>
      </c>
      <c r="M2032" s="167"/>
      <c r="N2032" s="165"/>
      <c r="O2032" s="157" t="s">
        <v>2385</v>
      </c>
      <c r="P2032" s="167">
        <f>I2032</f>
        <v>0</v>
      </c>
      <c r="Q2032" s="154"/>
      <c r="R2032" s="195">
        <v>-164</v>
      </c>
    </row>
    <row r="2033" spans="6:18" ht="24" customHeight="1">
      <c r="K2033" s="162" t="s">
        <v>534</v>
      </c>
      <c r="M2033" s="167"/>
      <c r="N2033" s="165"/>
      <c r="O2033" s="157" t="s">
        <v>2386</v>
      </c>
      <c r="P2033" s="167"/>
      <c r="Q2033" s="154"/>
      <c r="R2033" s="195">
        <v>134.1</v>
      </c>
    </row>
    <row r="2034" spans="6:18" ht="24" customHeight="1">
      <c r="H2034" s="154" t="s">
        <v>1299</v>
      </c>
      <c r="K2034" s="167">
        <f>SUM(K2024:K2032)</f>
        <v>6303.5</v>
      </c>
      <c r="N2034" s="165" t="s">
        <v>589</v>
      </c>
      <c r="O2034" s="154" t="s">
        <v>590</v>
      </c>
      <c r="Q2034" s="154" t="s">
        <v>589</v>
      </c>
      <c r="R2034" s="167">
        <v>0.7</v>
      </c>
    </row>
    <row r="2035" spans="6:18" ht="24" customHeight="1">
      <c r="H2035" s="154"/>
      <c r="N2035" s="156"/>
      <c r="Q2035" s="158"/>
      <c r="R2035" s="162" t="s">
        <v>534</v>
      </c>
    </row>
    <row r="2036" spans="6:18" ht="24" customHeight="1">
      <c r="H2036" s="154"/>
      <c r="K2036" s="162" t="s">
        <v>534</v>
      </c>
      <c r="N2036" s="156"/>
      <c r="O2036" s="154" t="s">
        <v>1299</v>
      </c>
      <c r="Q2036" s="158"/>
      <c r="R2036" s="167"/>
    </row>
    <row r="2037" spans="6:18" ht="24" customHeight="1">
      <c r="H2037" s="154"/>
      <c r="M2037" s="154" t="s">
        <v>22</v>
      </c>
      <c r="N2037" s="156"/>
      <c r="Q2037" s="158"/>
      <c r="R2037" s="199">
        <f>SUM(R2024:R2036)</f>
        <v>6273.6</v>
      </c>
    </row>
    <row r="2038" spans="6:18" ht="24" customHeight="1">
      <c r="F2038" s="155" t="s">
        <v>2403</v>
      </c>
      <c r="G2038" s="165" t="s">
        <v>307</v>
      </c>
      <c r="H2038" s="154" t="s">
        <v>2404</v>
      </c>
      <c r="N2038" s="156"/>
      <c r="Q2038" s="158"/>
      <c r="R2038" s="162" t="s">
        <v>534</v>
      </c>
    </row>
    <row r="2039" spans="6:18" ht="24" customHeight="1">
      <c r="H2039" s="154" t="s">
        <v>2405</v>
      </c>
    </row>
    <row r="2040" spans="6:18" ht="24" customHeight="1">
      <c r="H2040" s="162" t="s">
        <v>534</v>
      </c>
    </row>
    <row r="2041" spans="6:18" ht="24" customHeight="1">
      <c r="G2041" s="165" t="s">
        <v>930</v>
      </c>
      <c r="H2041" s="154" t="s">
        <v>2406</v>
      </c>
    </row>
    <row r="2042" spans="6:18" ht="24" customHeight="1">
      <c r="H2042" s="154" t="s">
        <v>2407</v>
      </c>
    </row>
    <row r="2043" spans="6:18" ht="24" customHeight="1">
      <c r="H2043" s="154" t="s">
        <v>2408</v>
      </c>
    </row>
    <row r="2044" spans="6:18" ht="24" customHeight="1">
      <c r="H2044" s="154" t="s">
        <v>2409</v>
      </c>
    </row>
    <row r="2045" spans="6:18" ht="24" customHeight="1">
      <c r="H2045" s="154" t="s">
        <v>2410</v>
      </c>
    </row>
    <row r="2046" spans="6:18" ht="24" customHeight="1">
      <c r="H2046" s="154" t="s">
        <v>2411</v>
      </c>
    </row>
    <row r="2047" spans="6:18" ht="24" customHeight="1">
      <c r="H2047" s="154" t="s">
        <v>2412</v>
      </c>
    </row>
    <row r="2048" spans="6:18" ht="24" customHeight="1">
      <c r="H2048" s="162" t="s">
        <v>534</v>
      </c>
    </row>
    <row r="2049" spans="6:11" ht="24" customHeight="1">
      <c r="F2049" s="167">
        <v>3</v>
      </c>
      <c r="G2049" s="165" t="s">
        <v>410</v>
      </c>
      <c r="H2049" s="154" t="s">
        <v>2413</v>
      </c>
      <c r="I2049" s="258">
        <f>(C620)</f>
        <v>193.05</v>
      </c>
      <c r="J2049" s="154" t="s">
        <v>410</v>
      </c>
      <c r="K2049" s="167">
        <f t="shared" ref="K2049:K2055" si="224">(F2049*I2049)</f>
        <v>579.15000000000009</v>
      </c>
    </row>
    <row r="2050" spans="6:11" ht="24" customHeight="1">
      <c r="F2050" s="167">
        <v>1</v>
      </c>
      <c r="G2050" s="165" t="s">
        <v>680</v>
      </c>
      <c r="H2050" s="154" t="s">
        <v>2414</v>
      </c>
      <c r="I2050" s="195">
        <v>76</v>
      </c>
      <c r="J2050" s="154" t="s">
        <v>1549</v>
      </c>
      <c r="K2050" s="167">
        <f t="shared" si="224"/>
        <v>76</v>
      </c>
    </row>
    <row r="2051" spans="6:11" ht="24" customHeight="1">
      <c r="F2051" s="167">
        <v>1</v>
      </c>
      <c r="G2051" s="165" t="s">
        <v>680</v>
      </c>
      <c r="H2051" s="154" t="s">
        <v>2415</v>
      </c>
      <c r="I2051" s="167">
        <f>C648</f>
        <v>70</v>
      </c>
      <c r="J2051" s="154" t="s">
        <v>1549</v>
      </c>
      <c r="K2051" s="167">
        <f t="shared" si="224"/>
        <v>70</v>
      </c>
    </row>
    <row r="2052" spans="6:11" ht="24" customHeight="1">
      <c r="F2052" s="167">
        <v>1</v>
      </c>
      <c r="G2052" s="165" t="s">
        <v>680</v>
      </c>
      <c r="H2052" s="154" t="s">
        <v>2416</v>
      </c>
      <c r="I2052" s="167">
        <f>C645</f>
        <v>159.80000000000001</v>
      </c>
      <c r="J2052" s="154" t="s">
        <v>1549</v>
      </c>
      <c r="K2052" s="167">
        <f t="shared" si="224"/>
        <v>159.80000000000001</v>
      </c>
    </row>
    <row r="2053" spans="6:11" ht="24" customHeight="1">
      <c r="F2053" s="167">
        <v>0.5</v>
      </c>
      <c r="G2053" s="165" t="s">
        <v>576</v>
      </c>
      <c r="H2053" s="154" t="s">
        <v>2202</v>
      </c>
      <c r="I2053" s="167">
        <f>(C15)</f>
        <v>622.6</v>
      </c>
      <c r="J2053" s="154" t="s">
        <v>1549</v>
      </c>
      <c r="K2053" s="167">
        <f t="shared" si="224"/>
        <v>311.3</v>
      </c>
    </row>
    <row r="2054" spans="6:11" ht="24" customHeight="1">
      <c r="F2054" s="167">
        <v>0.5</v>
      </c>
      <c r="G2054" s="165" t="s">
        <v>576</v>
      </c>
      <c r="H2054" s="154" t="s">
        <v>752</v>
      </c>
      <c r="I2054" s="167">
        <f>(C11)</f>
        <v>669.90000000000009</v>
      </c>
      <c r="J2054" s="154" t="s">
        <v>1549</v>
      </c>
      <c r="K2054" s="167">
        <f t="shared" si="224"/>
        <v>334.95000000000005</v>
      </c>
    </row>
    <row r="2055" spans="6:11" ht="24" customHeight="1">
      <c r="F2055" s="167">
        <v>0.5</v>
      </c>
      <c r="G2055" s="165" t="s">
        <v>576</v>
      </c>
      <c r="H2055" s="154" t="s">
        <v>754</v>
      </c>
      <c r="I2055" s="167">
        <f>(C12)</f>
        <v>468.6</v>
      </c>
      <c r="J2055" s="154" t="s">
        <v>1549</v>
      </c>
      <c r="K2055" s="167">
        <f t="shared" si="224"/>
        <v>234.3</v>
      </c>
    </row>
    <row r="2056" spans="6:11" ht="24" customHeight="1">
      <c r="G2056" s="165" t="s">
        <v>589</v>
      </c>
      <c r="H2056" s="154" t="s">
        <v>2417</v>
      </c>
      <c r="I2056" s="258">
        <v>2.79</v>
      </c>
      <c r="J2056" s="154" t="s">
        <v>589</v>
      </c>
      <c r="K2056" s="167">
        <v>2.79</v>
      </c>
    </row>
    <row r="2057" spans="6:11" ht="24" customHeight="1">
      <c r="H2057" s="154" t="s">
        <v>2418</v>
      </c>
    </row>
    <row r="2058" spans="6:11" ht="24" customHeight="1">
      <c r="H2058" s="154" t="s">
        <v>2419</v>
      </c>
    </row>
    <row r="2059" spans="6:11" ht="24" customHeight="1">
      <c r="H2059" s="154" t="s">
        <v>2420</v>
      </c>
      <c r="J2059" s="154" t="s">
        <v>589</v>
      </c>
      <c r="K2059" s="167">
        <v>0.12</v>
      </c>
    </row>
    <row r="2060" spans="6:11" ht="24" customHeight="1">
      <c r="K2060" s="162" t="s">
        <v>534</v>
      </c>
    </row>
    <row r="2061" spans="6:11" ht="24" customHeight="1">
      <c r="H2061" s="154" t="s">
        <v>2206</v>
      </c>
      <c r="K2061" s="167">
        <f>SUM(K2049:K2059)</f>
        <v>1768.4099999999999</v>
      </c>
    </row>
    <row r="2062" spans="6:11" ht="24" customHeight="1">
      <c r="K2062" s="162" t="s">
        <v>534</v>
      </c>
    </row>
    <row r="2063" spans="6:11" ht="24" customHeight="1">
      <c r="H2063" s="154" t="s">
        <v>1139</v>
      </c>
      <c r="K2063" s="167">
        <f>(K2061/3)</f>
        <v>589.46999999999991</v>
      </c>
    </row>
    <row r="2064" spans="6:11" ht="24" customHeight="1">
      <c r="K2064" s="162" t="s">
        <v>534</v>
      </c>
    </row>
    <row r="2065" spans="6:11" ht="24" customHeight="1">
      <c r="F2065" s="155" t="s">
        <v>2421</v>
      </c>
      <c r="G2065" s="165" t="s">
        <v>2422</v>
      </c>
      <c r="H2065" s="154" t="s">
        <v>2423</v>
      </c>
    </row>
    <row r="2066" spans="6:11" ht="24" customHeight="1">
      <c r="H2066" s="154" t="s">
        <v>2424</v>
      </c>
    </row>
    <row r="2067" spans="6:11" ht="24" customHeight="1">
      <c r="H2067" s="154" t="s">
        <v>2408</v>
      </c>
    </row>
    <row r="2068" spans="6:11" ht="24" customHeight="1">
      <c r="H2068" s="154" t="s">
        <v>2425</v>
      </c>
    </row>
    <row r="2069" spans="6:11" ht="24" customHeight="1">
      <c r="H2069" s="154" t="s">
        <v>2426</v>
      </c>
    </row>
    <row r="2070" spans="6:11" ht="24" customHeight="1">
      <c r="H2070" s="154" t="s">
        <v>2411</v>
      </c>
    </row>
    <row r="2071" spans="6:11" ht="24" customHeight="1">
      <c r="H2071" s="154" t="s">
        <v>2412</v>
      </c>
    </row>
    <row r="2072" spans="6:11" ht="24" customHeight="1">
      <c r="H2072" s="162" t="s">
        <v>534</v>
      </c>
    </row>
    <row r="2073" spans="6:11" ht="24" customHeight="1">
      <c r="F2073" s="167">
        <v>3</v>
      </c>
      <c r="G2073" s="165" t="s">
        <v>410</v>
      </c>
      <c r="H2073" s="154" t="s">
        <v>2427</v>
      </c>
      <c r="I2073" s="195">
        <f>C621</f>
        <v>115.85</v>
      </c>
      <c r="J2073" s="154" t="s">
        <v>410</v>
      </c>
      <c r="K2073" s="167">
        <f t="shared" ref="K2073:K2079" si="225">(F2073*I2073)</f>
        <v>347.54999999999995</v>
      </c>
    </row>
    <row r="2074" spans="6:11" ht="24" customHeight="1">
      <c r="F2074" s="167">
        <v>1</v>
      </c>
      <c r="G2074" s="165" t="s">
        <v>680</v>
      </c>
      <c r="H2074" s="154" t="s">
        <v>2428</v>
      </c>
      <c r="I2074" s="195">
        <f>C624</f>
        <v>45</v>
      </c>
      <c r="J2074" s="154" t="s">
        <v>1549</v>
      </c>
      <c r="K2074" s="167">
        <f t="shared" si="225"/>
        <v>45</v>
      </c>
    </row>
    <row r="2075" spans="6:11" ht="24" customHeight="1">
      <c r="F2075" s="167">
        <v>1</v>
      </c>
      <c r="G2075" s="165" t="s">
        <v>680</v>
      </c>
      <c r="H2075" s="154" t="s">
        <v>2429</v>
      </c>
      <c r="I2075" s="167">
        <f>C649</f>
        <v>47.3</v>
      </c>
      <c r="J2075" s="154" t="s">
        <v>1549</v>
      </c>
      <c r="K2075" s="167">
        <f t="shared" si="225"/>
        <v>47.3</v>
      </c>
    </row>
    <row r="2076" spans="6:11" ht="24" customHeight="1">
      <c r="F2076" s="167">
        <v>1</v>
      </c>
      <c r="G2076" s="165" t="s">
        <v>680</v>
      </c>
      <c r="H2076" s="154" t="s">
        <v>2430</v>
      </c>
      <c r="I2076" s="167">
        <f>C646</f>
        <v>106.6</v>
      </c>
      <c r="J2076" s="154" t="s">
        <v>1549</v>
      </c>
      <c r="K2076" s="167">
        <f t="shared" si="225"/>
        <v>106.6</v>
      </c>
    </row>
    <row r="2077" spans="6:11" ht="24" customHeight="1">
      <c r="F2077" s="167">
        <v>0.5</v>
      </c>
      <c r="G2077" s="165" t="s">
        <v>576</v>
      </c>
      <c r="H2077" s="154" t="s">
        <v>2202</v>
      </c>
      <c r="I2077" s="167">
        <f>(C15)</f>
        <v>622.6</v>
      </c>
      <c r="J2077" s="154" t="s">
        <v>1549</v>
      </c>
      <c r="K2077" s="167">
        <f t="shared" si="225"/>
        <v>311.3</v>
      </c>
    </row>
    <row r="2078" spans="6:11" ht="24" customHeight="1">
      <c r="F2078" s="167">
        <v>0.5</v>
      </c>
      <c r="G2078" s="165" t="s">
        <v>576</v>
      </c>
      <c r="H2078" s="154" t="s">
        <v>752</v>
      </c>
      <c r="I2078" s="167">
        <f>(C11)</f>
        <v>669.90000000000009</v>
      </c>
      <c r="J2078" s="154" t="s">
        <v>1549</v>
      </c>
      <c r="K2078" s="167">
        <f t="shared" si="225"/>
        <v>334.95000000000005</v>
      </c>
    </row>
    <row r="2079" spans="6:11" ht="24" customHeight="1">
      <c r="F2079" s="167">
        <v>0.5</v>
      </c>
      <c r="G2079" s="165" t="s">
        <v>576</v>
      </c>
      <c r="H2079" s="154" t="s">
        <v>754</v>
      </c>
      <c r="I2079" s="167">
        <f>(C12)</f>
        <v>468.6</v>
      </c>
      <c r="J2079" s="154" t="s">
        <v>1549</v>
      </c>
      <c r="K2079" s="167">
        <f t="shared" si="225"/>
        <v>234.3</v>
      </c>
    </row>
    <row r="2080" spans="6:11" ht="24" customHeight="1">
      <c r="G2080" s="165" t="s">
        <v>589</v>
      </c>
      <c r="H2080" s="154" t="s">
        <v>2417</v>
      </c>
      <c r="I2080" s="154" t="s">
        <v>22</v>
      </c>
      <c r="J2080" s="154" t="s">
        <v>589</v>
      </c>
      <c r="K2080" s="167">
        <v>2.73</v>
      </c>
    </row>
    <row r="2081" spans="6:11" ht="24" customHeight="1">
      <c r="H2081" s="154" t="s">
        <v>2418</v>
      </c>
    </row>
    <row r="2082" spans="6:11" ht="24" customHeight="1">
      <c r="H2082" s="154" t="s">
        <v>2419</v>
      </c>
    </row>
    <row r="2083" spans="6:11" ht="24" customHeight="1">
      <c r="H2083" s="154" t="s">
        <v>2420</v>
      </c>
      <c r="J2083" s="154" t="s">
        <v>589</v>
      </c>
      <c r="K2083" s="167">
        <v>0.27</v>
      </c>
    </row>
    <row r="2084" spans="6:11" ht="24" customHeight="1">
      <c r="K2084" s="162" t="s">
        <v>534</v>
      </c>
    </row>
    <row r="2085" spans="6:11" ht="24" customHeight="1">
      <c r="H2085" s="154" t="s">
        <v>2206</v>
      </c>
      <c r="K2085" s="167">
        <f>SUM(K2073:K2083)</f>
        <v>1430</v>
      </c>
    </row>
    <row r="2086" spans="6:11" ht="24" customHeight="1">
      <c r="K2086" s="162" t="s">
        <v>534</v>
      </c>
    </row>
    <row r="2087" spans="6:11" ht="24" customHeight="1">
      <c r="H2087" s="154" t="s">
        <v>1139</v>
      </c>
      <c r="K2087" s="167">
        <f>(K2085/3)</f>
        <v>476.66666666666669</v>
      </c>
    </row>
    <row r="2088" spans="6:11" ht="24" customHeight="1">
      <c r="K2088" s="162" t="s">
        <v>534</v>
      </c>
    </row>
    <row r="2089" spans="6:11" ht="24" customHeight="1">
      <c r="F2089" s="155" t="s">
        <v>2431</v>
      </c>
      <c r="H2089" s="154" t="s">
        <v>2432</v>
      </c>
    </row>
    <row r="2090" spans="6:11" ht="24" customHeight="1">
      <c r="H2090" s="154" t="s">
        <v>2433</v>
      </c>
    </row>
    <row r="2091" spans="6:11" ht="24" customHeight="1">
      <c r="F2091" s="154" t="s">
        <v>22</v>
      </c>
      <c r="H2091" s="154" t="s">
        <v>2434</v>
      </c>
    </row>
    <row r="2092" spans="6:11" ht="24" customHeight="1">
      <c r="H2092" s="162" t="s">
        <v>534</v>
      </c>
    </row>
    <row r="2093" spans="6:11" ht="24" customHeight="1">
      <c r="F2093" s="167">
        <v>3</v>
      </c>
      <c r="G2093" s="165" t="s">
        <v>2282</v>
      </c>
      <c r="H2093" s="154" t="s">
        <v>2435</v>
      </c>
      <c r="I2093" s="195">
        <f>D620</f>
        <v>120.54</v>
      </c>
      <c r="J2093" s="154" t="s">
        <v>2282</v>
      </c>
      <c r="K2093" s="167">
        <f>(F2093*I2093)</f>
        <v>361.62</v>
      </c>
    </row>
    <row r="2094" spans="6:11" ht="24" customHeight="1">
      <c r="F2094" s="167">
        <v>1</v>
      </c>
      <c r="G2094" s="165" t="s">
        <v>2232</v>
      </c>
      <c r="H2094" s="154" t="s">
        <v>2436</v>
      </c>
      <c r="I2094" s="167">
        <f>C648</f>
        <v>70</v>
      </c>
      <c r="J2094" s="154" t="s">
        <v>2232</v>
      </c>
      <c r="K2094" s="167">
        <f>(F2094*I2094)</f>
        <v>70</v>
      </c>
    </row>
    <row r="2095" spans="6:11" ht="24" customHeight="1">
      <c r="F2095" s="167">
        <v>1</v>
      </c>
      <c r="G2095" s="165" t="s">
        <v>2232</v>
      </c>
      <c r="H2095" s="154" t="s">
        <v>2437</v>
      </c>
      <c r="I2095" s="167">
        <v>8</v>
      </c>
      <c r="J2095" s="154" t="s">
        <v>2232</v>
      </c>
      <c r="K2095" s="167">
        <f>(F2095*I2095)</f>
        <v>8</v>
      </c>
    </row>
    <row r="2096" spans="6:11" ht="24" customHeight="1">
      <c r="F2096" s="155" t="s">
        <v>2285</v>
      </c>
      <c r="H2096" s="154" t="s">
        <v>2438</v>
      </c>
      <c r="I2096" s="155" t="s">
        <v>2285</v>
      </c>
      <c r="K2096" s="167">
        <f>1.21+0.47+0.4</f>
        <v>2.08</v>
      </c>
    </row>
    <row r="2097" spans="6:11" ht="24" customHeight="1">
      <c r="K2097" s="162" t="s">
        <v>534</v>
      </c>
    </row>
    <row r="2098" spans="6:11" ht="24" customHeight="1">
      <c r="H2098" s="154" t="s">
        <v>2439</v>
      </c>
      <c r="K2098" s="167">
        <f>SUM(K2093:K2096)</f>
        <v>441.7</v>
      </c>
    </row>
    <row r="2099" spans="6:11" ht="24" customHeight="1">
      <c r="K2099" s="162" t="s">
        <v>534</v>
      </c>
    </row>
    <row r="2101" spans="6:11" ht="24" customHeight="1">
      <c r="F2101" s="155" t="s">
        <v>2440</v>
      </c>
      <c r="G2101" s="165" t="s">
        <v>307</v>
      </c>
      <c r="H2101" s="154" t="s">
        <v>2441</v>
      </c>
    </row>
    <row r="2102" spans="6:11" ht="24" customHeight="1">
      <c r="H2102" s="154" t="s">
        <v>2442</v>
      </c>
    </row>
    <row r="2103" spans="6:11" ht="24" customHeight="1">
      <c r="H2103" s="162" t="s">
        <v>534</v>
      </c>
    </row>
    <row r="2104" spans="6:11" ht="24" customHeight="1">
      <c r="F2104" s="167">
        <v>1</v>
      </c>
      <c r="G2104" s="165" t="s">
        <v>576</v>
      </c>
      <c r="H2104" s="154" t="s">
        <v>2442</v>
      </c>
      <c r="I2104" s="167">
        <f>(C266)</f>
        <v>165.5</v>
      </c>
      <c r="J2104" s="154" t="s">
        <v>576</v>
      </c>
      <c r="K2104" s="167">
        <f>(F2104*I2104)</f>
        <v>165.5</v>
      </c>
    </row>
    <row r="2105" spans="6:11" ht="24" customHeight="1">
      <c r="F2105" s="167">
        <v>0.05</v>
      </c>
      <c r="G2105" s="165" t="s">
        <v>577</v>
      </c>
      <c r="H2105" s="154" t="s">
        <v>2443</v>
      </c>
      <c r="I2105" s="167">
        <f>(R60)</f>
        <v>3405.6734999999999</v>
      </c>
      <c r="J2105" s="154" t="s">
        <v>577</v>
      </c>
      <c r="K2105" s="167">
        <f>(F2105*I2105)</f>
        <v>170.28367500000002</v>
      </c>
    </row>
    <row r="2106" spans="6:11" ht="24" customHeight="1">
      <c r="F2106" s="167">
        <v>0.5</v>
      </c>
      <c r="G2106" s="165" t="s">
        <v>576</v>
      </c>
      <c r="H2106" s="154" t="s">
        <v>2202</v>
      </c>
      <c r="I2106" s="167">
        <f>(C15)</f>
        <v>622.6</v>
      </c>
      <c r="J2106" s="154" t="s">
        <v>576</v>
      </c>
      <c r="K2106" s="167">
        <f>(F2106*I2106)</f>
        <v>311.3</v>
      </c>
    </row>
    <row r="2107" spans="6:11" ht="24" customHeight="1">
      <c r="F2107" s="167">
        <v>1</v>
      </c>
      <c r="G2107" s="165" t="s">
        <v>576</v>
      </c>
      <c r="H2107" s="154" t="s">
        <v>754</v>
      </c>
      <c r="I2107" s="167">
        <f>(C12)</f>
        <v>468.6</v>
      </c>
      <c r="J2107" s="154" t="s">
        <v>576</v>
      </c>
      <c r="K2107" s="167">
        <f>(F2107*I2107)</f>
        <v>468.6</v>
      </c>
    </row>
    <row r="2108" spans="6:11" ht="24" customHeight="1">
      <c r="F2108" s="167">
        <v>1</v>
      </c>
      <c r="G2108" s="165" t="s">
        <v>576</v>
      </c>
      <c r="H2108" s="154" t="s">
        <v>756</v>
      </c>
      <c r="I2108" s="167">
        <f>(C13)</f>
        <v>404.8</v>
      </c>
      <c r="J2108" s="154" t="s">
        <v>576</v>
      </c>
      <c r="K2108" s="167">
        <f>(F2108*I2108)</f>
        <v>404.8</v>
      </c>
    </row>
    <row r="2109" spans="6:11" ht="24" customHeight="1">
      <c r="G2109" s="165" t="s">
        <v>589</v>
      </c>
      <c r="H2109" s="154" t="s">
        <v>590</v>
      </c>
      <c r="I2109" s="154" t="s">
        <v>22</v>
      </c>
      <c r="J2109" s="154" t="s">
        <v>589</v>
      </c>
      <c r="K2109" s="167">
        <v>0.54</v>
      </c>
    </row>
    <row r="2110" spans="6:11" ht="24" customHeight="1">
      <c r="H2110" s="154" t="s">
        <v>22</v>
      </c>
      <c r="K2110" s="162" t="s">
        <v>534</v>
      </c>
    </row>
    <row r="2111" spans="6:11" ht="24" customHeight="1">
      <c r="H2111" s="154" t="s">
        <v>1299</v>
      </c>
      <c r="K2111" s="167">
        <f>SUM(K2104:K2109)</f>
        <v>1521.0236750000001</v>
      </c>
    </row>
    <row r="2112" spans="6:11" ht="24" customHeight="1">
      <c r="K2112" s="162" t="s">
        <v>528</v>
      </c>
    </row>
    <row r="2113" spans="6:11" ht="24" customHeight="1">
      <c r="F2113" s="155" t="s">
        <v>2444</v>
      </c>
      <c r="G2113" s="165" t="s">
        <v>307</v>
      </c>
      <c r="H2113" s="154" t="s">
        <v>2445</v>
      </c>
    </row>
    <row r="2114" spans="6:11" ht="24" customHeight="1">
      <c r="H2114" s="154" t="s">
        <v>2446</v>
      </c>
    </row>
    <row r="2115" spans="6:11" ht="24" customHeight="1">
      <c r="H2115" s="162" t="s">
        <v>534</v>
      </c>
    </row>
    <row r="2116" spans="6:11" ht="24" customHeight="1">
      <c r="F2116" s="167">
        <v>1</v>
      </c>
      <c r="G2116" s="165" t="s">
        <v>576</v>
      </c>
      <c r="H2116" s="154" t="s">
        <v>2447</v>
      </c>
      <c r="I2116" s="167">
        <f>(D267)</f>
        <v>131.4</v>
      </c>
      <c r="J2116" s="154" t="s">
        <v>576</v>
      </c>
      <c r="K2116" s="167">
        <f>(F2116*I2116)</f>
        <v>131.4</v>
      </c>
    </row>
    <row r="2117" spans="6:11" ht="24" customHeight="1">
      <c r="G2117" s="165" t="s">
        <v>589</v>
      </c>
      <c r="H2117" s="154" t="s">
        <v>2448</v>
      </c>
      <c r="J2117" s="154" t="s">
        <v>589</v>
      </c>
      <c r="K2117" s="167">
        <v>4</v>
      </c>
    </row>
    <row r="2118" spans="6:11" ht="24" customHeight="1">
      <c r="J2118" s="154" t="s">
        <v>22</v>
      </c>
      <c r="K2118" s="162" t="s">
        <v>534</v>
      </c>
    </row>
    <row r="2119" spans="6:11" ht="24" customHeight="1">
      <c r="H2119" s="154" t="s">
        <v>1299</v>
      </c>
      <c r="K2119" s="167">
        <f>SUM(K2116:K2118)</f>
        <v>135.4</v>
      </c>
    </row>
    <row r="2120" spans="6:11" ht="24" customHeight="1">
      <c r="K2120" s="162" t="s">
        <v>534</v>
      </c>
    </row>
    <row r="2121" spans="6:11" ht="24" customHeight="1">
      <c r="F2121" s="155" t="s">
        <v>2449</v>
      </c>
      <c r="G2121" s="165" t="s">
        <v>307</v>
      </c>
      <c r="H2121" s="154" t="s">
        <v>2450</v>
      </c>
    </row>
    <row r="2122" spans="6:11" ht="24" customHeight="1">
      <c r="H2122" s="154" t="s">
        <v>2451</v>
      </c>
    </row>
    <row r="2123" spans="6:11" ht="24" customHeight="1">
      <c r="H2123" s="162" t="s">
        <v>534</v>
      </c>
    </row>
    <row r="2124" spans="6:11" ht="24" customHeight="1">
      <c r="F2124" s="167">
        <v>50</v>
      </c>
      <c r="G2124" s="165" t="s">
        <v>576</v>
      </c>
      <c r="H2124" s="154" t="s">
        <v>2452</v>
      </c>
      <c r="I2124" s="173">
        <f>C204</f>
        <v>61.6</v>
      </c>
      <c r="J2124" s="154" t="s">
        <v>576</v>
      </c>
      <c r="K2124" s="167">
        <f t="shared" ref="K2124:K2133" si="226">(F2124*I2124)</f>
        <v>3080</v>
      </c>
    </row>
    <row r="2125" spans="6:11" ht="24" customHeight="1">
      <c r="F2125" s="167">
        <v>21.6</v>
      </c>
      <c r="G2125" s="165" t="s">
        <v>577</v>
      </c>
      <c r="H2125" s="154" t="s">
        <v>2453</v>
      </c>
      <c r="I2125" s="167">
        <f>(C61*2)</f>
        <v>160.82</v>
      </c>
      <c r="J2125" s="154" t="s">
        <v>577</v>
      </c>
      <c r="K2125" s="167">
        <f t="shared" si="226"/>
        <v>3473.712</v>
      </c>
    </row>
    <row r="2126" spans="6:11" ht="24" customHeight="1">
      <c r="F2126" s="167">
        <v>21.6</v>
      </c>
      <c r="G2126" s="165" t="s">
        <v>577</v>
      </c>
      <c r="H2126" s="154" t="s">
        <v>2383</v>
      </c>
      <c r="I2126" s="167">
        <f>(C26)</f>
        <v>28.05</v>
      </c>
      <c r="J2126" s="154" t="s">
        <v>577</v>
      </c>
      <c r="K2126" s="167">
        <f t="shared" si="226"/>
        <v>605.88000000000011</v>
      </c>
    </row>
    <row r="2127" spans="6:11" ht="24" customHeight="1">
      <c r="F2127" s="167">
        <v>45</v>
      </c>
      <c r="G2127" s="165" t="s">
        <v>420</v>
      </c>
      <c r="H2127" s="154" t="s">
        <v>568</v>
      </c>
      <c r="I2127" s="167">
        <f>(C67/1000)</f>
        <v>5.75</v>
      </c>
      <c r="J2127" s="154" t="s">
        <v>420</v>
      </c>
      <c r="K2127" s="167">
        <f t="shared" si="226"/>
        <v>258.75</v>
      </c>
    </row>
    <row r="2128" spans="6:11" ht="24" customHeight="1">
      <c r="F2128" s="167">
        <v>0.04</v>
      </c>
      <c r="G2128" s="165" t="s">
        <v>577</v>
      </c>
      <c r="H2128" s="154" t="s">
        <v>578</v>
      </c>
      <c r="I2128" s="167">
        <f>(C78)</f>
        <v>1514.4</v>
      </c>
      <c r="J2128" s="154" t="s">
        <v>577</v>
      </c>
      <c r="K2128" s="167">
        <f t="shared" si="226"/>
        <v>60.576000000000008</v>
      </c>
    </row>
    <row r="2129" spans="6:11" ht="24" customHeight="1">
      <c r="F2129" s="167">
        <v>3.63</v>
      </c>
      <c r="G2129" s="165" t="s">
        <v>420</v>
      </c>
      <c r="H2129" s="154" t="s">
        <v>2454</v>
      </c>
      <c r="I2129" s="167">
        <f>(C607)</f>
        <v>11.5</v>
      </c>
      <c r="J2129" s="154" t="s">
        <v>420</v>
      </c>
      <c r="K2129" s="167">
        <f t="shared" si="226"/>
        <v>41.744999999999997</v>
      </c>
    </row>
    <row r="2130" spans="6:11" ht="24" customHeight="1">
      <c r="F2130" s="167">
        <v>2</v>
      </c>
      <c r="G2130" s="165" t="s">
        <v>576</v>
      </c>
      <c r="H2130" s="154" t="s">
        <v>778</v>
      </c>
      <c r="I2130" s="167">
        <f>(C10)</f>
        <v>717.2</v>
      </c>
      <c r="J2130" s="154" t="s">
        <v>576</v>
      </c>
      <c r="K2130" s="167">
        <f t="shared" si="226"/>
        <v>1434.4</v>
      </c>
    </row>
    <row r="2131" spans="6:11" ht="24" customHeight="1">
      <c r="F2131" s="167">
        <v>1</v>
      </c>
      <c r="G2131" s="165" t="s">
        <v>576</v>
      </c>
      <c r="H2131" s="154" t="s">
        <v>2455</v>
      </c>
      <c r="I2131" s="167">
        <f>AE37</f>
        <v>603.90000000000009</v>
      </c>
      <c r="J2131" s="154" t="s">
        <v>576</v>
      </c>
      <c r="K2131" s="167">
        <f t="shared" si="226"/>
        <v>603.90000000000009</v>
      </c>
    </row>
    <row r="2132" spans="6:11" ht="24" customHeight="1">
      <c r="F2132" s="167">
        <v>5</v>
      </c>
      <c r="G2132" s="165" t="s">
        <v>576</v>
      </c>
      <c r="H2132" s="154" t="s">
        <v>754</v>
      </c>
      <c r="I2132" s="167">
        <f>(C12)</f>
        <v>468.6</v>
      </c>
      <c r="J2132" s="154" t="s">
        <v>576</v>
      </c>
      <c r="K2132" s="167">
        <f t="shared" si="226"/>
        <v>2343</v>
      </c>
    </row>
    <row r="2133" spans="6:11" ht="24" customHeight="1">
      <c r="F2133" s="167">
        <v>2</v>
      </c>
      <c r="G2133" s="165" t="s">
        <v>576</v>
      </c>
      <c r="H2133" s="154" t="s">
        <v>756</v>
      </c>
      <c r="I2133" s="167">
        <f>(C13)</f>
        <v>404.8</v>
      </c>
      <c r="J2133" s="154" t="s">
        <v>576</v>
      </c>
      <c r="K2133" s="167">
        <f t="shared" si="226"/>
        <v>809.6</v>
      </c>
    </row>
    <row r="2134" spans="6:11" ht="24" customHeight="1">
      <c r="G2134" s="165" t="s">
        <v>589</v>
      </c>
      <c r="H2134" s="154" t="s">
        <v>2456</v>
      </c>
      <c r="J2134" s="154" t="s">
        <v>589</v>
      </c>
      <c r="K2134" s="167">
        <f>SUM(K2130:K2133)/10+7.5</f>
        <v>526.59</v>
      </c>
    </row>
    <row r="2135" spans="6:11" ht="24" customHeight="1">
      <c r="K2135" s="162" t="s">
        <v>534</v>
      </c>
    </row>
    <row r="2136" spans="6:11" ht="24" customHeight="1">
      <c r="H2136" s="154" t="s">
        <v>2457</v>
      </c>
      <c r="K2136" s="167">
        <f>SUM(K2124:K2134)</f>
        <v>13238.153</v>
      </c>
    </row>
    <row r="2137" spans="6:11" ht="24" customHeight="1">
      <c r="K2137" s="162" t="s">
        <v>534</v>
      </c>
    </row>
    <row r="2138" spans="6:11" ht="24" customHeight="1">
      <c r="H2138" s="154" t="s">
        <v>2458</v>
      </c>
      <c r="K2138" s="167">
        <f>(K2136/30)</f>
        <v>441.27176666666668</v>
      </c>
    </row>
    <row r="2139" spans="6:11" ht="24" customHeight="1">
      <c r="K2139" s="162" t="s">
        <v>528</v>
      </c>
    </row>
    <row r="2141" spans="6:11" ht="24" customHeight="1">
      <c r="F2141" s="155" t="s">
        <v>2459</v>
      </c>
      <c r="G2141" s="165" t="s">
        <v>307</v>
      </c>
      <c r="H2141" s="154" t="s">
        <v>2460</v>
      </c>
    </row>
    <row r="2142" spans="6:11" ht="24" customHeight="1">
      <c r="H2142" s="154" t="s">
        <v>2451</v>
      </c>
    </row>
    <row r="2143" spans="6:11" ht="24" customHeight="1">
      <c r="H2143" s="162" t="s">
        <v>534</v>
      </c>
    </row>
    <row r="2144" spans="6:11" ht="24" customHeight="1">
      <c r="F2144" s="167">
        <v>50</v>
      </c>
      <c r="G2144" s="165" t="s">
        <v>576</v>
      </c>
      <c r="H2144" s="154" t="s">
        <v>2461</v>
      </c>
      <c r="I2144" s="173">
        <f>C205</f>
        <v>99.2</v>
      </c>
      <c r="J2144" s="154" t="s">
        <v>576</v>
      </c>
      <c r="K2144" s="167">
        <f t="shared" ref="K2144:K2153" si="227">(F2144*I2144)</f>
        <v>4960</v>
      </c>
    </row>
    <row r="2145" spans="6:18" ht="24" customHeight="1">
      <c r="F2145" s="167">
        <v>21.6</v>
      </c>
      <c r="G2145" s="165" t="s">
        <v>577</v>
      </c>
      <c r="H2145" s="154" t="s">
        <v>2453</v>
      </c>
      <c r="I2145" s="167">
        <f>(C61*2)</f>
        <v>160.82</v>
      </c>
      <c r="J2145" s="154" t="s">
        <v>577</v>
      </c>
      <c r="K2145" s="167">
        <f t="shared" si="227"/>
        <v>3473.712</v>
      </c>
    </row>
    <row r="2146" spans="6:18" ht="24" customHeight="1">
      <c r="F2146" s="167">
        <v>21.6</v>
      </c>
      <c r="G2146" s="165" t="s">
        <v>577</v>
      </c>
      <c r="H2146" s="154" t="s">
        <v>2383</v>
      </c>
      <c r="I2146" s="167">
        <f>(C26)</f>
        <v>28.05</v>
      </c>
      <c r="J2146" s="154" t="s">
        <v>577</v>
      </c>
      <c r="K2146" s="167">
        <f t="shared" si="227"/>
        <v>605.88000000000011</v>
      </c>
    </row>
    <row r="2147" spans="6:18" ht="24" customHeight="1">
      <c r="F2147" s="167">
        <v>68</v>
      </c>
      <c r="G2147" s="165" t="s">
        <v>420</v>
      </c>
      <c r="H2147" s="154" t="s">
        <v>568</v>
      </c>
      <c r="I2147" s="167">
        <f>(C67/1000)</f>
        <v>5.75</v>
      </c>
      <c r="J2147" s="154" t="s">
        <v>420</v>
      </c>
      <c r="K2147" s="167">
        <f t="shared" si="227"/>
        <v>391</v>
      </c>
    </row>
    <row r="2148" spans="6:18" ht="24" customHeight="1">
      <c r="F2148" s="167">
        <v>7.0000000000000007E-2</v>
      </c>
      <c r="G2148" s="165" t="s">
        <v>577</v>
      </c>
      <c r="H2148" s="154" t="s">
        <v>578</v>
      </c>
      <c r="I2148" s="167">
        <f>(C78)</f>
        <v>1514.4</v>
      </c>
      <c r="J2148" s="154" t="s">
        <v>577</v>
      </c>
      <c r="K2148" s="167">
        <f t="shared" si="227"/>
        <v>106.00800000000001</v>
      </c>
      <c r="M2148" s="155" t="s">
        <v>2459</v>
      </c>
      <c r="N2148" s="165" t="s">
        <v>307</v>
      </c>
      <c r="O2148" s="154" t="s">
        <v>2462</v>
      </c>
      <c r="Q2148" s="158"/>
    </row>
    <row r="2149" spans="6:18" ht="24" customHeight="1">
      <c r="F2149" s="167">
        <v>5.45</v>
      </c>
      <c r="G2149" s="165" t="s">
        <v>420</v>
      </c>
      <c r="H2149" s="154" t="s">
        <v>2454</v>
      </c>
      <c r="I2149" s="167">
        <f>(C607)</f>
        <v>11.5</v>
      </c>
      <c r="J2149" s="154" t="s">
        <v>420</v>
      </c>
      <c r="K2149" s="167">
        <f t="shared" si="227"/>
        <v>62.675000000000004</v>
      </c>
      <c r="N2149" s="156"/>
      <c r="O2149" s="154" t="s">
        <v>2451</v>
      </c>
      <c r="Q2149" s="158"/>
    </row>
    <row r="2150" spans="6:18" ht="24" customHeight="1">
      <c r="F2150" s="167">
        <v>3</v>
      </c>
      <c r="G2150" s="165" t="s">
        <v>576</v>
      </c>
      <c r="H2150" s="154" t="s">
        <v>778</v>
      </c>
      <c r="I2150" s="167">
        <f>(C10)</f>
        <v>717.2</v>
      </c>
      <c r="J2150" s="154" t="s">
        <v>576</v>
      </c>
      <c r="K2150" s="167">
        <f t="shared" si="227"/>
        <v>2151.6000000000004</v>
      </c>
      <c r="N2150" s="156"/>
      <c r="O2150" s="162" t="s">
        <v>534</v>
      </c>
      <c r="Q2150" s="158"/>
    </row>
    <row r="2151" spans="6:18" ht="39" customHeight="1">
      <c r="F2151" s="167">
        <v>2</v>
      </c>
      <c r="G2151" s="165" t="s">
        <v>576</v>
      </c>
      <c r="H2151" s="154" t="s">
        <v>2455</v>
      </c>
      <c r="I2151" s="167">
        <f>AE37</f>
        <v>603.90000000000009</v>
      </c>
      <c r="J2151" s="154" t="s">
        <v>576</v>
      </c>
      <c r="K2151" s="167">
        <f t="shared" si="227"/>
        <v>1207.8000000000002</v>
      </c>
      <c r="M2151" s="167">
        <v>50</v>
      </c>
      <c r="N2151" s="165" t="s">
        <v>576</v>
      </c>
      <c r="O2151" s="210" t="s">
        <v>2463</v>
      </c>
      <c r="P2151" s="415">
        <v>412</v>
      </c>
      <c r="Q2151" s="154" t="s">
        <v>576</v>
      </c>
      <c r="R2151" s="167">
        <f t="shared" ref="R2151:R2160" si="228">(M2151*P2151)</f>
        <v>20600</v>
      </c>
    </row>
    <row r="2152" spans="6:18" ht="24" customHeight="1">
      <c r="F2152" s="167">
        <v>6</v>
      </c>
      <c r="G2152" s="165" t="s">
        <v>576</v>
      </c>
      <c r="H2152" s="154" t="s">
        <v>754</v>
      </c>
      <c r="I2152" s="167">
        <f>(C12)</f>
        <v>468.6</v>
      </c>
      <c r="J2152" s="154" t="s">
        <v>576</v>
      </c>
      <c r="K2152" s="167">
        <f t="shared" si="227"/>
        <v>2811.6000000000004</v>
      </c>
      <c r="M2152" s="167">
        <v>21.6</v>
      </c>
      <c r="N2152" s="165" t="s">
        <v>577</v>
      </c>
      <c r="O2152" s="154" t="s">
        <v>2453</v>
      </c>
      <c r="P2152" s="167">
        <f>I2145</f>
        <v>160.82</v>
      </c>
      <c r="Q2152" s="154" t="s">
        <v>577</v>
      </c>
      <c r="R2152" s="167">
        <f t="shared" si="228"/>
        <v>3473.712</v>
      </c>
    </row>
    <row r="2153" spans="6:18" ht="24" customHeight="1">
      <c r="F2153" s="167">
        <v>3</v>
      </c>
      <c r="G2153" s="165" t="s">
        <v>576</v>
      </c>
      <c r="H2153" s="154" t="s">
        <v>756</v>
      </c>
      <c r="I2153" s="167">
        <f>(C13)</f>
        <v>404.8</v>
      </c>
      <c r="J2153" s="154" t="s">
        <v>576</v>
      </c>
      <c r="K2153" s="167">
        <f t="shared" si="227"/>
        <v>1214.4000000000001</v>
      </c>
      <c r="M2153" s="167">
        <v>21.6</v>
      </c>
      <c r="N2153" s="165" t="s">
        <v>577</v>
      </c>
      <c r="O2153" s="154" t="s">
        <v>2383</v>
      </c>
      <c r="P2153" s="167">
        <f t="shared" ref="P2153:P2160" si="229">I2146</f>
        <v>28.05</v>
      </c>
      <c r="Q2153" s="154" t="s">
        <v>577</v>
      </c>
      <c r="R2153" s="167">
        <f t="shared" si="228"/>
        <v>605.88000000000011</v>
      </c>
    </row>
    <row r="2154" spans="6:18" ht="24" customHeight="1">
      <c r="G2154" s="165" t="s">
        <v>589</v>
      </c>
      <c r="H2154" s="154" t="s">
        <v>2456</v>
      </c>
      <c r="J2154" s="154" t="s">
        <v>589</v>
      </c>
      <c r="K2154" s="167">
        <f>SUM(K2150:K2153)/10+4.8</f>
        <v>743.34000000000015</v>
      </c>
      <c r="M2154" s="167">
        <v>115</v>
      </c>
      <c r="N2154" s="165" t="s">
        <v>420</v>
      </c>
      <c r="O2154" s="154" t="s">
        <v>568</v>
      </c>
      <c r="P2154" s="167">
        <f t="shared" si="229"/>
        <v>5.75</v>
      </c>
      <c r="Q2154" s="154" t="s">
        <v>420</v>
      </c>
      <c r="R2154" s="167">
        <f t="shared" si="228"/>
        <v>661.25</v>
      </c>
    </row>
    <row r="2155" spans="6:18" ht="24" customHeight="1">
      <c r="K2155" s="162" t="s">
        <v>534</v>
      </c>
      <c r="M2155" s="167">
        <v>0.11</v>
      </c>
      <c r="N2155" s="165" t="s">
        <v>577</v>
      </c>
      <c r="O2155" s="154" t="s">
        <v>578</v>
      </c>
      <c r="P2155" s="167">
        <f t="shared" si="229"/>
        <v>1514.4</v>
      </c>
      <c r="Q2155" s="154" t="s">
        <v>577</v>
      </c>
      <c r="R2155" s="167">
        <f t="shared" si="228"/>
        <v>166.584</v>
      </c>
    </row>
    <row r="2156" spans="6:18" ht="24" customHeight="1">
      <c r="H2156" s="154" t="s">
        <v>2457</v>
      </c>
      <c r="K2156" s="167">
        <f>SUM(K2144:K2154)</f>
        <v>17728.014999999999</v>
      </c>
      <c r="M2156" s="167">
        <v>8.35</v>
      </c>
      <c r="N2156" s="165" t="s">
        <v>420</v>
      </c>
      <c r="O2156" s="154" t="s">
        <v>2454</v>
      </c>
      <c r="P2156" s="167">
        <f t="shared" si="229"/>
        <v>11.5</v>
      </c>
      <c r="Q2156" s="154" t="s">
        <v>420</v>
      </c>
      <c r="R2156" s="167">
        <f t="shared" si="228"/>
        <v>96.024999999999991</v>
      </c>
    </row>
    <row r="2157" spans="6:18" ht="24" customHeight="1">
      <c r="K2157" s="162" t="s">
        <v>534</v>
      </c>
      <c r="M2157" s="167">
        <v>5</v>
      </c>
      <c r="N2157" s="165" t="s">
        <v>576</v>
      </c>
      <c r="O2157" s="154" t="s">
        <v>778</v>
      </c>
      <c r="P2157" s="167">
        <f t="shared" si="229"/>
        <v>717.2</v>
      </c>
      <c r="Q2157" s="154" t="s">
        <v>576</v>
      </c>
      <c r="R2157" s="167">
        <f t="shared" si="228"/>
        <v>3586</v>
      </c>
    </row>
    <row r="2158" spans="6:18" ht="24" customHeight="1">
      <c r="H2158" s="154" t="s">
        <v>2458</v>
      </c>
      <c r="K2158" s="167">
        <f>(K2156/30)</f>
        <v>590.93383333333327</v>
      </c>
      <c r="M2158" s="167">
        <v>3</v>
      </c>
      <c r="N2158" s="165" t="s">
        <v>576</v>
      </c>
      <c r="O2158" s="154" t="s">
        <v>2455</v>
      </c>
      <c r="P2158" s="167">
        <f t="shared" si="229"/>
        <v>603.90000000000009</v>
      </c>
      <c r="Q2158" s="154" t="s">
        <v>576</v>
      </c>
      <c r="R2158" s="167">
        <f t="shared" si="228"/>
        <v>1811.7000000000003</v>
      </c>
    </row>
    <row r="2159" spans="6:18" ht="24" customHeight="1">
      <c r="K2159" s="162" t="s">
        <v>528</v>
      </c>
      <c r="M2159" s="167">
        <v>7</v>
      </c>
      <c r="N2159" s="165" t="s">
        <v>576</v>
      </c>
      <c r="O2159" s="154" t="s">
        <v>754</v>
      </c>
      <c r="P2159" s="167">
        <f t="shared" si="229"/>
        <v>468.6</v>
      </c>
      <c r="Q2159" s="154" t="s">
        <v>576</v>
      </c>
      <c r="R2159" s="167">
        <f t="shared" si="228"/>
        <v>3280.2000000000003</v>
      </c>
    </row>
    <row r="2160" spans="6:18" ht="24" customHeight="1">
      <c r="F2160" s="155" t="s">
        <v>2464</v>
      </c>
      <c r="G2160" s="165" t="s">
        <v>307</v>
      </c>
      <c r="H2160" s="154" t="s">
        <v>2450</v>
      </c>
      <c r="M2160" s="167">
        <v>5</v>
      </c>
      <c r="N2160" s="165" t="s">
        <v>576</v>
      </c>
      <c r="O2160" s="154" t="s">
        <v>756</v>
      </c>
      <c r="P2160" s="167">
        <f t="shared" si="229"/>
        <v>404.8</v>
      </c>
      <c r="Q2160" s="154" t="s">
        <v>576</v>
      </c>
      <c r="R2160" s="167">
        <f t="shared" si="228"/>
        <v>2024</v>
      </c>
    </row>
    <row r="2161" spans="6:18" ht="24" customHeight="1">
      <c r="H2161" s="154" t="s">
        <v>2465</v>
      </c>
      <c r="N2161" s="165" t="s">
        <v>589</v>
      </c>
      <c r="O2161" s="154" t="s">
        <v>2456</v>
      </c>
      <c r="Q2161" s="154" t="s">
        <v>589</v>
      </c>
      <c r="R2161" s="167">
        <v>234</v>
      </c>
    </row>
    <row r="2162" spans="6:18" ht="24" customHeight="1">
      <c r="H2162" s="162" t="s">
        <v>534</v>
      </c>
      <c r="N2162" s="156"/>
      <c r="Q2162" s="158"/>
      <c r="R2162" s="162" t="s">
        <v>534</v>
      </c>
    </row>
    <row r="2163" spans="6:18" ht="24" customHeight="1">
      <c r="F2163" s="167">
        <v>50</v>
      </c>
      <c r="G2163" s="165" t="s">
        <v>576</v>
      </c>
      <c r="H2163" s="154" t="s">
        <v>2466</v>
      </c>
      <c r="I2163" s="167">
        <f>C204</f>
        <v>61.6</v>
      </c>
      <c r="J2163" s="154" t="s">
        <v>576</v>
      </c>
      <c r="K2163" s="167">
        <f>(F2163*I2163)</f>
        <v>3080</v>
      </c>
      <c r="N2163" s="156"/>
      <c r="O2163" s="154" t="s">
        <v>2457</v>
      </c>
      <c r="Q2163" s="158"/>
      <c r="R2163" s="167">
        <f>SUM(R2151:R2161)</f>
        <v>36539.351000000002</v>
      </c>
    </row>
    <row r="2164" spans="6:18" ht="24" customHeight="1">
      <c r="F2164" s="167">
        <v>1</v>
      </c>
      <c r="G2164" s="165" t="s">
        <v>576</v>
      </c>
      <c r="H2164" s="154" t="s">
        <v>2455</v>
      </c>
      <c r="I2164" s="167">
        <f>AE37</f>
        <v>603.90000000000009</v>
      </c>
      <c r="J2164" s="154" t="s">
        <v>576</v>
      </c>
      <c r="K2164" s="167">
        <f>(F2164*I2164)</f>
        <v>603.90000000000009</v>
      </c>
      <c r="N2164" s="156"/>
      <c r="Q2164" s="158"/>
      <c r="R2164" s="162" t="s">
        <v>534</v>
      </c>
    </row>
    <row r="2165" spans="6:18" ht="24" customHeight="1">
      <c r="F2165" s="167">
        <v>5</v>
      </c>
      <c r="G2165" s="165" t="s">
        <v>576</v>
      </c>
      <c r="H2165" s="154" t="s">
        <v>754</v>
      </c>
      <c r="I2165" s="167">
        <f>C12</f>
        <v>468.6</v>
      </c>
      <c r="J2165" s="154" t="s">
        <v>576</v>
      </c>
      <c r="K2165" s="167">
        <f>(F2165*I2165)</f>
        <v>2343</v>
      </c>
      <c r="N2165" s="156"/>
      <c r="O2165" s="154" t="s">
        <v>2458</v>
      </c>
      <c r="Q2165" s="158"/>
      <c r="R2165" s="167">
        <f>(R2163/30)</f>
        <v>1217.9783666666667</v>
      </c>
    </row>
    <row r="2166" spans="6:18" ht="24" customHeight="1">
      <c r="H2166" s="154" t="s">
        <v>1699</v>
      </c>
      <c r="K2166" s="263">
        <v>1.8</v>
      </c>
      <c r="N2166" s="156"/>
      <c r="Q2166" s="158"/>
      <c r="R2166" s="162" t="s">
        <v>528</v>
      </c>
    </row>
    <row r="2167" spans="6:18" ht="24" customHeight="1">
      <c r="H2167" s="154" t="s">
        <v>2457</v>
      </c>
      <c r="K2167" s="167">
        <f>SUM(K2163:K2166)</f>
        <v>6028.7</v>
      </c>
    </row>
    <row r="2168" spans="6:18" ht="24" customHeight="1">
      <c r="F2168" s="154" t="s">
        <v>22</v>
      </c>
      <c r="K2168" s="162" t="s">
        <v>534</v>
      </c>
    </row>
    <row r="2169" spans="6:18" ht="24" customHeight="1">
      <c r="H2169" s="154" t="s">
        <v>2458</v>
      </c>
      <c r="K2169" s="167">
        <f>(K2167/30)</f>
        <v>200.95666666666665</v>
      </c>
    </row>
    <row r="2170" spans="6:18" ht="24" customHeight="1">
      <c r="F2170" s="154" t="s">
        <v>22</v>
      </c>
    </row>
    <row r="2171" spans="6:18" ht="24" customHeight="1">
      <c r="F2171" s="154" t="s">
        <v>22</v>
      </c>
    </row>
    <row r="2172" spans="6:18" ht="24" customHeight="1">
      <c r="K2172" s="162" t="s">
        <v>528</v>
      </c>
    </row>
    <row r="2173" spans="6:18" ht="24" customHeight="1">
      <c r="F2173" s="155" t="s">
        <v>2459</v>
      </c>
      <c r="G2173" s="165" t="s">
        <v>307</v>
      </c>
      <c r="H2173" s="154" t="s">
        <v>2460</v>
      </c>
    </row>
    <row r="2174" spans="6:18" ht="24" customHeight="1">
      <c r="H2174" s="167" t="str">
        <f>H2161</f>
        <v>DIA S.W.PIPE(LOOSE JOINTING)</v>
      </c>
    </row>
    <row r="2175" spans="6:18" ht="24" customHeight="1">
      <c r="H2175" s="162" t="s">
        <v>534</v>
      </c>
    </row>
    <row r="2176" spans="6:18" ht="24" customHeight="1">
      <c r="F2176" s="167">
        <v>50</v>
      </c>
      <c r="G2176" s="165" t="s">
        <v>576</v>
      </c>
      <c r="H2176" s="154" t="s">
        <v>2467</v>
      </c>
      <c r="I2176" s="167">
        <f>C205</f>
        <v>99.2</v>
      </c>
      <c r="J2176" s="154" t="s">
        <v>576</v>
      </c>
      <c r="K2176" s="167">
        <f>(F2176*I2176)</f>
        <v>4960</v>
      </c>
    </row>
    <row r="2177" spans="6:11" ht="24" customHeight="1">
      <c r="F2177" s="167">
        <v>2</v>
      </c>
      <c r="G2177" s="165" t="s">
        <v>576</v>
      </c>
      <c r="H2177" s="154" t="s">
        <v>2455</v>
      </c>
      <c r="I2177" s="167">
        <f>AE37</f>
        <v>603.90000000000009</v>
      </c>
      <c r="J2177" s="154" t="s">
        <v>576</v>
      </c>
      <c r="K2177" s="167">
        <f>(F2177*I2177)</f>
        <v>1207.8000000000002</v>
      </c>
    </row>
    <row r="2178" spans="6:11" ht="24" customHeight="1">
      <c r="F2178" s="167">
        <v>6</v>
      </c>
      <c r="G2178" s="165" t="s">
        <v>576</v>
      </c>
      <c r="H2178" s="154" t="s">
        <v>754</v>
      </c>
      <c r="I2178" s="167">
        <f>C12</f>
        <v>468.6</v>
      </c>
      <c r="J2178" s="154" t="s">
        <v>576</v>
      </c>
      <c r="K2178" s="167">
        <f>(F2178*I2178)</f>
        <v>2811.6000000000004</v>
      </c>
    </row>
    <row r="2179" spans="6:11" ht="24" customHeight="1">
      <c r="H2179" s="154" t="s">
        <v>1699</v>
      </c>
      <c r="K2179" s="263">
        <v>0.6</v>
      </c>
    </row>
    <row r="2180" spans="6:11" ht="24" customHeight="1">
      <c r="H2180" s="154" t="s">
        <v>2457</v>
      </c>
      <c r="K2180" s="167">
        <f>SUM(K2176:K2179)</f>
        <v>8980.0000000000018</v>
      </c>
    </row>
    <row r="2181" spans="6:11" ht="24" customHeight="1">
      <c r="K2181" s="162" t="s">
        <v>534</v>
      </c>
    </row>
    <row r="2182" spans="6:11" ht="24" customHeight="1">
      <c r="H2182" s="154" t="s">
        <v>2458</v>
      </c>
      <c r="K2182" s="167">
        <f>(K2180/30)</f>
        <v>299.33333333333337</v>
      </c>
    </row>
    <row r="2183" spans="6:11" ht="24" customHeight="1">
      <c r="K2183" s="162" t="s">
        <v>528</v>
      </c>
    </row>
    <row r="2184" spans="6:11" ht="24" customHeight="1">
      <c r="H2184" s="155" t="s">
        <v>2468</v>
      </c>
      <c r="K2184" s="167">
        <f>SUM(K2181:K2182)</f>
        <v>299.33333333333337</v>
      </c>
    </row>
    <row r="2185" spans="6:11" ht="24" customHeight="1">
      <c r="K2185" s="162" t="s">
        <v>528</v>
      </c>
    </row>
    <row r="2186" spans="6:11" ht="24" customHeight="1">
      <c r="F2186" s="155" t="s">
        <v>2469</v>
      </c>
      <c r="G2186" s="165" t="s">
        <v>307</v>
      </c>
      <c r="H2186" s="154" t="s">
        <v>2450</v>
      </c>
    </row>
    <row r="2187" spans="6:11" ht="24" customHeight="1">
      <c r="H2187" s="154" t="s">
        <v>2470</v>
      </c>
    </row>
    <row r="2188" spans="6:11" ht="24" customHeight="1">
      <c r="H2188" s="162" t="s">
        <v>534</v>
      </c>
    </row>
    <row r="2189" spans="6:11" ht="24" customHeight="1">
      <c r="F2189" s="167">
        <v>1</v>
      </c>
      <c r="G2189" s="165" t="s">
        <v>576</v>
      </c>
      <c r="H2189" s="154" t="s">
        <v>2471</v>
      </c>
      <c r="I2189" s="167">
        <f>C206</f>
        <v>98.7</v>
      </c>
      <c r="J2189" s="154" t="s">
        <v>576</v>
      </c>
      <c r="K2189" s="167">
        <f>(F2189*I2189)</f>
        <v>98.7</v>
      </c>
    </row>
    <row r="2190" spans="6:11" ht="24" customHeight="1">
      <c r="F2190" s="154" t="s">
        <v>22</v>
      </c>
      <c r="H2190" s="154" t="s">
        <v>2472</v>
      </c>
    </row>
    <row r="2191" spans="6:11" ht="24" customHeight="1">
      <c r="F2191" s="154" t="s">
        <v>22</v>
      </c>
      <c r="H2191" s="154" t="s">
        <v>2473</v>
      </c>
      <c r="I2191" s="155" t="s">
        <v>589</v>
      </c>
      <c r="K2191" s="167">
        <v>2.5</v>
      </c>
    </row>
    <row r="2192" spans="6:11" ht="24" customHeight="1">
      <c r="K2192" s="162" t="s">
        <v>534</v>
      </c>
    </row>
    <row r="2193" spans="6:11" ht="24" customHeight="1">
      <c r="H2193" s="154" t="s">
        <v>2457</v>
      </c>
      <c r="K2193" s="167">
        <f>SUM(K2189:K2191)</f>
        <v>101.2</v>
      </c>
    </row>
    <row r="2194" spans="6:11" ht="24" customHeight="1">
      <c r="F2194" s="155" t="s">
        <v>2469</v>
      </c>
      <c r="G2194" s="165" t="s">
        <v>307</v>
      </c>
      <c r="H2194" s="154" t="s">
        <v>2460</v>
      </c>
      <c r="K2194" s="162" t="s">
        <v>534</v>
      </c>
    </row>
    <row r="2195" spans="6:11" ht="24" customHeight="1">
      <c r="H2195" s="154" t="s">
        <v>2470</v>
      </c>
      <c r="K2195" s="167"/>
    </row>
    <row r="2196" spans="6:11" ht="24" customHeight="1">
      <c r="H2196" s="162" t="s">
        <v>534</v>
      </c>
      <c r="K2196" s="162" t="s">
        <v>534</v>
      </c>
    </row>
    <row r="2197" spans="6:11" ht="24" customHeight="1">
      <c r="F2197" s="76">
        <v>1</v>
      </c>
      <c r="G2197" s="156" t="s">
        <v>680</v>
      </c>
      <c r="H2197" s="154" t="s">
        <v>2474</v>
      </c>
      <c r="J2197" s="158">
        <f>E206</f>
        <v>136.69999999999999</v>
      </c>
      <c r="K2197" s="167">
        <f>J2197</f>
        <v>136.69999999999999</v>
      </c>
    </row>
    <row r="2198" spans="6:11" ht="24" customHeight="1">
      <c r="H2198" s="154" t="s">
        <v>2473</v>
      </c>
      <c r="I2198" s="155" t="s">
        <v>589</v>
      </c>
      <c r="K2198" s="167">
        <v>2.5</v>
      </c>
    </row>
    <row r="2199" spans="6:11" ht="24" customHeight="1">
      <c r="F2199" s="155" t="s">
        <v>2475</v>
      </c>
      <c r="G2199" s="165" t="s">
        <v>307</v>
      </c>
      <c r="H2199" s="157" t="s">
        <v>2450</v>
      </c>
      <c r="K2199" s="162" t="s">
        <v>534</v>
      </c>
    </row>
    <row r="2200" spans="6:11" ht="24" customHeight="1">
      <c r="H2200" s="157" t="s">
        <v>2476</v>
      </c>
      <c r="K2200" s="167">
        <f>SUM(K2196:K2198)</f>
        <v>139.19999999999999</v>
      </c>
    </row>
    <row r="2201" spans="6:11" ht="24" customHeight="1">
      <c r="H2201" s="162" t="s">
        <v>534</v>
      </c>
      <c r="K2201" s="162" t="s">
        <v>534</v>
      </c>
    </row>
    <row r="2202" spans="6:11" ht="24" customHeight="1">
      <c r="F2202" s="167">
        <v>1</v>
      </c>
      <c r="G2202" s="165" t="s">
        <v>576</v>
      </c>
      <c r="H2202" s="154" t="s">
        <v>2477</v>
      </c>
      <c r="I2202" s="167">
        <f>C203</f>
        <v>124.4</v>
      </c>
      <c r="J2202" s="154" t="s">
        <v>576</v>
      </c>
      <c r="K2202" s="167">
        <f>(F2202*I2202)</f>
        <v>124.4</v>
      </c>
    </row>
    <row r="2203" spans="6:11" ht="24" customHeight="1">
      <c r="F2203" s="154" t="s">
        <v>22</v>
      </c>
      <c r="H2203" s="154" t="s">
        <v>2472</v>
      </c>
    </row>
    <row r="2204" spans="6:11" ht="24" customHeight="1">
      <c r="F2204" s="154" t="s">
        <v>22</v>
      </c>
      <c r="H2204" s="154" t="s">
        <v>2473</v>
      </c>
      <c r="I2204" s="155" t="s">
        <v>589</v>
      </c>
      <c r="K2204" s="167">
        <v>3</v>
      </c>
    </row>
    <row r="2205" spans="6:11" ht="24" customHeight="1">
      <c r="K2205" s="162" t="s">
        <v>534</v>
      </c>
    </row>
    <row r="2206" spans="6:11" ht="24" customHeight="1">
      <c r="H2206" s="154" t="s">
        <v>2457</v>
      </c>
      <c r="K2206" s="167">
        <f>SUM(K2202:K2204)</f>
        <v>127.4</v>
      </c>
    </row>
    <row r="2207" spans="6:11" ht="24" customHeight="1">
      <c r="K2207" s="162" t="s">
        <v>534</v>
      </c>
    </row>
    <row r="2209" spans="6:12" ht="24" customHeight="1">
      <c r="F2209" s="155" t="s">
        <v>2478</v>
      </c>
      <c r="G2209" s="165" t="s">
        <v>307</v>
      </c>
      <c r="H2209" s="157" t="s">
        <v>2460</v>
      </c>
    </row>
    <row r="2210" spans="6:12" ht="24" customHeight="1">
      <c r="H2210" s="157" t="s">
        <v>2476</v>
      </c>
    </row>
    <row r="2211" spans="6:12" ht="24" customHeight="1">
      <c r="H2211" s="162" t="s">
        <v>534</v>
      </c>
    </row>
    <row r="2212" spans="6:12" ht="24" customHeight="1">
      <c r="F2212" s="167">
        <v>1</v>
      </c>
      <c r="G2212" s="165" t="s">
        <v>576</v>
      </c>
      <c r="H2212" s="154" t="s">
        <v>2479</v>
      </c>
      <c r="I2212" s="167">
        <f>C208</f>
        <v>161.30000000000001</v>
      </c>
      <c r="J2212" s="154" t="s">
        <v>576</v>
      </c>
      <c r="K2212" s="167">
        <f>(F2212*I2212)</f>
        <v>161.30000000000001</v>
      </c>
    </row>
    <row r="2213" spans="6:12" ht="24" customHeight="1">
      <c r="F2213" s="154" t="s">
        <v>22</v>
      </c>
      <c r="H2213" s="154" t="s">
        <v>2472</v>
      </c>
    </row>
    <row r="2214" spans="6:12" ht="24" customHeight="1">
      <c r="F2214" s="154" t="s">
        <v>22</v>
      </c>
      <c r="H2214" s="154" t="s">
        <v>2473</v>
      </c>
      <c r="I2214" s="155" t="s">
        <v>589</v>
      </c>
      <c r="K2214" s="167">
        <v>3</v>
      </c>
    </row>
    <row r="2215" spans="6:12" ht="24" customHeight="1">
      <c r="K2215" s="162" t="s">
        <v>534</v>
      </c>
    </row>
    <row r="2216" spans="6:12" ht="24" customHeight="1">
      <c r="H2216" s="157" t="s">
        <v>2457</v>
      </c>
      <c r="K2216" s="167">
        <f>SUM(K2212:K2214)</f>
        <v>164.3</v>
      </c>
    </row>
    <row r="2217" spans="6:12" ht="24" customHeight="1">
      <c r="K2217" s="162" t="s">
        <v>534</v>
      </c>
    </row>
    <row r="2218" spans="6:12" ht="24" customHeight="1">
      <c r="F2218" s="155" t="s">
        <v>2480</v>
      </c>
      <c r="H2218" s="157" t="s">
        <v>2481</v>
      </c>
    </row>
    <row r="2219" spans="6:12" ht="24" customHeight="1">
      <c r="H2219" s="157" t="s">
        <v>2482</v>
      </c>
    </row>
    <row r="2220" spans="6:12" ht="24" customHeight="1">
      <c r="H2220" s="162" t="s">
        <v>534</v>
      </c>
    </row>
    <row r="2221" spans="6:12" ht="24" customHeight="1">
      <c r="F2221" s="167">
        <v>2.5</v>
      </c>
      <c r="G2221" s="165" t="s">
        <v>2483</v>
      </c>
      <c r="H2221" s="154" t="s">
        <v>2481</v>
      </c>
      <c r="I2221" s="167">
        <f>C588</f>
        <v>30</v>
      </c>
      <c r="J2221" s="154">
        <v>2.5</v>
      </c>
      <c r="K2221" s="416">
        <f>(F2221*I2221)/F2221</f>
        <v>30</v>
      </c>
      <c r="L2221" s="76">
        <f>1394*1.62-K2252</f>
        <v>-1266.9650000000001</v>
      </c>
    </row>
    <row r="2222" spans="6:12" ht="24" customHeight="1">
      <c r="H2222" s="154" t="s">
        <v>2484</v>
      </c>
      <c r="J2222" s="154" t="s">
        <v>2483</v>
      </c>
      <c r="K2222" s="417"/>
    </row>
    <row r="2223" spans="6:12" ht="24" customHeight="1">
      <c r="G2223" s="165" t="s">
        <v>589</v>
      </c>
      <c r="H2223" s="154" t="s">
        <v>2485</v>
      </c>
      <c r="J2223" s="154" t="s">
        <v>589</v>
      </c>
      <c r="K2223" s="274">
        <v>1.87</v>
      </c>
    </row>
    <row r="2224" spans="6:12" ht="24" customHeight="1">
      <c r="K2224" s="162" t="s">
        <v>534</v>
      </c>
    </row>
    <row r="2225" spans="6:11" ht="24" customHeight="1">
      <c r="H2225" s="169" t="s">
        <v>2468</v>
      </c>
      <c r="K2225" s="166">
        <f>SUM(K2221:K2223)</f>
        <v>31.87</v>
      </c>
    </row>
    <row r="2226" spans="6:11" ht="24" customHeight="1">
      <c r="K2226" s="162" t="s">
        <v>528</v>
      </c>
    </row>
    <row r="2228" spans="6:11" ht="24" customHeight="1">
      <c r="F2228" s="155" t="s">
        <v>2486</v>
      </c>
      <c r="G2228" s="165" t="s">
        <v>307</v>
      </c>
      <c r="H2228" s="154" t="s">
        <v>2487</v>
      </c>
    </row>
    <row r="2229" spans="6:11" ht="24" customHeight="1">
      <c r="H2229" s="154" t="s">
        <v>2488</v>
      </c>
    </row>
    <row r="2230" spans="6:11" ht="24" customHeight="1">
      <c r="H2230" s="154" t="s">
        <v>2489</v>
      </c>
    </row>
    <row r="2231" spans="6:11" ht="24" customHeight="1">
      <c r="H2231" s="154" t="s">
        <v>2490</v>
      </c>
    </row>
    <row r="2232" spans="6:11" ht="24" customHeight="1">
      <c r="H2232" s="154" t="s">
        <v>2491</v>
      </c>
    </row>
    <row r="2233" spans="6:11" ht="24" customHeight="1">
      <c r="H2233" s="154" t="s">
        <v>2492</v>
      </c>
    </row>
    <row r="2234" spans="6:11" ht="24" customHeight="1">
      <c r="H2234" s="154" t="s">
        <v>2493</v>
      </c>
    </row>
    <row r="2235" spans="6:11" ht="24" customHeight="1">
      <c r="H2235" s="154" t="s">
        <v>2494</v>
      </c>
    </row>
    <row r="2236" spans="6:11" ht="24" customHeight="1">
      <c r="H2236" s="154" t="s">
        <v>2495</v>
      </c>
    </row>
    <row r="2237" spans="6:11" ht="24" customHeight="1">
      <c r="H2237" s="154" t="s">
        <v>2496</v>
      </c>
    </row>
    <row r="2238" spans="6:11" ht="24" customHeight="1">
      <c r="H2238" s="154" t="s">
        <v>2497</v>
      </c>
    </row>
    <row r="2239" spans="6:11" ht="24" customHeight="1">
      <c r="H2239" s="154" t="s">
        <v>2498</v>
      </c>
    </row>
    <row r="2240" spans="6:11" ht="24" customHeight="1">
      <c r="H2240" s="162" t="s">
        <v>534</v>
      </c>
      <c r="I2240" s="162" t="s">
        <v>534</v>
      </c>
    </row>
    <row r="2241" spans="6:13" ht="24" customHeight="1">
      <c r="F2241" s="154" t="s">
        <v>22</v>
      </c>
    </row>
    <row r="2242" spans="6:13" ht="24" customHeight="1">
      <c r="F2242" s="233">
        <v>1.7399999999999999E-2</v>
      </c>
      <c r="G2242" s="165" t="s">
        <v>238</v>
      </c>
      <c r="H2242" s="154" t="s">
        <v>2499</v>
      </c>
      <c r="I2242" s="167">
        <f>C86</f>
        <v>34300</v>
      </c>
      <c r="J2242" s="154" t="s">
        <v>238</v>
      </c>
      <c r="K2242" s="167">
        <f t="shared" ref="K2242:K2249" si="230">F2242*I2242</f>
        <v>596.81999999999994</v>
      </c>
    </row>
    <row r="2243" spans="6:13" ht="24" customHeight="1">
      <c r="F2243" s="233">
        <v>2.93E-2</v>
      </c>
      <c r="G2243" s="165" t="s">
        <v>238</v>
      </c>
      <c r="H2243" s="154" t="s">
        <v>2500</v>
      </c>
      <c r="I2243" s="167">
        <f>C87</f>
        <v>39400</v>
      </c>
      <c r="J2243" s="154" t="s">
        <v>238</v>
      </c>
      <c r="K2243" s="167">
        <f t="shared" si="230"/>
        <v>1154.42</v>
      </c>
    </row>
    <row r="2244" spans="6:13" ht="24" customHeight="1">
      <c r="F2244" s="233">
        <v>1.093</v>
      </c>
      <c r="G2244" s="165" t="s">
        <v>250</v>
      </c>
      <c r="H2244" s="154" t="s">
        <v>2501</v>
      </c>
      <c r="I2244" s="167">
        <f>C199</f>
        <v>295</v>
      </c>
      <c r="J2244" s="154" t="s">
        <v>250</v>
      </c>
      <c r="K2244" s="167">
        <f t="shared" si="230"/>
        <v>322.435</v>
      </c>
    </row>
    <row r="2245" spans="6:13" ht="24" customHeight="1">
      <c r="F2245" s="167">
        <v>6</v>
      </c>
      <c r="G2245" s="165" t="s">
        <v>1261</v>
      </c>
      <c r="H2245" s="154" t="s">
        <v>2502</v>
      </c>
      <c r="I2245" s="167">
        <f>C297</f>
        <v>7</v>
      </c>
      <c r="J2245" s="154" t="s">
        <v>332</v>
      </c>
      <c r="K2245" s="167">
        <f t="shared" si="230"/>
        <v>42</v>
      </c>
    </row>
    <row r="2246" spans="6:13" ht="24" customHeight="1">
      <c r="F2246" s="167">
        <v>1</v>
      </c>
      <c r="G2246" s="165" t="s">
        <v>1261</v>
      </c>
      <c r="H2246" s="154" t="s">
        <v>2503</v>
      </c>
      <c r="I2246" s="167">
        <f>C287</f>
        <v>88.9</v>
      </c>
      <c r="J2246" s="154" t="s">
        <v>332</v>
      </c>
      <c r="K2246" s="167">
        <f t="shared" si="230"/>
        <v>88.9</v>
      </c>
    </row>
    <row r="2247" spans="6:13" ht="24" customHeight="1">
      <c r="F2247" s="167">
        <v>2</v>
      </c>
      <c r="G2247" s="165" t="s">
        <v>1261</v>
      </c>
      <c r="H2247" s="154" t="s">
        <v>2504</v>
      </c>
      <c r="I2247" s="167">
        <f>C308</f>
        <v>3</v>
      </c>
      <c r="J2247" s="154" t="s">
        <v>332</v>
      </c>
      <c r="K2247" s="167">
        <f t="shared" si="230"/>
        <v>6</v>
      </c>
    </row>
    <row r="2248" spans="6:13" ht="24" customHeight="1">
      <c r="F2248" s="167">
        <v>6</v>
      </c>
      <c r="G2248" s="165" t="s">
        <v>1261</v>
      </c>
      <c r="H2248" s="154" t="s">
        <v>2505</v>
      </c>
      <c r="I2248" s="418">
        <v>10.5</v>
      </c>
      <c r="J2248" s="154" t="s">
        <v>332</v>
      </c>
      <c r="K2248" s="167">
        <f t="shared" si="230"/>
        <v>63</v>
      </c>
    </row>
    <row r="2249" spans="6:13" ht="24" customHeight="1">
      <c r="F2249" s="198">
        <v>1.62</v>
      </c>
      <c r="G2249" s="165" t="s">
        <v>250</v>
      </c>
      <c r="H2249" s="154" t="s">
        <v>2506</v>
      </c>
      <c r="I2249" s="167">
        <f>D33</f>
        <v>770.00000000000011</v>
      </c>
      <c r="J2249" s="154" t="s">
        <v>250</v>
      </c>
      <c r="K2249" s="167">
        <f t="shared" si="230"/>
        <v>1247.4000000000003</v>
      </c>
    </row>
    <row r="2250" spans="6:13" ht="24" customHeight="1">
      <c r="G2250" s="165" t="s">
        <v>589</v>
      </c>
      <c r="H2250" s="154" t="s">
        <v>2507</v>
      </c>
      <c r="J2250" s="154" t="s">
        <v>589</v>
      </c>
      <c r="K2250" s="167">
        <v>4.2699999999999996</v>
      </c>
    </row>
    <row r="2251" spans="6:13" ht="24" customHeight="1">
      <c r="K2251" s="162" t="s">
        <v>534</v>
      </c>
    </row>
    <row r="2252" spans="6:13" ht="24" customHeight="1">
      <c r="H2252" s="169" t="s">
        <v>2508</v>
      </c>
      <c r="K2252" s="166">
        <f>SUM(K2242:K2250)</f>
        <v>3525.2450000000003</v>
      </c>
    </row>
    <row r="2253" spans="6:13" ht="24" customHeight="1">
      <c r="K2253" s="209" t="s">
        <v>534</v>
      </c>
    </row>
    <row r="2254" spans="6:13" ht="24" customHeight="1">
      <c r="K2254" s="199"/>
    </row>
    <row r="2255" spans="6:13" ht="24" customHeight="1">
      <c r="H2255" s="169" t="s">
        <v>2509</v>
      </c>
      <c r="I2255" s="154" t="s">
        <v>22</v>
      </c>
      <c r="K2255" s="166">
        <f>K2252/1.62</f>
        <v>2176.0771604938273</v>
      </c>
      <c r="M2255" s="76">
        <f>1921*1.62</f>
        <v>3112.02</v>
      </c>
    </row>
    <row r="2256" spans="6:13" ht="15" customHeight="1">
      <c r="F2256" s="154" t="s">
        <v>22</v>
      </c>
      <c r="G2256" s="165" t="s">
        <v>22</v>
      </c>
      <c r="H2256" s="154" t="s">
        <v>22</v>
      </c>
      <c r="I2256" s="154" t="s">
        <v>22</v>
      </c>
      <c r="J2256" s="154" t="s">
        <v>22</v>
      </c>
      <c r="M2256" s="76">
        <f>M2255-K2252</f>
        <v>-413.22500000000036</v>
      </c>
    </row>
    <row r="2257" spans="6:12" ht="13.5" hidden="1" customHeight="1"/>
    <row r="2258" spans="6:12" ht="24" customHeight="1">
      <c r="G2258" s="165" t="s">
        <v>898</v>
      </c>
      <c r="H2258" s="157" t="s">
        <v>1576</v>
      </c>
    </row>
    <row r="2259" spans="6:12" ht="24" customHeight="1">
      <c r="H2259" s="154" t="s">
        <v>2510</v>
      </c>
      <c r="L2259" s="76">
        <f>3.6*1.1</f>
        <v>3.9600000000000004</v>
      </c>
    </row>
    <row r="2260" spans="6:12" ht="24" customHeight="1">
      <c r="F2260" s="154" t="s">
        <v>22</v>
      </c>
      <c r="H2260" s="154" t="s">
        <v>2511</v>
      </c>
      <c r="L2260" s="76">
        <f>3.6*1.6</f>
        <v>5.7600000000000007</v>
      </c>
    </row>
    <row r="2261" spans="6:12" ht="35.25" customHeight="1">
      <c r="F2261" s="155" t="s">
        <v>2512</v>
      </c>
      <c r="H2261" s="154" t="s">
        <v>1580</v>
      </c>
      <c r="K2261" s="185">
        <f>[3]Elec.Data!K2860</f>
        <v>1203</v>
      </c>
    </row>
    <row r="2262" spans="6:12" ht="30.75" customHeight="1">
      <c r="F2262" s="155" t="s">
        <v>2513</v>
      </c>
      <c r="H2262" s="155" t="s">
        <v>1584</v>
      </c>
      <c r="K2262" s="185">
        <f>[3]Elec.Data!K2884</f>
        <v>1207</v>
      </c>
    </row>
    <row r="2263" spans="6:12" ht="30.75" customHeight="1">
      <c r="F2263" s="155" t="s">
        <v>2514</v>
      </c>
      <c r="H2263" s="154" t="s">
        <v>1647</v>
      </c>
      <c r="K2263" s="185">
        <f>[3]Elec.Data!K2899</f>
        <v>1235</v>
      </c>
    </row>
    <row r="2264" spans="6:12" ht="30.75" customHeight="1">
      <c r="F2264" s="187">
        <v>65</v>
      </c>
      <c r="H2264" s="154" t="s">
        <v>1586</v>
      </c>
      <c r="K2264" s="185">
        <f>[3]Elec.Data!K2921</f>
        <v>1261</v>
      </c>
    </row>
    <row r="2265" spans="6:12" ht="30.75" customHeight="1">
      <c r="F2265" s="187">
        <v>66</v>
      </c>
      <c r="H2265" s="154" t="s">
        <v>1593</v>
      </c>
      <c r="K2265" s="185">
        <f>[3]Elec.Data!K2945</f>
        <v>2232</v>
      </c>
    </row>
    <row r="2266" spans="6:12" ht="30.75" customHeight="1">
      <c r="F2266" s="187">
        <v>67</v>
      </c>
      <c r="H2266" s="154" t="s">
        <v>1589</v>
      </c>
      <c r="K2266" s="185">
        <f>[3]Elec.Data!K2977</f>
        <v>612</v>
      </c>
    </row>
    <row r="2267" spans="6:12" ht="30.75" customHeight="1">
      <c r="F2267" s="187">
        <v>68</v>
      </c>
      <c r="H2267" s="154" t="s">
        <v>1591</v>
      </c>
      <c r="K2267" s="185">
        <f>[3]Elec.Data!K2965</f>
        <v>842</v>
      </c>
    </row>
    <row r="2268" spans="6:12" ht="30.75" customHeight="1">
      <c r="F2268" s="187">
        <v>69</v>
      </c>
      <c r="H2268" s="154" t="s">
        <v>2515</v>
      </c>
      <c r="K2268" s="185">
        <f>[3]Elec.Data!K2988</f>
        <v>128</v>
      </c>
    </row>
    <row r="2269" spans="6:12" ht="30.75" customHeight="1">
      <c r="F2269" s="187" t="s">
        <v>2516</v>
      </c>
      <c r="H2269" s="154" t="s">
        <v>1656</v>
      </c>
      <c r="K2269" s="185">
        <f>[3]Elec.Data!K3135</f>
        <v>432</v>
      </c>
    </row>
    <row r="2270" spans="6:12" ht="30.75" customHeight="1">
      <c r="F2270" s="187" t="s">
        <v>2517</v>
      </c>
      <c r="H2270" s="154" t="s">
        <v>2518</v>
      </c>
      <c r="J2270" s="160"/>
      <c r="K2270" s="185"/>
      <c r="L2270" s="76">
        <f>37.7*90</f>
        <v>3393.0000000000005</v>
      </c>
    </row>
    <row r="2271" spans="6:12" ht="30.75" customHeight="1">
      <c r="F2271" s="187" t="s">
        <v>2519</v>
      </c>
      <c r="H2271" s="154" t="s">
        <v>2520</v>
      </c>
      <c r="K2271" s="173">
        <v>12</v>
      </c>
    </row>
    <row r="2272" spans="6:12" ht="24" customHeight="1">
      <c r="F2272" s="187" t="s">
        <v>2521</v>
      </c>
      <c r="H2272" s="154" t="s">
        <v>2522</v>
      </c>
      <c r="K2272" s="258">
        <v>10</v>
      </c>
    </row>
    <row r="2273" spans="6:11" ht="24" customHeight="1">
      <c r="F2273" s="187">
        <v>71</v>
      </c>
      <c r="H2273" s="154" t="s">
        <v>1657</v>
      </c>
      <c r="K2273" s="185">
        <f>[6]Elec.Data!K3154</f>
        <v>562</v>
      </c>
    </row>
    <row r="2274" spans="6:11" ht="24" customHeight="1">
      <c r="F2274" s="187">
        <v>72</v>
      </c>
      <c r="H2274" s="154" t="s">
        <v>2523</v>
      </c>
      <c r="K2274" s="258">
        <v>33.9</v>
      </c>
    </row>
    <row r="2275" spans="6:11" ht="24" customHeight="1">
      <c r="F2275" s="187" t="s">
        <v>2524</v>
      </c>
      <c r="H2275" s="154" t="s">
        <v>1660</v>
      </c>
      <c r="K2275" s="185">
        <f>[3]Elec.Data!K3233</f>
        <v>3909</v>
      </c>
    </row>
    <row r="2276" spans="6:11" ht="24" customHeight="1">
      <c r="F2276" s="187" t="s">
        <v>2525</v>
      </c>
      <c r="H2276" s="154" t="s">
        <v>2526</v>
      </c>
      <c r="K2276" s="185">
        <f>[3]Elec.Data!K3221</f>
        <v>3149</v>
      </c>
    </row>
    <row r="2277" spans="6:11" ht="24" customHeight="1">
      <c r="F2277" s="187">
        <v>74</v>
      </c>
      <c r="H2277" s="154" t="s">
        <v>1661</v>
      </c>
      <c r="K2277" s="185">
        <f>[3]Elec.Data!K3277</f>
        <v>404</v>
      </c>
    </row>
    <row r="2278" spans="6:11" ht="24" customHeight="1">
      <c r="F2278" s="187" t="s">
        <v>2527</v>
      </c>
      <c r="H2278" s="154" t="s">
        <v>2528</v>
      </c>
      <c r="K2278" s="185">
        <v>1185</v>
      </c>
    </row>
    <row r="2279" spans="6:11" ht="24" customHeight="1">
      <c r="F2279" s="187" t="s">
        <v>2529</v>
      </c>
      <c r="H2279" s="154" t="s">
        <v>1664</v>
      </c>
    </row>
    <row r="2280" spans="6:11" ht="24" customHeight="1">
      <c r="F2280" s="187">
        <v>112</v>
      </c>
      <c r="H2280" s="154" t="s">
        <v>2530</v>
      </c>
      <c r="K2280" s="185">
        <f>[3]Elec.Data!K3744</f>
        <v>1789.81</v>
      </c>
    </row>
    <row r="2281" spans="6:11" ht="34.5" customHeight="1">
      <c r="F2281" s="187">
        <v>76</v>
      </c>
      <c r="H2281" s="154" t="s">
        <v>1666</v>
      </c>
      <c r="K2281" s="185">
        <f>[3]Elec.Data!K3295</f>
        <v>0</v>
      </c>
    </row>
    <row r="2282" spans="6:11" ht="31.5" customHeight="1">
      <c r="F2282" s="187">
        <v>77</v>
      </c>
      <c r="H2282" s="154" t="s">
        <v>2531</v>
      </c>
      <c r="K2282" s="185">
        <f>[3]Elec.Data!K3080</f>
        <v>156.4</v>
      </c>
    </row>
    <row r="2283" spans="6:11" ht="38.25" customHeight="1">
      <c r="F2283" s="419">
        <v>77.099999999999994</v>
      </c>
      <c r="H2283" s="210" t="s">
        <v>2532</v>
      </c>
      <c r="K2283" s="420">
        <f>[3]Elec.Data!K3105</f>
        <v>202.6</v>
      </c>
    </row>
    <row r="2284" spans="6:11" ht="24" customHeight="1">
      <c r="F2284" s="200">
        <v>77.2</v>
      </c>
      <c r="H2284" s="154" t="s">
        <v>2533</v>
      </c>
      <c r="K2284" s="185">
        <v>500</v>
      </c>
    </row>
    <row r="2285" spans="6:11" ht="24" customHeight="1">
      <c r="F2285" s="200">
        <v>77.3</v>
      </c>
      <c r="H2285" s="154" t="s">
        <v>2534</v>
      </c>
      <c r="K2285" s="195">
        <f>[3]Elec.Data!K3712</f>
        <v>76</v>
      </c>
    </row>
    <row r="2286" spans="6:11" ht="24" customHeight="1">
      <c r="F2286" s="187">
        <v>78</v>
      </c>
      <c r="H2286" s="154" t="s">
        <v>1672</v>
      </c>
      <c r="K2286" s="185">
        <f>[3]Elec.Data!K3319</f>
        <v>2198</v>
      </c>
    </row>
    <row r="2287" spans="6:11" ht="24" customHeight="1">
      <c r="F2287" s="187">
        <v>80</v>
      </c>
      <c r="H2287" s="154" t="s">
        <v>1679</v>
      </c>
      <c r="K2287" s="185">
        <f>[3]Elec.Data!K3441</f>
        <v>660</v>
      </c>
    </row>
    <row r="2288" spans="6:11" ht="24" customHeight="1">
      <c r="F2288" s="187">
        <v>81</v>
      </c>
      <c r="H2288" s="154" t="s">
        <v>1682</v>
      </c>
      <c r="K2288" s="167">
        <f>K2255</f>
        <v>2176.0771604938273</v>
      </c>
    </row>
    <row r="2289" spans="6:33" ht="24" customHeight="1">
      <c r="F2289" s="187">
        <v>82</v>
      </c>
      <c r="H2289" s="154" t="s">
        <v>1684</v>
      </c>
      <c r="K2289" s="185">
        <f>[3]Elec.Data!K3638</f>
        <v>2369</v>
      </c>
    </row>
    <row r="2290" spans="6:33" ht="24" customHeight="1">
      <c r="F2290" s="187">
        <v>87</v>
      </c>
      <c r="H2290" s="154" t="s">
        <v>1687</v>
      </c>
      <c r="K2290" s="185">
        <f>[3]Elec.Data!K3458</f>
        <v>2437</v>
      </c>
    </row>
    <row r="2291" spans="6:33" ht="24" customHeight="1">
      <c r="H2291" s="421" t="s">
        <v>402</v>
      </c>
      <c r="K2291" s="185">
        <f>[3]Elec.Data!K3762</f>
        <v>1640.81</v>
      </c>
    </row>
    <row r="2292" spans="6:33" ht="24" customHeight="1">
      <c r="H2292" s="422" t="s">
        <v>2535</v>
      </c>
      <c r="K2292" s="185">
        <v>137</v>
      </c>
    </row>
    <row r="2293" spans="6:33" ht="28.5" customHeight="1">
      <c r="F2293" s="423">
        <v>77.400000000000006</v>
      </c>
      <c r="H2293" s="424" t="s">
        <v>2536</v>
      </c>
    </row>
    <row r="2294" spans="6:33" ht="27" customHeight="1">
      <c r="H2294" s="154" t="s">
        <v>2510</v>
      </c>
    </row>
    <row r="2295" spans="6:33" ht="42.75" customHeight="1">
      <c r="F2295" s="76">
        <v>90</v>
      </c>
      <c r="G2295" s="156" t="s">
        <v>2537</v>
      </c>
      <c r="H2295" s="401" t="s">
        <v>2538</v>
      </c>
      <c r="I2295" s="425">
        <v>17.100000000000001</v>
      </c>
      <c r="J2295" s="158" t="s">
        <v>2537</v>
      </c>
      <c r="K2295" s="76">
        <f>I2295*F2295</f>
        <v>1539.0000000000002</v>
      </c>
    </row>
    <row r="2296" spans="6:33" ht="24" customHeight="1">
      <c r="F2296" s="76">
        <v>0.15</v>
      </c>
      <c r="G2296" s="156" t="s">
        <v>47</v>
      </c>
      <c r="H2296" s="76" t="s">
        <v>568</v>
      </c>
      <c r="I2296" s="76">
        <f>AC31</f>
        <v>5750</v>
      </c>
      <c r="J2296" s="158" t="s">
        <v>47</v>
      </c>
      <c r="K2296" s="76">
        <f>I2296*F2296</f>
        <v>862.5</v>
      </c>
    </row>
    <row r="2297" spans="6:33" ht="24" customHeight="1">
      <c r="F2297" s="76">
        <v>1</v>
      </c>
      <c r="G2297" s="156" t="s">
        <v>680</v>
      </c>
      <c r="H2297" s="76" t="s">
        <v>2539</v>
      </c>
      <c r="I2297" s="426">
        <f>C809</f>
        <v>568</v>
      </c>
      <c r="J2297" s="158" t="s">
        <v>680</v>
      </c>
      <c r="K2297" s="76">
        <f>I2297*F2297</f>
        <v>568</v>
      </c>
    </row>
    <row r="2298" spans="6:33" ht="24" customHeight="1">
      <c r="F2298" s="76">
        <v>2</v>
      </c>
      <c r="G2298" s="156" t="s">
        <v>680</v>
      </c>
      <c r="H2298" s="76" t="s">
        <v>752</v>
      </c>
      <c r="I2298" s="76">
        <f>AE10</f>
        <v>669.90000000000009</v>
      </c>
      <c r="J2298" s="158" t="s">
        <v>680</v>
      </c>
      <c r="K2298" s="76">
        <f>I2298*F2298</f>
        <v>1339.8000000000002</v>
      </c>
    </row>
    <row r="2299" spans="6:33" ht="24" customHeight="1">
      <c r="F2299" s="76">
        <v>4</v>
      </c>
      <c r="G2299" s="156" t="s">
        <v>680</v>
      </c>
      <c r="H2299" s="76" t="str">
        <f>B810</f>
        <v>Electrical HELPERp-15 it-100</v>
      </c>
      <c r="I2299" s="426">
        <f>C810</f>
        <v>422</v>
      </c>
      <c r="J2299" s="158" t="s">
        <v>680</v>
      </c>
      <c r="K2299" s="76">
        <f>I2299*F2299</f>
        <v>1688</v>
      </c>
    </row>
    <row r="2300" spans="6:33" ht="24" customHeight="1">
      <c r="H2300" s="76" t="s">
        <v>2540</v>
      </c>
      <c r="K2300" s="76">
        <v>11.5</v>
      </c>
    </row>
    <row r="2301" spans="6:33" ht="24" customHeight="1">
      <c r="K2301" s="162" t="s">
        <v>534</v>
      </c>
    </row>
    <row r="2302" spans="6:33" ht="36.75" customHeight="1">
      <c r="H2302" s="154" t="s">
        <v>2541</v>
      </c>
      <c r="K2302" s="167">
        <f>SUM(K2295:K2300)</f>
        <v>6008.8</v>
      </c>
    </row>
    <row r="2303" spans="6:33" ht="24" customHeight="1">
      <c r="K2303" s="162" t="s">
        <v>534</v>
      </c>
    </row>
    <row r="2304" spans="6:33" ht="24" customHeight="1">
      <c r="H2304" s="154" t="s">
        <v>2458</v>
      </c>
      <c r="K2304" s="167">
        <f>(K2302/90)</f>
        <v>66.76444444444445</v>
      </c>
      <c r="AG2304" s="76">
        <v>0</v>
      </c>
    </row>
    <row r="2305" spans="5:253" ht="24" customHeight="1">
      <c r="K2305" s="162" t="s">
        <v>528</v>
      </c>
      <c r="IS2305" s="76">
        <v>0</v>
      </c>
    </row>
    <row r="2307" spans="5:253" ht="24" customHeight="1">
      <c r="F2307" s="257">
        <v>78.099999999999994</v>
      </c>
      <c r="H2307" s="157" t="s">
        <v>2542</v>
      </c>
      <c r="L2307" s="76">
        <f>31.5+85</f>
        <v>116.5</v>
      </c>
    </row>
    <row r="2308" spans="5:253" ht="24" customHeight="1">
      <c r="H2308" s="154" t="s">
        <v>2510</v>
      </c>
      <c r="L2308" s="76">
        <f>L2307*10%</f>
        <v>11.65</v>
      </c>
    </row>
    <row r="2309" spans="5:253" ht="24" customHeight="1">
      <c r="F2309" s="76">
        <v>2.5</v>
      </c>
      <c r="G2309" s="156" t="s">
        <v>680</v>
      </c>
      <c r="H2309" s="76" t="s">
        <v>2543</v>
      </c>
      <c r="I2309" s="264">
        <f>C395</f>
        <v>161.6</v>
      </c>
      <c r="J2309" s="158" t="s">
        <v>680</v>
      </c>
      <c r="K2309" s="76">
        <f t="shared" ref="K2309:K2314" si="231">I2309*F2309</f>
        <v>404</v>
      </c>
    </row>
    <row r="2310" spans="5:253" ht="24" customHeight="1">
      <c r="F2310" s="76">
        <v>20</v>
      </c>
      <c r="G2310" s="156" t="s">
        <v>2300</v>
      </c>
      <c r="H2310" s="427" t="s">
        <v>2544</v>
      </c>
      <c r="I2310" s="428">
        <f>[3]Elec.Data!I3313</f>
        <v>4.78</v>
      </c>
      <c r="J2310" s="158" t="s">
        <v>2300</v>
      </c>
      <c r="K2310" s="76">
        <f t="shared" si="231"/>
        <v>95.600000000000009</v>
      </c>
    </row>
    <row r="2311" spans="5:253" ht="24" customHeight="1">
      <c r="F2311" s="76">
        <v>9</v>
      </c>
      <c r="G2311" s="156" t="s">
        <v>2300</v>
      </c>
      <c r="H2311" s="76" t="s">
        <v>2545</v>
      </c>
      <c r="I2311" s="264">
        <f>[3]Elec.Data!I3316</f>
        <v>3.69</v>
      </c>
      <c r="J2311" s="158" t="s">
        <v>2300</v>
      </c>
      <c r="K2311" s="76">
        <f t="shared" si="231"/>
        <v>33.21</v>
      </c>
    </row>
    <row r="2312" spans="5:253" ht="51.75" customHeight="1">
      <c r="F2312" s="76">
        <v>0.5</v>
      </c>
      <c r="G2312" s="156" t="s">
        <v>2300</v>
      </c>
      <c r="H2312" s="76" t="s">
        <v>2546</v>
      </c>
      <c r="I2312" s="429">
        <f>[3]Elec.Data!I3289</f>
        <v>81.8</v>
      </c>
      <c r="J2312" s="158" t="s">
        <v>2300</v>
      </c>
      <c r="K2312" s="76">
        <f t="shared" si="231"/>
        <v>40.9</v>
      </c>
    </row>
    <row r="2313" spans="5:253" ht="36.75" customHeight="1">
      <c r="E2313" s="159">
        <f>24/5</f>
        <v>4.8</v>
      </c>
      <c r="F2313" s="76">
        <v>0.5</v>
      </c>
      <c r="G2313" s="156" t="s">
        <v>680</v>
      </c>
      <c r="H2313" s="76" t="s">
        <v>2547</v>
      </c>
      <c r="I2313" s="76">
        <f>I2297</f>
        <v>568</v>
      </c>
      <c r="J2313" s="158" t="s">
        <v>680</v>
      </c>
      <c r="K2313" s="76">
        <f t="shared" si="231"/>
        <v>284</v>
      </c>
    </row>
    <row r="2314" spans="5:253" ht="24" customHeight="1">
      <c r="F2314" s="76">
        <v>1</v>
      </c>
      <c r="G2314" s="156" t="s">
        <v>680</v>
      </c>
      <c r="H2314" s="76" t="s">
        <v>2548</v>
      </c>
      <c r="I2314" s="76">
        <f>I2299</f>
        <v>422</v>
      </c>
      <c r="J2314" s="158" t="s">
        <v>680</v>
      </c>
      <c r="K2314" s="76">
        <f t="shared" si="231"/>
        <v>422</v>
      </c>
    </row>
    <row r="2315" spans="5:253" ht="45.75" customHeight="1">
      <c r="G2315" s="156" t="s">
        <v>519</v>
      </c>
      <c r="H2315" s="271" t="s">
        <v>2549</v>
      </c>
      <c r="J2315" s="158" t="s">
        <v>519</v>
      </c>
      <c r="K2315" s="76">
        <v>200</v>
      </c>
    </row>
    <row r="2316" spans="5:253" ht="24" customHeight="1">
      <c r="G2316" s="156" t="s">
        <v>519</v>
      </c>
      <c r="H2316" s="76" t="s">
        <v>2550</v>
      </c>
      <c r="J2316" s="158" t="s">
        <v>519</v>
      </c>
      <c r="K2316" s="76">
        <v>8.32</v>
      </c>
    </row>
    <row r="2317" spans="5:253" ht="24" customHeight="1">
      <c r="K2317" s="162" t="s">
        <v>534</v>
      </c>
    </row>
    <row r="2318" spans="5:253" ht="24" customHeight="1">
      <c r="H2318" s="76" t="s">
        <v>1747</v>
      </c>
      <c r="K2318" s="167">
        <f>SUM(K2309:K2316)</f>
        <v>1488.03</v>
      </c>
      <c r="L2318" s="76">
        <f>K2352/3</f>
        <v>27.494</v>
      </c>
    </row>
    <row r="2319" spans="5:253" ht="27" customHeight="1">
      <c r="K2319" s="162" t="s">
        <v>534</v>
      </c>
    </row>
    <row r="2320" spans="5:253" ht="45" customHeight="1">
      <c r="H2320" s="199" t="s">
        <v>2551</v>
      </c>
    </row>
    <row r="2321" spans="6:19" ht="24" customHeight="1">
      <c r="F2321" s="76">
        <v>0.7</v>
      </c>
      <c r="G2321" s="156" t="s">
        <v>680</v>
      </c>
      <c r="H2321" s="76" t="s">
        <v>2552</v>
      </c>
      <c r="I2321" s="76">
        <f>C17</f>
        <v>633.6</v>
      </c>
      <c r="J2321" s="158" t="s">
        <v>332</v>
      </c>
      <c r="K2321" s="76">
        <f>I2321*F2321</f>
        <v>443.52</v>
      </c>
      <c r="S2321" s="159">
        <f>R2359+R2360</f>
        <v>636.07500000000005</v>
      </c>
    </row>
    <row r="2322" spans="6:19" ht="24" customHeight="1">
      <c r="F2322" s="76">
        <v>0.5</v>
      </c>
      <c r="G2322" s="156" t="s">
        <v>680</v>
      </c>
      <c r="H2322" s="76" t="s">
        <v>2553</v>
      </c>
      <c r="I2322" s="76">
        <f>C12</f>
        <v>468.6</v>
      </c>
      <c r="J2322" s="158" t="s">
        <v>332</v>
      </c>
      <c r="K2322" s="76">
        <f>I2322*F2322</f>
        <v>234.3</v>
      </c>
    </row>
    <row r="2323" spans="6:19" ht="24" customHeight="1">
      <c r="H2323" s="76" t="s">
        <v>2554</v>
      </c>
      <c r="K2323" s="76">
        <f>SUM(K2321:K2322)</f>
        <v>677.81999999999994</v>
      </c>
    </row>
    <row r="2324" spans="6:19" ht="24" customHeight="1">
      <c r="H2324" s="76" t="s">
        <v>2555</v>
      </c>
      <c r="K2324" s="199">
        <f>K2323/8.16</f>
        <v>83.066176470588232</v>
      </c>
    </row>
    <row r="2326" spans="6:19" ht="24" customHeight="1">
      <c r="H2326" s="199" t="s">
        <v>2556</v>
      </c>
    </row>
    <row r="2327" spans="6:19" ht="24" customHeight="1">
      <c r="F2327" s="76">
        <v>2</v>
      </c>
      <c r="G2327" s="156" t="s">
        <v>31</v>
      </c>
      <c r="H2327" s="76" t="s">
        <v>2557</v>
      </c>
      <c r="I2327" s="430">
        <v>60.3</v>
      </c>
      <c r="J2327" s="158" t="s">
        <v>31</v>
      </c>
      <c r="K2327" s="76">
        <f>I2327*F2327</f>
        <v>120.6</v>
      </c>
    </row>
    <row r="2328" spans="6:19" ht="24" customHeight="1">
      <c r="F2328" s="76">
        <v>0.2</v>
      </c>
      <c r="G2328" s="156" t="s">
        <v>31</v>
      </c>
      <c r="H2328" s="76" t="s">
        <v>2558</v>
      </c>
      <c r="I2328" s="76">
        <f>C143/1000</f>
        <v>43.75</v>
      </c>
      <c r="J2328" s="158" t="s">
        <v>31</v>
      </c>
      <c r="K2328" s="76">
        <f>I2328*F2328</f>
        <v>8.75</v>
      </c>
    </row>
    <row r="2329" spans="6:19" ht="24" customHeight="1">
      <c r="F2329" s="76">
        <v>2</v>
      </c>
      <c r="G2329" s="156" t="s">
        <v>31</v>
      </c>
      <c r="H2329" s="76" t="s">
        <v>2559</v>
      </c>
      <c r="I2329" s="76">
        <f>K2324</f>
        <v>83.066176470588232</v>
      </c>
      <c r="J2329" s="158" t="s">
        <v>31</v>
      </c>
      <c r="K2329" s="76">
        <f>I2329*F2329</f>
        <v>166.13235294117646</v>
      </c>
    </row>
    <row r="2330" spans="6:19" ht="24" customHeight="1">
      <c r="H2330" s="76" t="s">
        <v>2560</v>
      </c>
      <c r="K2330" s="76">
        <f>SUM(K2327:K2329)</f>
        <v>295.48235294117649</v>
      </c>
    </row>
    <row r="2331" spans="6:19" ht="24" customHeight="1">
      <c r="H2331" s="76" t="s">
        <v>2561</v>
      </c>
      <c r="K2331" s="199">
        <f>K2330/10</f>
        <v>29.548235294117649</v>
      </c>
    </row>
    <row r="2333" spans="6:19" ht="24" customHeight="1">
      <c r="H2333" s="199" t="s">
        <v>2562</v>
      </c>
      <c r="N2333" s="156"/>
      <c r="O2333" s="199" t="s">
        <v>2563</v>
      </c>
      <c r="Q2333" s="158"/>
    </row>
    <row r="2334" spans="6:19" ht="24" customHeight="1">
      <c r="F2334" s="76">
        <v>0.25</v>
      </c>
      <c r="G2334" s="156" t="s">
        <v>1261</v>
      </c>
      <c r="H2334" s="76" t="s">
        <v>2564</v>
      </c>
      <c r="I2334" s="76">
        <f>C11</f>
        <v>669.90000000000009</v>
      </c>
      <c r="J2334" s="158" t="s">
        <v>332</v>
      </c>
      <c r="K2334" s="76">
        <f>I2334*F2334</f>
        <v>167.47500000000002</v>
      </c>
      <c r="M2334" s="76">
        <v>15</v>
      </c>
      <c r="N2334" s="156" t="s">
        <v>141</v>
      </c>
      <c r="O2334" s="341" t="s">
        <v>2565</v>
      </c>
      <c r="P2334" s="231">
        <v>155.69999999999999</v>
      </c>
      <c r="Q2334" s="158" t="s">
        <v>141</v>
      </c>
      <c r="R2334" s="76">
        <f>P2334*M2334</f>
        <v>2335.5</v>
      </c>
    </row>
    <row r="2335" spans="6:19" ht="24" customHeight="1">
      <c r="F2335" s="76">
        <v>1</v>
      </c>
      <c r="G2335" s="156" t="s">
        <v>1261</v>
      </c>
      <c r="H2335" s="76" t="s">
        <v>2553</v>
      </c>
      <c r="I2335" s="76">
        <f>C12</f>
        <v>468.6</v>
      </c>
      <c r="J2335" s="158" t="s">
        <v>332</v>
      </c>
      <c r="K2335" s="76">
        <f>I2335*F2335</f>
        <v>468.6</v>
      </c>
      <c r="M2335" s="76">
        <v>0.5</v>
      </c>
      <c r="N2335" s="156" t="s">
        <v>31</v>
      </c>
      <c r="O2335" s="76" t="s">
        <v>2558</v>
      </c>
      <c r="P2335" s="76">
        <f>C143/1000</f>
        <v>43.75</v>
      </c>
      <c r="Q2335" s="158" t="s">
        <v>31</v>
      </c>
      <c r="R2335" s="76">
        <f>P2335*M2335</f>
        <v>21.875</v>
      </c>
    </row>
    <row r="2336" spans="6:19" ht="24" customHeight="1">
      <c r="G2336" s="158" t="s">
        <v>589</v>
      </c>
      <c r="H2336" s="76" t="s">
        <v>2566</v>
      </c>
      <c r="I2336" s="76">
        <f>SUM(K2334:K2335)*10/100</f>
        <v>63.607500000000002</v>
      </c>
      <c r="J2336" s="158" t="s">
        <v>589</v>
      </c>
      <c r="K2336" s="76">
        <f>I2336</f>
        <v>63.607500000000002</v>
      </c>
      <c r="M2336" s="76">
        <v>0.5</v>
      </c>
      <c r="N2336" s="156" t="s">
        <v>1261</v>
      </c>
      <c r="O2336" s="76" t="s">
        <v>2552</v>
      </c>
      <c r="P2336" s="76">
        <f>C17</f>
        <v>633.6</v>
      </c>
      <c r="Q2336" s="158" t="s">
        <v>31</v>
      </c>
      <c r="R2336" s="76">
        <f>P2336*M2336</f>
        <v>316.8</v>
      </c>
    </row>
    <row r="2337" spans="4:18" ht="24" customHeight="1">
      <c r="H2337" s="76" t="s">
        <v>2567</v>
      </c>
      <c r="K2337" s="76">
        <f>SUM(K2334:K2336)</f>
        <v>699.6825</v>
      </c>
      <c r="M2337" s="76">
        <v>0.5</v>
      </c>
      <c r="N2337" s="156" t="s">
        <v>1261</v>
      </c>
      <c r="O2337" s="76" t="s">
        <v>2553</v>
      </c>
      <c r="P2337" s="76">
        <f>C12</f>
        <v>468.6</v>
      </c>
      <c r="Q2337" s="158" t="s">
        <v>31</v>
      </c>
      <c r="R2337" s="76">
        <f>P2337*M2337</f>
        <v>234.3</v>
      </c>
    </row>
    <row r="2338" spans="4:18" ht="24" customHeight="1">
      <c r="H2338" s="76" t="s">
        <v>2568</v>
      </c>
      <c r="K2338" s="199">
        <f>K2337/2.44</f>
        <v>286.75512295081967</v>
      </c>
      <c r="N2338" s="156"/>
      <c r="O2338" s="76" t="s">
        <v>2569</v>
      </c>
      <c r="Q2338" s="158"/>
      <c r="R2338" s="76">
        <f>SUM(R2334:R2337)</f>
        <v>2908.4750000000004</v>
      </c>
    </row>
    <row r="2339" spans="4:18" ht="24" customHeight="1">
      <c r="K2339" s="76">
        <v>0</v>
      </c>
      <c r="O2339" s="199" t="s">
        <v>2570</v>
      </c>
      <c r="Q2339" s="158"/>
      <c r="R2339" s="199">
        <f>R2338/15</f>
        <v>193.89833333333337</v>
      </c>
    </row>
    <row r="2340" spans="4:18" ht="24" customHeight="1">
      <c r="H2340" s="199" t="s">
        <v>2571</v>
      </c>
    </row>
    <row r="2341" spans="4:18" ht="24" customHeight="1">
      <c r="F2341" s="159">
        <v>7.0999999999999994E-2</v>
      </c>
      <c r="G2341" s="156" t="s">
        <v>2572</v>
      </c>
      <c r="H2341" s="76" t="s">
        <v>2573</v>
      </c>
      <c r="I2341" s="76">
        <f>K280</f>
        <v>6546.9380000000001</v>
      </c>
      <c r="J2341" s="158" t="s">
        <v>2574</v>
      </c>
      <c r="K2341" s="76">
        <f>I2341*F2341</f>
        <v>464.83259799999996</v>
      </c>
    </row>
    <row r="2342" spans="4:18" ht="24" customHeight="1">
      <c r="F2342" s="76">
        <v>1</v>
      </c>
      <c r="G2342" s="156" t="s">
        <v>2282</v>
      </c>
      <c r="H2342" s="76" t="s">
        <v>964</v>
      </c>
      <c r="I2342" s="76">
        <f>K2338</f>
        <v>286.75512295081967</v>
      </c>
      <c r="J2342" s="158" t="s">
        <v>2282</v>
      </c>
      <c r="K2342" s="76">
        <f>I2342*F2342</f>
        <v>286.75512295081967</v>
      </c>
    </row>
    <row r="2343" spans="4:18" ht="43.5" customHeight="1">
      <c r="F2343" s="76" t="s">
        <v>22</v>
      </c>
      <c r="H2343" s="76" t="s">
        <v>2575</v>
      </c>
      <c r="K2343" s="199">
        <f>SUM(K2341:K2342)</f>
        <v>751.58772095081963</v>
      </c>
      <c r="N2343" s="156"/>
      <c r="O2343" s="1013" t="s">
        <v>2576</v>
      </c>
      <c r="P2343" s="1014"/>
      <c r="Q2343" s="1014"/>
    </row>
    <row r="2344" spans="4:18" ht="51" customHeight="1">
      <c r="M2344" s="76">
        <v>0.47</v>
      </c>
      <c r="N2344" s="156" t="s">
        <v>238</v>
      </c>
      <c r="O2344" s="76" t="s">
        <v>2275</v>
      </c>
      <c r="P2344" s="76">
        <f>K90</f>
        <v>160.82</v>
      </c>
      <c r="Q2344" s="158" t="s">
        <v>332</v>
      </c>
      <c r="R2344" s="76">
        <f>P2344*M2344</f>
        <v>75.585399999999993</v>
      </c>
    </row>
    <row r="2346" spans="4:18" ht="36.75" customHeight="1">
      <c r="H2346" s="431" t="s">
        <v>2577</v>
      </c>
      <c r="K2346" s="159"/>
      <c r="M2346" s="76">
        <v>0.24</v>
      </c>
      <c r="N2346" s="156" t="s">
        <v>238</v>
      </c>
      <c r="O2346" s="76" t="s">
        <v>2578</v>
      </c>
      <c r="P2346" s="76">
        <f>AC15</f>
        <v>1116.8800000000001</v>
      </c>
      <c r="Q2346" s="158" t="s">
        <v>332</v>
      </c>
      <c r="R2346" s="76">
        <f>P2346*M2346</f>
        <v>268.05119999999999</v>
      </c>
    </row>
    <row r="2347" spans="4:18" ht="41.25" customHeight="1">
      <c r="D2347" s="76">
        <f>24/5</f>
        <v>4.8</v>
      </c>
      <c r="F2347" s="76">
        <v>98.5</v>
      </c>
      <c r="G2347" s="295" t="s">
        <v>410</v>
      </c>
      <c r="H2347" s="432" t="s">
        <v>2579</v>
      </c>
      <c r="I2347" s="433">
        <f>E2313</f>
        <v>4.8</v>
      </c>
      <c r="J2347" s="158" t="s">
        <v>410</v>
      </c>
      <c r="K2347" s="76">
        <f>I2347*F2347</f>
        <v>472.79999999999995</v>
      </c>
      <c r="M2347" s="76">
        <v>0.79</v>
      </c>
      <c r="N2347" s="158" t="s">
        <v>250</v>
      </c>
      <c r="O2347" s="270" t="s">
        <v>2580</v>
      </c>
      <c r="P2347" s="76">
        <f>X559</f>
        <v>1200.5552805316286</v>
      </c>
      <c r="Q2347" s="158" t="s">
        <v>589</v>
      </c>
      <c r="R2347" s="76">
        <f>P2347*M2347</f>
        <v>948.43867161998662</v>
      </c>
    </row>
    <row r="2348" spans="4:18" ht="24" customHeight="1">
      <c r="F2348" s="76">
        <v>0.3</v>
      </c>
      <c r="G2348" s="156" t="s">
        <v>410</v>
      </c>
      <c r="H2348" s="76" t="s">
        <v>1659</v>
      </c>
      <c r="I2348" s="76">
        <f>C16</f>
        <v>701.80000000000007</v>
      </c>
      <c r="J2348" s="158" t="s">
        <v>332</v>
      </c>
      <c r="K2348" s="76">
        <f>I2348*F2348</f>
        <v>210.54000000000002</v>
      </c>
      <c r="M2348" s="76">
        <v>0.24</v>
      </c>
      <c r="N2348" s="156" t="s">
        <v>238</v>
      </c>
      <c r="O2348" s="76" t="s">
        <v>286</v>
      </c>
      <c r="P2348" s="76">
        <f>I140</f>
        <v>1514.4</v>
      </c>
      <c r="Q2348" s="158"/>
      <c r="R2348" s="76">
        <f>P2348*M2348</f>
        <v>363.45600000000002</v>
      </c>
    </row>
    <row r="2349" spans="4:18" ht="24" customHeight="1">
      <c r="F2349" s="76">
        <v>0.3</v>
      </c>
      <c r="G2349" s="76" t="s">
        <v>410</v>
      </c>
      <c r="H2349" s="76" t="s">
        <v>2553</v>
      </c>
      <c r="I2349" s="76">
        <f>C12</f>
        <v>468.6</v>
      </c>
      <c r="J2349" s="158" t="s">
        <v>332</v>
      </c>
      <c r="K2349" s="76">
        <f>I2349*F2349</f>
        <v>140.58000000000001</v>
      </c>
      <c r="N2349" s="156"/>
      <c r="O2349" s="76" t="s">
        <v>1699</v>
      </c>
      <c r="Q2349" s="158"/>
      <c r="R2349" s="76" t="s">
        <v>2581</v>
      </c>
    </row>
    <row r="2350" spans="4:18" ht="24" customHeight="1">
      <c r="H2350" s="76" t="s">
        <v>215</v>
      </c>
      <c r="K2350" s="76">
        <v>0.9</v>
      </c>
      <c r="R2350" s="199">
        <f>SUM(R2344:R2348)</f>
        <v>1655.5312716199865</v>
      </c>
    </row>
    <row r="2351" spans="4:18" ht="24" customHeight="1">
      <c r="H2351" s="199" t="s">
        <v>2582</v>
      </c>
      <c r="K2351" s="199">
        <f>SUM(K2347:K2350)</f>
        <v>824.81999999999994</v>
      </c>
      <c r="R2351" s="76" t="s">
        <v>2583</v>
      </c>
    </row>
    <row r="2352" spans="4:18" ht="24" customHeight="1">
      <c r="H2352" s="199" t="s">
        <v>2584</v>
      </c>
      <c r="K2352" s="199">
        <f>K2351/10</f>
        <v>82.481999999999999</v>
      </c>
      <c r="R2352" s="76">
        <v>0</v>
      </c>
    </row>
    <row r="2353" spans="6:18" ht="24" customHeight="1">
      <c r="H2353" s="199" t="s">
        <v>2585</v>
      </c>
      <c r="K2353" s="199">
        <f>K2352/3</f>
        <v>27.494</v>
      </c>
      <c r="N2353" s="156"/>
      <c r="O2353" s="1013" t="s">
        <v>2586</v>
      </c>
      <c r="P2353" s="1014"/>
      <c r="Q2353" s="1014"/>
    </row>
    <row r="2354" spans="6:18" ht="24" customHeight="1">
      <c r="G2354" s="342" t="s">
        <v>2587</v>
      </c>
      <c r="H2354" s="264" t="s">
        <v>2588</v>
      </c>
      <c r="I2354" s="199">
        <f>I2356-K2352</f>
        <v>627.66622000000007</v>
      </c>
      <c r="K2354" s="199"/>
      <c r="M2354" s="76">
        <v>1</v>
      </c>
      <c r="N2354" s="156" t="s">
        <v>238</v>
      </c>
      <c r="O2354" s="76" t="s">
        <v>964</v>
      </c>
      <c r="P2354" s="76">
        <f>R2365</f>
        <v>286.75512295081967</v>
      </c>
      <c r="Q2354" s="158" t="s">
        <v>332</v>
      </c>
      <c r="R2354" s="76">
        <f>P2354*M2354</f>
        <v>286.75512295081967</v>
      </c>
    </row>
    <row r="2355" spans="6:18" ht="24" customHeight="1">
      <c r="G2355" s="227"/>
      <c r="H2355" s="264"/>
      <c r="I2355" s="199"/>
      <c r="K2355" s="199"/>
      <c r="M2355" s="159">
        <v>7.0999999999999994E-2</v>
      </c>
      <c r="N2355" s="156" t="s">
        <v>238</v>
      </c>
      <c r="O2355" s="76" t="s">
        <v>2578</v>
      </c>
      <c r="P2355" s="76">
        <f>P2346</f>
        <v>1116.8800000000001</v>
      </c>
      <c r="Q2355" s="158" t="s">
        <v>332</v>
      </c>
      <c r="R2355" s="76">
        <f>P2355*M2355</f>
        <v>79.298479999999998</v>
      </c>
    </row>
    <row r="2356" spans="6:18" ht="24" customHeight="1">
      <c r="G2356" s="342" t="s">
        <v>1530</v>
      </c>
      <c r="H2356" s="264" t="s">
        <v>2589</v>
      </c>
      <c r="I2356" s="199">
        <f>K770</f>
        <v>710.14822000000004</v>
      </c>
      <c r="K2356" s="199"/>
      <c r="R2356" s="76" t="s">
        <v>2581</v>
      </c>
    </row>
    <row r="2357" spans="6:18" ht="24" customHeight="1">
      <c r="G2357" s="227"/>
      <c r="H2357" s="264"/>
      <c r="I2357" s="199"/>
      <c r="K2357" s="199"/>
      <c r="N2357" s="158"/>
      <c r="Q2357" s="158"/>
      <c r="R2357" s="199">
        <f>SUM(R2354:R2355)</f>
        <v>366.05360295081965</v>
      </c>
    </row>
    <row r="2358" spans="6:18" ht="34.5" customHeight="1">
      <c r="G2358" s="434" t="s">
        <v>1563</v>
      </c>
      <c r="H2358" s="435" t="s">
        <v>2590</v>
      </c>
      <c r="I2358" s="199">
        <f>I2356*1.2</f>
        <v>852.177864</v>
      </c>
      <c r="K2358" s="199"/>
      <c r="N2358" s="156"/>
      <c r="Q2358" s="158"/>
      <c r="R2358" s="76" t="s">
        <v>2581</v>
      </c>
    </row>
    <row r="2359" spans="6:18" ht="24" customHeight="1">
      <c r="G2359" s="342"/>
      <c r="H2359" s="264"/>
      <c r="K2359" s="199"/>
      <c r="M2359" s="76">
        <v>0.25</v>
      </c>
      <c r="N2359" s="156" t="s">
        <v>42</v>
      </c>
      <c r="O2359" s="76" t="s">
        <v>2591</v>
      </c>
      <c r="P2359" s="76">
        <f>AE10</f>
        <v>669.90000000000009</v>
      </c>
      <c r="Q2359" s="158"/>
      <c r="R2359" s="76">
        <f>P2359*M2359</f>
        <v>167.47500000000002</v>
      </c>
    </row>
    <row r="2360" spans="6:18" ht="24" customHeight="1">
      <c r="G2360" s="342" t="s">
        <v>2592</v>
      </c>
      <c r="H2360" s="264" t="s">
        <v>2593</v>
      </c>
      <c r="I2360" s="199">
        <f>I2356*1.1</f>
        <v>781.16304200000013</v>
      </c>
      <c r="K2360" s="199"/>
      <c r="M2360" s="76">
        <v>1</v>
      </c>
      <c r="N2360" s="156" t="s">
        <v>42</v>
      </c>
      <c r="O2360" s="76" t="s">
        <v>2594</v>
      </c>
      <c r="P2360" s="76">
        <f>AE11</f>
        <v>468.6</v>
      </c>
      <c r="R2360" s="76">
        <f>P2360*M2360</f>
        <v>468.6</v>
      </c>
    </row>
    <row r="2361" spans="6:18" ht="42" customHeight="1">
      <c r="H2361" s="264"/>
      <c r="K2361" s="199"/>
      <c r="M2361" s="76">
        <v>1</v>
      </c>
      <c r="N2361" s="76" t="s">
        <v>42</v>
      </c>
      <c r="O2361" s="401" t="s">
        <v>2595</v>
      </c>
      <c r="P2361" s="76" t="s">
        <v>519</v>
      </c>
      <c r="R2361" s="76">
        <f>(R2359+R2360)*10%</f>
        <v>63.607500000000009</v>
      </c>
    </row>
    <row r="2362" spans="6:18" ht="24" customHeight="1">
      <c r="R2362" s="76" t="s">
        <v>2581</v>
      </c>
    </row>
    <row r="2363" spans="6:18" ht="24" customHeight="1">
      <c r="H2363" s="199" t="s">
        <v>2596</v>
      </c>
      <c r="R2363" s="199">
        <f>SUM(R2359:R2361)</f>
        <v>699.6825</v>
      </c>
    </row>
    <row r="2364" spans="6:18" ht="24" customHeight="1">
      <c r="F2364" s="76">
        <v>11.5</v>
      </c>
      <c r="G2364" s="156" t="s">
        <v>250</v>
      </c>
      <c r="H2364" s="260" t="s">
        <v>2597</v>
      </c>
      <c r="I2364" s="192">
        <v>184.2</v>
      </c>
      <c r="J2364" s="158" t="s">
        <v>250</v>
      </c>
      <c r="K2364" s="76">
        <f t="shared" ref="K2364:K2369" si="232">F2364*I2364</f>
        <v>2118.2999999999997</v>
      </c>
      <c r="R2364" s="76" t="s">
        <v>2581</v>
      </c>
    </row>
    <row r="2365" spans="6:18" ht="24" customHeight="1">
      <c r="F2365" s="76">
        <v>2</v>
      </c>
      <c r="G2365" s="156" t="s">
        <v>2598</v>
      </c>
      <c r="H2365" s="260" t="s">
        <v>2599</v>
      </c>
      <c r="I2365" s="192">
        <v>190.7</v>
      </c>
      <c r="J2365" s="158" t="s">
        <v>2600</v>
      </c>
      <c r="K2365" s="76">
        <f t="shared" si="232"/>
        <v>381.4</v>
      </c>
      <c r="R2365" s="76">
        <f>R2363/2.44</f>
        <v>286.75512295081967</v>
      </c>
    </row>
    <row r="2366" spans="6:18" ht="24" customHeight="1">
      <c r="F2366" s="76">
        <v>20</v>
      </c>
      <c r="G2366" s="156" t="s">
        <v>2601</v>
      </c>
      <c r="H2366" s="436" t="s">
        <v>2602</v>
      </c>
      <c r="I2366" s="192">
        <v>3.8</v>
      </c>
      <c r="J2366" s="158" t="s">
        <v>2601</v>
      </c>
      <c r="K2366" s="76">
        <f t="shared" si="232"/>
        <v>76</v>
      </c>
    </row>
    <row r="2367" spans="6:18" ht="24" customHeight="1">
      <c r="F2367" s="76">
        <v>2.2000000000000002</v>
      </c>
      <c r="G2367" s="156" t="s">
        <v>42</v>
      </c>
      <c r="H2367" s="76" t="s">
        <v>2603</v>
      </c>
      <c r="I2367" s="76">
        <f>AE18</f>
        <v>616</v>
      </c>
      <c r="J2367" s="158" t="s">
        <v>332</v>
      </c>
      <c r="K2367" s="76">
        <f t="shared" si="232"/>
        <v>1355.2</v>
      </c>
    </row>
    <row r="2368" spans="6:18" ht="24" customHeight="1">
      <c r="F2368" s="76">
        <v>1.1000000000000001</v>
      </c>
      <c r="G2368" s="156" t="s">
        <v>42</v>
      </c>
      <c r="H2368" s="76" t="s">
        <v>2604</v>
      </c>
      <c r="I2368" s="76">
        <f>C16</f>
        <v>701.80000000000007</v>
      </c>
      <c r="J2368" s="158" t="s">
        <v>332</v>
      </c>
      <c r="K2368" s="76">
        <f t="shared" si="232"/>
        <v>771.98000000000013</v>
      </c>
    </row>
    <row r="2369" spans="6:18" ht="24" customHeight="1">
      <c r="F2369" s="76">
        <v>3.2</v>
      </c>
      <c r="G2369" s="156" t="s">
        <v>42</v>
      </c>
      <c r="H2369" s="76" t="s">
        <v>2605</v>
      </c>
      <c r="I2369" s="76">
        <f>C12</f>
        <v>468.6</v>
      </c>
      <c r="J2369" s="158" t="s">
        <v>332</v>
      </c>
      <c r="K2369" s="76">
        <f t="shared" si="232"/>
        <v>1499.5200000000002</v>
      </c>
      <c r="O2369" s="160"/>
    </row>
    <row r="2370" spans="6:18" ht="24" customHeight="1">
      <c r="H2370" s="76" t="s">
        <v>2606</v>
      </c>
      <c r="J2370" s="158" t="s">
        <v>589</v>
      </c>
      <c r="K2370" s="76">
        <v>0.5</v>
      </c>
      <c r="N2370" s="156"/>
      <c r="O2370" s="437" t="s">
        <v>2607</v>
      </c>
      <c r="Q2370" s="158"/>
    </row>
    <row r="2371" spans="6:18" ht="24" customHeight="1">
      <c r="K2371" s="202" t="s">
        <v>1892</v>
      </c>
      <c r="M2371" s="76">
        <v>11</v>
      </c>
      <c r="N2371" s="156" t="s">
        <v>250</v>
      </c>
      <c r="O2371" s="264" t="s">
        <v>2608</v>
      </c>
      <c r="P2371" s="188">
        <f>I2364</f>
        <v>184.2</v>
      </c>
      <c r="Q2371" s="158" t="s">
        <v>250</v>
      </c>
      <c r="R2371" s="76">
        <f>M2371*P2371</f>
        <v>2026.1999999999998</v>
      </c>
    </row>
    <row r="2372" spans="6:18" ht="24" customHeight="1">
      <c r="H2372" s="437" t="s">
        <v>2609</v>
      </c>
      <c r="K2372" s="199">
        <f>SUM(K2364:K2371)</f>
        <v>6202.9000000000005</v>
      </c>
      <c r="M2372" s="76">
        <v>20</v>
      </c>
      <c r="N2372" s="158" t="s">
        <v>393</v>
      </c>
      <c r="O2372" s="264" t="s">
        <v>2610</v>
      </c>
      <c r="P2372" s="188">
        <f>I2366</f>
        <v>3.8</v>
      </c>
      <c r="Q2372" s="158" t="s">
        <v>393</v>
      </c>
      <c r="R2372" s="76">
        <f>M2372*P2372</f>
        <v>76</v>
      </c>
    </row>
    <row r="2373" spans="6:18" ht="24" customHeight="1">
      <c r="K2373" s="202" t="s">
        <v>1892</v>
      </c>
      <c r="M2373" s="76">
        <v>2.2000000000000002</v>
      </c>
      <c r="N2373" s="156" t="s">
        <v>42</v>
      </c>
      <c r="O2373" s="76" t="s">
        <v>2603</v>
      </c>
      <c r="P2373" s="76">
        <f>AE18</f>
        <v>616</v>
      </c>
      <c r="Q2373" s="158" t="s">
        <v>332</v>
      </c>
      <c r="R2373" s="76">
        <f>M2373*P2373</f>
        <v>1355.2</v>
      </c>
    </row>
    <row r="2374" spans="6:18" ht="24" customHeight="1">
      <c r="H2374" s="437" t="s">
        <v>2263</v>
      </c>
      <c r="I2374" s="76" t="s">
        <v>22</v>
      </c>
      <c r="K2374" s="199">
        <f>K2372/10</f>
        <v>620.29000000000008</v>
      </c>
      <c r="M2374" s="76">
        <v>1.1000000000000001</v>
      </c>
      <c r="N2374" s="156" t="s">
        <v>42</v>
      </c>
      <c r="O2374" s="76" t="s">
        <v>2604</v>
      </c>
      <c r="P2374" s="76">
        <f>I2368</f>
        <v>701.80000000000007</v>
      </c>
      <c r="Q2374" s="158" t="s">
        <v>332</v>
      </c>
      <c r="R2374" s="76">
        <f>M2374*P2374</f>
        <v>771.98000000000013</v>
      </c>
    </row>
    <row r="2375" spans="6:18" ht="24" customHeight="1">
      <c r="K2375" s="202" t="s">
        <v>1892</v>
      </c>
      <c r="M2375" s="76">
        <v>3.2</v>
      </c>
      <c r="N2375" s="156" t="s">
        <v>42</v>
      </c>
      <c r="O2375" s="76" t="s">
        <v>2605</v>
      </c>
      <c r="P2375" s="76">
        <f>I2369</f>
        <v>468.6</v>
      </c>
      <c r="Q2375" s="158" t="s">
        <v>332</v>
      </c>
      <c r="R2375" s="76">
        <f>M2375*P2375</f>
        <v>1499.5200000000002</v>
      </c>
    </row>
    <row r="2376" spans="6:18" ht="24" customHeight="1">
      <c r="N2376" s="156"/>
      <c r="O2376" s="76" t="s">
        <v>2606</v>
      </c>
      <c r="Q2376" s="158" t="s">
        <v>519</v>
      </c>
      <c r="R2376" s="76">
        <v>0.74</v>
      </c>
    </row>
    <row r="2378" spans="6:18" ht="39" customHeight="1">
      <c r="G2378" s="76"/>
      <c r="H2378" s="438" t="s">
        <v>2611</v>
      </c>
      <c r="N2378" s="156"/>
      <c r="Q2378" s="158"/>
      <c r="R2378" s="202" t="s">
        <v>1892</v>
      </c>
    </row>
    <row r="2379" spans="6:18" ht="24" customHeight="1">
      <c r="G2379" s="76"/>
      <c r="N2379" s="156"/>
      <c r="O2379" s="437" t="s">
        <v>2609</v>
      </c>
      <c r="Q2379" s="158"/>
      <c r="R2379" s="199">
        <f>SUM(R2371:R2378)</f>
        <v>5729.64</v>
      </c>
    </row>
    <row r="2380" spans="6:18" ht="24" customHeight="1">
      <c r="F2380" s="76" t="s">
        <v>864</v>
      </c>
      <c r="G2380" s="76"/>
      <c r="H2380" s="76" t="s">
        <v>2612</v>
      </c>
      <c r="N2380" s="156"/>
      <c r="Q2380" s="158"/>
      <c r="R2380" s="202" t="s">
        <v>1892</v>
      </c>
    </row>
    <row r="2381" spans="6:18" ht="24" customHeight="1">
      <c r="G2381" s="76"/>
      <c r="H2381" s="76" t="s">
        <v>2613</v>
      </c>
      <c r="N2381" s="156"/>
      <c r="O2381" s="437" t="s">
        <v>2614</v>
      </c>
      <c r="Q2381" s="158"/>
      <c r="R2381" s="199">
        <f>R2379/10</f>
        <v>572.96400000000006</v>
      </c>
    </row>
    <row r="2382" spans="6:18" ht="24" customHeight="1">
      <c r="G2382" s="76"/>
      <c r="N2382" s="156"/>
      <c r="Q2382" s="158"/>
      <c r="R2382" s="202" t="s">
        <v>1892</v>
      </c>
    </row>
    <row r="2383" spans="6:18" ht="24" customHeight="1">
      <c r="F2383" s="76">
        <v>1.96</v>
      </c>
      <c r="G2383" s="76" t="s">
        <v>238</v>
      </c>
      <c r="H2383" s="76" t="s">
        <v>2615</v>
      </c>
      <c r="I2383" s="76">
        <f>K1713</f>
        <v>4832.5154999999995</v>
      </c>
      <c r="J2383" s="154" t="s">
        <v>577</v>
      </c>
      <c r="K2383" s="167">
        <f t="shared" ref="K2383:K2388" si="233">(F2383*I2383)</f>
        <v>9471.7303799999991</v>
      </c>
    </row>
    <row r="2384" spans="6:18" ht="24" customHeight="1">
      <c r="F2384" s="76">
        <v>2</v>
      </c>
      <c r="G2384" s="76" t="s">
        <v>42</v>
      </c>
      <c r="H2384" s="76" t="s">
        <v>2616</v>
      </c>
      <c r="I2384" s="76">
        <f>C10</f>
        <v>717.2</v>
      </c>
      <c r="J2384" s="154" t="s">
        <v>576</v>
      </c>
      <c r="K2384" s="167">
        <f t="shared" si="233"/>
        <v>1434.4</v>
      </c>
    </row>
    <row r="2385" spans="5:18" ht="24" customHeight="1">
      <c r="F2385" s="76">
        <v>2</v>
      </c>
      <c r="G2385" s="76" t="s">
        <v>42</v>
      </c>
      <c r="H2385" s="76" t="s">
        <v>2617</v>
      </c>
      <c r="I2385" s="76">
        <f>C13</f>
        <v>404.8</v>
      </c>
      <c r="J2385" s="154" t="s">
        <v>576</v>
      </c>
      <c r="K2385" s="167">
        <f t="shared" si="233"/>
        <v>809.6</v>
      </c>
      <c r="N2385" s="165" t="s">
        <v>307</v>
      </c>
      <c r="Q2385" s="158"/>
    </row>
    <row r="2386" spans="5:18" ht="24" customHeight="1">
      <c r="F2386" s="76">
        <v>0.28000000000000003</v>
      </c>
      <c r="G2386" s="76" t="s">
        <v>250</v>
      </c>
      <c r="H2386" s="76" t="s">
        <v>2618</v>
      </c>
      <c r="I2386" s="76">
        <f>I2354</f>
        <v>627.66622000000007</v>
      </c>
      <c r="J2386" s="154" t="s">
        <v>576</v>
      </c>
      <c r="K2386" s="167">
        <f t="shared" si="233"/>
        <v>175.74654160000003</v>
      </c>
      <c r="N2386" s="156"/>
      <c r="O2386" s="154" t="s">
        <v>2619</v>
      </c>
      <c r="Q2386" s="160"/>
    </row>
    <row r="2387" spans="5:18" ht="24" customHeight="1">
      <c r="F2387" s="76">
        <v>500</v>
      </c>
      <c r="G2387" s="76" t="s">
        <v>42</v>
      </c>
      <c r="H2387" s="439" t="s">
        <v>2620</v>
      </c>
      <c r="I2387" s="76">
        <v>2</v>
      </c>
      <c r="J2387" s="154" t="s">
        <v>576</v>
      </c>
      <c r="K2387" s="167">
        <f t="shared" si="233"/>
        <v>1000</v>
      </c>
      <c r="N2387" s="156"/>
      <c r="O2387" s="154" t="s">
        <v>2621</v>
      </c>
      <c r="Q2387" s="160"/>
    </row>
    <row r="2388" spans="5:18" ht="24" customHeight="1">
      <c r="F2388" s="76">
        <v>8.5</v>
      </c>
      <c r="G2388" s="76" t="s">
        <v>2622</v>
      </c>
      <c r="H2388" s="440" t="s">
        <v>2623</v>
      </c>
      <c r="I2388" s="261">
        <v>43.6</v>
      </c>
      <c r="J2388" s="158" t="s">
        <v>2622</v>
      </c>
      <c r="K2388" s="167">
        <f t="shared" si="233"/>
        <v>370.6</v>
      </c>
      <c r="N2388" s="156"/>
      <c r="O2388" s="154" t="s">
        <v>2624</v>
      </c>
      <c r="Q2388" s="160"/>
    </row>
    <row r="2389" spans="5:18" ht="24" customHeight="1">
      <c r="G2389" s="76"/>
      <c r="H2389" s="76" t="s">
        <v>1699</v>
      </c>
      <c r="K2389" s="263">
        <v>1.96</v>
      </c>
      <c r="N2389" s="156"/>
      <c r="O2389" s="154" t="s">
        <v>2625</v>
      </c>
      <c r="Q2389" s="160"/>
    </row>
    <row r="2390" spans="5:18" ht="24" customHeight="1">
      <c r="G2390" s="76"/>
      <c r="I2390" s="76" t="s">
        <v>2626</v>
      </c>
      <c r="K2390" s="167">
        <f>SUM(K2383:K2389)</f>
        <v>13264.036921599998</v>
      </c>
      <c r="N2390" s="156"/>
      <c r="O2390" s="162" t="s">
        <v>534</v>
      </c>
      <c r="P2390" s="162" t="s">
        <v>534</v>
      </c>
      <c r="Q2390" s="160"/>
      <c r="R2390" s="167"/>
    </row>
    <row r="2391" spans="5:18" ht="24" customHeight="1">
      <c r="G2391" s="76"/>
      <c r="K2391" s="162" t="s">
        <v>534</v>
      </c>
      <c r="M2391" s="76">
        <v>8</v>
      </c>
      <c r="N2391" s="165" t="s">
        <v>1882</v>
      </c>
      <c r="O2391" s="154" t="s">
        <v>2627</v>
      </c>
      <c r="P2391" s="441">
        <v>4.0999999999999996</v>
      </c>
      <c r="Q2391" s="155" t="s">
        <v>332</v>
      </c>
      <c r="R2391" s="167">
        <f>P2391*M2391</f>
        <v>32.799999999999997</v>
      </c>
    </row>
    <row r="2392" spans="5:18" ht="24" customHeight="1">
      <c r="E2392" s="76">
        <f>23+26.65</f>
        <v>49.65</v>
      </c>
      <c r="G2392" s="76"/>
      <c r="I2392" s="76" t="s">
        <v>2570</v>
      </c>
      <c r="K2392" s="166">
        <f>K2390/39.2</f>
        <v>338.36828881632647</v>
      </c>
      <c r="M2392" s="76">
        <v>8</v>
      </c>
      <c r="N2392" s="165" t="s">
        <v>1882</v>
      </c>
      <c r="O2392" s="154" t="s">
        <v>2628</v>
      </c>
      <c r="P2392" s="441">
        <v>3.69</v>
      </c>
      <c r="Q2392" s="155" t="s">
        <v>332</v>
      </c>
      <c r="R2392" s="167">
        <f>P2392*M2392</f>
        <v>29.52</v>
      </c>
    </row>
    <row r="2393" spans="5:18" ht="24" customHeight="1">
      <c r="E2393" s="76">
        <f>E2392/2</f>
        <v>24.824999999999999</v>
      </c>
      <c r="G2393" s="76"/>
      <c r="K2393" s="162" t="s">
        <v>528</v>
      </c>
      <c r="M2393" s="76">
        <v>8</v>
      </c>
      <c r="N2393" s="165" t="s">
        <v>1882</v>
      </c>
      <c r="O2393" s="154" t="s">
        <v>2629</v>
      </c>
      <c r="P2393" s="441">
        <v>4.0999999999999996</v>
      </c>
      <c r="Q2393" s="155" t="s">
        <v>332</v>
      </c>
      <c r="R2393" s="167">
        <f>P2393*M2393</f>
        <v>32.799999999999997</v>
      </c>
    </row>
    <row r="2394" spans="5:18" ht="24" customHeight="1">
      <c r="G2394" s="76"/>
      <c r="M2394" s="76">
        <v>0.75</v>
      </c>
      <c r="N2394" s="165" t="s">
        <v>420</v>
      </c>
      <c r="O2394" s="154" t="s">
        <v>2630</v>
      </c>
      <c r="P2394" s="195">
        <v>176.4</v>
      </c>
      <c r="Q2394" s="155" t="s">
        <v>332</v>
      </c>
      <c r="R2394" s="167">
        <f t="shared" ref="R2394:R2399" si="234">(M2394*P2394)</f>
        <v>132.30000000000001</v>
      </c>
    </row>
    <row r="2395" spans="5:18" ht="24" customHeight="1">
      <c r="G2395" s="76"/>
      <c r="M2395" s="76">
        <v>2.25</v>
      </c>
      <c r="N2395" s="165" t="s">
        <v>2631</v>
      </c>
      <c r="O2395" s="154" t="s">
        <v>2632</v>
      </c>
      <c r="P2395" s="195">
        <v>140.41</v>
      </c>
      <c r="Q2395" s="155" t="s">
        <v>2631</v>
      </c>
      <c r="R2395" s="167">
        <f t="shared" si="234"/>
        <v>315.92250000000001</v>
      </c>
    </row>
    <row r="2396" spans="5:18" ht="24" customHeight="1">
      <c r="G2396" s="76"/>
      <c r="H2396" s="199" t="s">
        <v>22</v>
      </c>
      <c r="M2396" s="76">
        <v>4.5</v>
      </c>
      <c r="N2396" s="165" t="s">
        <v>2631</v>
      </c>
      <c r="O2396" s="154" t="s">
        <v>2633</v>
      </c>
      <c r="P2396" s="195">
        <v>65</v>
      </c>
      <c r="Q2396" s="155" t="s">
        <v>2631</v>
      </c>
      <c r="R2396" s="167">
        <f t="shared" si="234"/>
        <v>292.5</v>
      </c>
    </row>
    <row r="2397" spans="5:18" ht="34.5" customHeight="1">
      <c r="F2397" s="76">
        <v>1</v>
      </c>
      <c r="G2397" s="76" t="s">
        <v>42</v>
      </c>
      <c r="H2397" s="442" t="s">
        <v>2634</v>
      </c>
      <c r="I2397" s="192">
        <v>442</v>
      </c>
      <c r="J2397" s="154" t="s">
        <v>576</v>
      </c>
      <c r="K2397" s="167">
        <f>(F2397*I2397)</f>
        <v>442</v>
      </c>
      <c r="M2397" s="76">
        <v>6</v>
      </c>
      <c r="N2397" s="165" t="s">
        <v>1882</v>
      </c>
      <c r="O2397" s="154" t="s">
        <v>2635</v>
      </c>
      <c r="P2397" s="195">
        <v>8</v>
      </c>
      <c r="Q2397" s="155" t="s">
        <v>332</v>
      </c>
      <c r="R2397" s="167">
        <f t="shared" si="234"/>
        <v>48</v>
      </c>
    </row>
    <row r="2398" spans="5:18" ht="24" customHeight="1">
      <c r="F2398" s="76">
        <v>0.25</v>
      </c>
      <c r="G2398" s="76" t="s">
        <v>42</v>
      </c>
      <c r="H2398" s="76" t="s">
        <v>2616</v>
      </c>
      <c r="I2398" s="76">
        <f>I2384</f>
        <v>717.2</v>
      </c>
      <c r="J2398" s="154" t="s">
        <v>576</v>
      </c>
      <c r="K2398" s="167">
        <f>(F2398*I2398)</f>
        <v>179.3</v>
      </c>
      <c r="M2398" s="76">
        <v>6</v>
      </c>
      <c r="N2398" s="165" t="s">
        <v>1882</v>
      </c>
      <c r="O2398" s="154" t="s">
        <v>2636</v>
      </c>
      <c r="P2398" s="195">
        <v>8.61</v>
      </c>
      <c r="Q2398" s="155" t="s">
        <v>332</v>
      </c>
      <c r="R2398" s="167">
        <f t="shared" si="234"/>
        <v>51.66</v>
      </c>
    </row>
    <row r="2399" spans="5:18" ht="24" customHeight="1">
      <c r="F2399" s="76">
        <v>0.28000000000000003</v>
      </c>
      <c r="G2399" s="76" t="s">
        <v>250</v>
      </c>
      <c r="H2399" s="76" t="s">
        <v>2553</v>
      </c>
      <c r="I2399" s="76">
        <f>C12</f>
        <v>468.6</v>
      </c>
      <c r="J2399" s="154" t="s">
        <v>576</v>
      </c>
      <c r="K2399" s="167">
        <f>(F2399*I2399)</f>
        <v>131.20800000000003</v>
      </c>
      <c r="M2399" s="76">
        <v>4</v>
      </c>
      <c r="N2399" s="165" t="s">
        <v>1882</v>
      </c>
      <c r="O2399" s="154" t="s">
        <v>2637</v>
      </c>
      <c r="P2399" s="195">
        <v>8.61</v>
      </c>
      <c r="Q2399" s="155" t="s">
        <v>332</v>
      </c>
      <c r="R2399" s="167">
        <f t="shared" si="234"/>
        <v>34.44</v>
      </c>
    </row>
    <row r="2400" spans="5:18" ht="24" customHeight="1">
      <c r="G2400" s="76"/>
      <c r="H2400" s="439"/>
      <c r="J2400" s="154"/>
      <c r="K2400" s="167"/>
      <c r="M2400" s="76">
        <v>300</v>
      </c>
      <c r="N2400" s="165" t="s">
        <v>2638</v>
      </c>
      <c r="O2400" s="154" t="s">
        <v>2639</v>
      </c>
      <c r="P2400" s="195">
        <v>30</v>
      </c>
      <c r="Q2400" s="155" t="s">
        <v>2640</v>
      </c>
      <c r="R2400" s="167">
        <f>P2400*M2400/100</f>
        <v>90</v>
      </c>
    </row>
    <row r="2401" spans="6:18" ht="24" customHeight="1">
      <c r="G2401" s="76"/>
      <c r="K2401" s="167"/>
      <c r="M2401" s="76">
        <v>300</v>
      </c>
      <c r="N2401" s="165" t="s">
        <v>2638</v>
      </c>
      <c r="O2401" s="154" t="s">
        <v>2641</v>
      </c>
      <c r="P2401" s="195">
        <v>44.99</v>
      </c>
      <c r="Q2401" s="155" t="s">
        <v>2642</v>
      </c>
      <c r="R2401" s="167">
        <f>P2401*M2401/500</f>
        <v>26.994</v>
      </c>
    </row>
    <row r="2402" spans="6:18" ht="24" customHeight="1">
      <c r="G2402" s="76"/>
      <c r="K2402" s="443" t="s">
        <v>1892</v>
      </c>
      <c r="M2402" s="76">
        <v>1.5</v>
      </c>
      <c r="N2402" s="165" t="s">
        <v>420</v>
      </c>
      <c r="O2402" s="154" t="s">
        <v>2643</v>
      </c>
      <c r="P2402" s="195">
        <v>20.95</v>
      </c>
      <c r="Q2402" s="155" t="s">
        <v>420</v>
      </c>
      <c r="R2402" s="167">
        <f>P2402*M2402</f>
        <v>31.424999999999997</v>
      </c>
    </row>
    <row r="2403" spans="6:18" ht="24" customHeight="1">
      <c r="G2403" s="76"/>
      <c r="K2403" s="166">
        <f>SUM(K2397:K2402)</f>
        <v>752.50800000000004</v>
      </c>
      <c r="M2403" s="76">
        <v>2.25</v>
      </c>
      <c r="N2403" s="165" t="s">
        <v>2631</v>
      </c>
      <c r="O2403" s="154" t="s">
        <v>2644</v>
      </c>
      <c r="P2403" s="195">
        <v>212.41</v>
      </c>
      <c r="Q2403" s="155" t="s">
        <v>2631</v>
      </c>
      <c r="R2403" s="167">
        <f>(M2403*P2403)</f>
        <v>477.92250000000001</v>
      </c>
    </row>
    <row r="2404" spans="6:18" ht="24" customHeight="1">
      <c r="G2404" s="76"/>
      <c r="K2404" s="443" t="s">
        <v>1892</v>
      </c>
      <c r="M2404" s="76">
        <v>0.75</v>
      </c>
      <c r="N2404" s="165" t="s">
        <v>2631</v>
      </c>
      <c r="O2404" s="154" t="s">
        <v>2645</v>
      </c>
      <c r="P2404" s="195">
        <v>205.21</v>
      </c>
      <c r="Q2404" s="155" t="s">
        <v>2631</v>
      </c>
      <c r="R2404" s="167">
        <f>(M2404*P2404)</f>
        <v>153.9075</v>
      </c>
    </row>
    <row r="2405" spans="6:18" ht="24" customHeight="1">
      <c r="G2405" s="76"/>
      <c r="K2405" s="167"/>
      <c r="M2405" s="76">
        <v>2.25</v>
      </c>
      <c r="N2405" s="165" t="s">
        <v>2631</v>
      </c>
      <c r="O2405" s="154" t="s">
        <v>2646</v>
      </c>
      <c r="P2405" s="195">
        <v>185.21</v>
      </c>
      <c r="Q2405" s="155" t="s">
        <v>2631</v>
      </c>
      <c r="R2405" s="167">
        <f>(M2405*P2405)</f>
        <v>416.72250000000003</v>
      </c>
    </row>
    <row r="2406" spans="6:18" ht="24" customHeight="1">
      <c r="G2406" s="76"/>
      <c r="M2406" s="76">
        <v>500</v>
      </c>
      <c r="N2406" s="165" t="s">
        <v>2638</v>
      </c>
      <c r="O2406" s="154" t="s">
        <v>2647</v>
      </c>
      <c r="P2406" s="195">
        <v>52.25</v>
      </c>
      <c r="Q2406" s="155" t="s">
        <v>420</v>
      </c>
      <c r="R2406" s="167">
        <f>(M2406*P2406)/1000</f>
        <v>26.125</v>
      </c>
    </row>
    <row r="2407" spans="6:18" ht="24" customHeight="1">
      <c r="G2407" s="76"/>
      <c r="H2407" s="199" t="s">
        <v>2648</v>
      </c>
      <c r="M2407" s="76">
        <v>1</v>
      </c>
      <c r="N2407" s="165" t="s">
        <v>1882</v>
      </c>
      <c r="O2407" s="154" t="s">
        <v>2649</v>
      </c>
      <c r="P2407" s="195">
        <v>131.21</v>
      </c>
      <c r="Q2407" s="160" t="s">
        <v>2650</v>
      </c>
      <c r="R2407" s="173">
        <f>P2407/1</f>
        <v>131.21</v>
      </c>
    </row>
    <row r="2408" spans="6:18" ht="24" customHeight="1">
      <c r="F2408" s="76">
        <v>1</v>
      </c>
      <c r="G2408" s="76" t="s">
        <v>42</v>
      </c>
      <c r="H2408" s="260" t="s">
        <v>2651</v>
      </c>
      <c r="I2408" s="76">
        <f>C619</f>
        <v>913</v>
      </c>
      <c r="J2408" s="154" t="s">
        <v>576</v>
      </c>
      <c r="K2408" s="167">
        <f>(F2408*I2408)</f>
        <v>913</v>
      </c>
      <c r="M2408" s="76">
        <v>1</v>
      </c>
      <c r="N2408" s="165" t="s">
        <v>1882</v>
      </c>
      <c r="O2408" s="154" t="s">
        <v>2652</v>
      </c>
      <c r="P2408" s="195">
        <v>12.3</v>
      </c>
      <c r="Q2408" s="160" t="s">
        <v>2650</v>
      </c>
      <c r="R2408" s="173">
        <f>P2408/1</f>
        <v>12.3</v>
      </c>
    </row>
    <row r="2409" spans="6:18" ht="24" customHeight="1">
      <c r="F2409" s="76">
        <v>0.5</v>
      </c>
      <c r="G2409" s="76" t="s">
        <v>42</v>
      </c>
      <c r="H2409" s="76" t="s">
        <v>2653</v>
      </c>
      <c r="I2409" s="76">
        <f>C15</f>
        <v>622.6</v>
      </c>
      <c r="J2409" s="154" t="s">
        <v>576</v>
      </c>
      <c r="K2409" s="167">
        <f>(F2409*I2409)</f>
        <v>311.3</v>
      </c>
      <c r="M2409" s="76">
        <v>4</v>
      </c>
      <c r="N2409" s="165" t="s">
        <v>1882</v>
      </c>
      <c r="O2409" s="223" t="s">
        <v>2654</v>
      </c>
      <c r="P2409" s="167">
        <f>AE13</f>
        <v>574.20000000000005</v>
      </c>
      <c r="Q2409" s="155" t="s">
        <v>332</v>
      </c>
      <c r="R2409" s="167">
        <f>(M2409*P2409)</f>
        <v>2296.8000000000002</v>
      </c>
    </row>
    <row r="2410" spans="6:18" ht="24" customHeight="1">
      <c r="F2410" s="76">
        <v>0.5</v>
      </c>
      <c r="G2410" s="76" t="s">
        <v>42</v>
      </c>
      <c r="H2410" s="76" t="s">
        <v>2616</v>
      </c>
      <c r="I2410" s="76">
        <f>I2398</f>
        <v>717.2</v>
      </c>
      <c r="J2410" s="154" t="s">
        <v>576</v>
      </c>
      <c r="K2410" s="167">
        <f>(F2410*I2410)</f>
        <v>358.6</v>
      </c>
      <c r="M2410" s="76">
        <v>2</v>
      </c>
      <c r="N2410" s="165" t="s">
        <v>1882</v>
      </c>
      <c r="O2410" s="223" t="s">
        <v>2655</v>
      </c>
      <c r="P2410" s="167">
        <f>AE14</f>
        <v>555.5</v>
      </c>
      <c r="Q2410" s="155" t="s">
        <v>332</v>
      </c>
      <c r="R2410" s="167">
        <f>(M2410*P2410)</f>
        <v>1111</v>
      </c>
    </row>
    <row r="2411" spans="6:18" ht="24" customHeight="1">
      <c r="F2411" s="76">
        <v>0.5</v>
      </c>
      <c r="G2411" s="76" t="s">
        <v>250</v>
      </c>
      <c r="H2411" s="76" t="s">
        <v>2553</v>
      </c>
      <c r="I2411" s="76">
        <f>I2399</f>
        <v>468.6</v>
      </c>
      <c r="J2411" s="154" t="s">
        <v>576</v>
      </c>
      <c r="K2411" s="167">
        <f>(F2411*I2411)</f>
        <v>234.3</v>
      </c>
      <c r="M2411" s="76">
        <v>2</v>
      </c>
      <c r="N2411" s="165" t="s">
        <v>1882</v>
      </c>
      <c r="O2411" s="223" t="s">
        <v>2656</v>
      </c>
      <c r="P2411" s="167">
        <f>AE12</f>
        <v>404.8</v>
      </c>
      <c r="Q2411" s="155" t="s">
        <v>332</v>
      </c>
      <c r="R2411" s="167">
        <f>(M2411*P2411)</f>
        <v>809.6</v>
      </c>
    </row>
    <row r="2412" spans="6:18" ht="24" customHeight="1">
      <c r="G2412" s="76"/>
      <c r="H2412" s="76" t="s">
        <v>2657</v>
      </c>
      <c r="J2412" s="155" t="s">
        <v>2658</v>
      </c>
      <c r="K2412" s="167">
        <v>0.25</v>
      </c>
      <c r="N2412" s="165"/>
      <c r="O2412" s="154" t="s">
        <v>2659</v>
      </c>
      <c r="P2412" s="167"/>
      <c r="Q2412" s="155"/>
      <c r="R2412" s="167">
        <v>20</v>
      </c>
    </row>
    <row r="2413" spans="6:18" ht="24" customHeight="1">
      <c r="G2413" s="76"/>
      <c r="K2413" s="167"/>
      <c r="N2413" s="156"/>
      <c r="P2413" s="167"/>
      <c r="Q2413" s="158"/>
      <c r="R2413" s="202" t="s">
        <v>2660</v>
      </c>
    </row>
    <row r="2414" spans="6:18" ht="24" customHeight="1">
      <c r="G2414" s="76"/>
      <c r="K2414" s="443" t="s">
        <v>1892</v>
      </c>
      <c r="N2414" s="156"/>
      <c r="O2414" s="154" t="s">
        <v>2661</v>
      </c>
      <c r="Q2414" s="158"/>
      <c r="R2414" s="76">
        <f>SUM(R2391:R2413)</f>
        <v>6573.9490000000005</v>
      </c>
    </row>
    <row r="2415" spans="6:18" ht="26.25" customHeight="1">
      <c r="G2415" s="76"/>
      <c r="K2415" s="166">
        <f>SUM(K2408:K2414)</f>
        <v>1817.45</v>
      </c>
      <c r="N2415" s="156"/>
      <c r="O2415" s="199"/>
      <c r="P2415" s="199"/>
      <c r="Q2415" s="207"/>
      <c r="R2415" s="162" t="s">
        <v>528</v>
      </c>
    </row>
    <row r="2416" spans="6:18" ht="24" customHeight="1">
      <c r="G2416" s="76"/>
      <c r="K2416" s="443" t="s">
        <v>1892</v>
      </c>
      <c r="N2416" s="156"/>
      <c r="O2416" s="199" t="s">
        <v>2662</v>
      </c>
      <c r="P2416" s="199"/>
      <c r="Q2416" s="207"/>
      <c r="R2416" s="164">
        <f>R2414/5.67</f>
        <v>1159.4266313932981</v>
      </c>
    </row>
    <row r="2417" spans="6:18" ht="32.25" customHeight="1">
      <c r="G2417" s="76"/>
      <c r="K2417" s="155"/>
    </row>
    <row r="2418" spans="6:18" ht="24" customHeight="1">
      <c r="G2418" s="76"/>
      <c r="K2418" s="155"/>
    </row>
    <row r="2419" spans="6:18" ht="24" customHeight="1">
      <c r="G2419" s="76"/>
      <c r="K2419" s="155"/>
    </row>
    <row r="2420" spans="6:18" ht="24" customHeight="1">
      <c r="F2420" s="229" t="s">
        <v>1952</v>
      </c>
      <c r="G2420" s="229"/>
      <c r="H2420" s="1015" t="s">
        <v>2663</v>
      </c>
      <c r="I2420" s="1015"/>
      <c r="J2420" s="1015"/>
      <c r="K2420" s="1015"/>
    </row>
    <row r="2421" spans="6:18" ht="24" customHeight="1">
      <c r="F2421" s="229"/>
      <c r="G2421" s="229"/>
      <c r="H2421" s="229"/>
      <c r="I2421" s="229"/>
      <c r="J2421" s="296"/>
      <c r="K2421" s="264"/>
    </row>
    <row r="2422" spans="6:18" ht="24" customHeight="1">
      <c r="F2422" s="173">
        <v>10.5</v>
      </c>
      <c r="G2422" s="398" t="s">
        <v>250</v>
      </c>
      <c r="H2422" s="1016" t="s">
        <v>2664</v>
      </c>
      <c r="I2422" s="172">
        <v>309</v>
      </c>
      <c r="J2422" s="186" t="s">
        <v>250</v>
      </c>
      <c r="K2422" s="173">
        <f>(F2422*I2422)</f>
        <v>3244.5</v>
      </c>
    </row>
    <row r="2423" spans="6:18" ht="24" customHeight="1">
      <c r="F2423" s="264"/>
      <c r="G2423" s="295"/>
      <c r="H2423" s="1017"/>
      <c r="I2423" s="186" t="s">
        <v>22</v>
      </c>
      <c r="J2423" s="296"/>
      <c r="K2423" s="186" t="s">
        <v>22</v>
      </c>
    </row>
    <row r="2424" spans="6:18" ht="24" customHeight="1">
      <c r="F2424" s="173">
        <v>0.22</v>
      </c>
      <c r="G2424" s="398" t="s">
        <v>577</v>
      </c>
      <c r="H2424" s="186" t="s">
        <v>1951</v>
      </c>
      <c r="I2424" s="173">
        <f>K32</f>
        <v>4357.67</v>
      </c>
      <c r="J2424" s="186" t="s">
        <v>577</v>
      </c>
      <c r="K2424" s="173">
        <f>(F2424*I2424)</f>
        <v>958.68740000000003</v>
      </c>
    </row>
    <row r="2425" spans="6:18" ht="24" customHeight="1">
      <c r="F2425" s="173">
        <v>64</v>
      </c>
      <c r="G2425" s="398" t="s">
        <v>420</v>
      </c>
      <c r="H2425" s="186" t="s">
        <v>2665</v>
      </c>
      <c r="I2425" s="173">
        <f>C67</f>
        <v>5750</v>
      </c>
      <c r="J2425" s="186" t="s">
        <v>2666</v>
      </c>
      <c r="K2425" s="173">
        <f>I2425*F2425/1000</f>
        <v>368</v>
      </c>
    </row>
    <row r="2426" spans="6:18" ht="24" customHeight="1">
      <c r="F2426" s="173">
        <v>4.5</v>
      </c>
      <c r="G2426" s="398" t="s">
        <v>420</v>
      </c>
      <c r="H2426" s="444" t="s">
        <v>2667</v>
      </c>
      <c r="I2426" s="173">
        <f>C608</f>
        <v>24.3</v>
      </c>
      <c r="J2426" s="186" t="s">
        <v>420</v>
      </c>
      <c r="K2426" s="173">
        <f>F2426*I2426</f>
        <v>109.35000000000001</v>
      </c>
    </row>
    <row r="2427" spans="6:18" ht="24" customHeight="1">
      <c r="F2427" s="173">
        <v>5.4</v>
      </c>
      <c r="G2427" s="398" t="s">
        <v>680</v>
      </c>
      <c r="H2427" s="154" t="s">
        <v>2668</v>
      </c>
      <c r="I2427" s="173">
        <f>C11</f>
        <v>669.90000000000009</v>
      </c>
      <c r="J2427" s="186" t="s">
        <v>680</v>
      </c>
      <c r="K2427" s="173">
        <f>(F2427*I2427)</f>
        <v>3617.4600000000009</v>
      </c>
      <c r="M2427" s="229" t="s">
        <v>1952</v>
      </c>
      <c r="N2427" s="229"/>
      <c r="O2427" s="1018" t="s">
        <v>2669</v>
      </c>
      <c r="P2427" s="1018"/>
      <c r="Q2427" s="1018"/>
      <c r="R2427" s="1018"/>
    </row>
    <row r="2428" spans="6:18" ht="24" customHeight="1">
      <c r="F2428" s="173">
        <v>2.16</v>
      </c>
      <c r="G2428" s="398" t="s">
        <v>680</v>
      </c>
      <c r="H2428" s="186" t="s">
        <v>1912</v>
      </c>
      <c r="I2428" s="173">
        <f>C12</f>
        <v>468.6</v>
      </c>
      <c r="J2428" s="186" t="s">
        <v>680</v>
      </c>
      <c r="K2428" s="173">
        <f>(F2428*I2428)</f>
        <v>1012.1760000000002</v>
      </c>
      <c r="M2428" s="229"/>
      <c r="N2428" s="229"/>
      <c r="O2428" s="229"/>
      <c r="P2428" s="229"/>
      <c r="Q2428" s="296"/>
      <c r="R2428" s="264"/>
    </row>
    <row r="2429" spans="6:18" ht="24" customHeight="1">
      <c r="F2429" s="173">
        <v>6.5</v>
      </c>
      <c r="G2429" s="398" t="s">
        <v>680</v>
      </c>
      <c r="H2429" s="186" t="s">
        <v>1913</v>
      </c>
      <c r="I2429" s="173">
        <f>C13</f>
        <v>404.8</v>
      </c>
      <c r="J2429" s="186" t="s">
        <v>680</v>
      </c>
      <c r="K2429" s="173">
        <f>(F2429*I2429)</f>
        <v>2631.2000000000003</v>
      </c>
      <c r="M2429" s="173">
        <v>10.5</v>
      </c>
      <c r="N2429" s="398" t="s">
        <v>250</v>
      </c>
      <c r="O2429" s="1019" t="s">
        <v>2670</v>
      </c>
      <c r="P2429" s="174">
        <v>472</v>
      </c>
      <c r="Q2429" s="186" t="s">
        <v>250</v>
      </c>
      <c r="R2429" s="173">
        <f>(M2429*P2429)</f>
        <v>4956</v>
      </c>
    </row>
    <row r="2430" spans="6:18" ht="24" customHeight="1">
      <c r="F2430" s="173"/>
      <c r="G2430" s="398"/>
      <c r="H2430" s="186"/>
      <c r="I2430" s="173"/>
      <c r="J2430" s="186" t="s">
        <v>680</v>
      </c>
      <c r="K2430" s="173">
        <v>0</v>
      </c>
      <c r="M2430" s="264"/>
      <c r="N2430" s="295"/>
      <c r="O2430" s="1020"/>
      <c r="P2430" s="186" t="s">
        <v>22</v>
      </c>
      <c r="Q2430" s="296"/>
      <c r="R2430" s="186" t="s">
        <v>22</v>
      </c>
    </row>
    <row r="2431" spans="6:18" ht="24" customHeight="1">
      <c r="F2431" s="445"/>
      <c r="G2431" s="398"/>
      <c r="H2431" s="264"/>
      <c r="I2431" s="173"/>
      <c r="J2431" s="186"/>
      <c r="K2431" s="173"/>
      <c r="M2431" s="173">
        <v>0.22</v>
      </c>
      <c r="N2431" s="398" t="s">
        <v>577</v>
      </c>
      <c r="O2431" s="186" t="s">
        <v>1951</v>
      </c>
      <c r="P2431" s="173">
        <f t="shared" ref="P2431:P2436" si="235">I2424</f>
        <v>4357.67</v>
      </c>
      <c r="Q2431" s="186" t="s">
        <v>577</v>
      </c>
      <c r="R2431" s="173">
        <f>(M2431*P2431)</f>
        <v>958.68740000000003</v>
      </c>
    </row>
    <row r="2432" spans="6:18" ht="24" customHeight="1">
      <c r="F2432" s="173"/>
      <c r="G2432" s="398"/>
      <c r="H2432" s="157" t="s">
        <v>879</v>
      </c>
      <c r="I2432" s="264"/>
      <c r="J2432" s="296"/>
      <c r="K2432" s="446" t="s">
        <v>1892</v>
      </c>
      <c r="M2432" s="173">
        <v>64</v>
      </c>
      <c r="N2432" s="398" t="s">
        <v>420</v>
      </c>
      <c r="O2432" s="186" t="s">
        <v>2665</v>
      </c>
      <c r="P2432" s="173">
        <f t="shared" si="235"/>
        <v>5750</v>
      </c>
      <c r="Q2432" s="186" t="s">
        <v>2666</v>
      </c>
      <c r="R2432" s="173">
        <f>P2432*M2432/1000</f>
        <v>368</v>
      </c>
    </row>
    <row r="2433" spans="6:18" ht="24" customHeight="1">
      <c r="F2433" s="173"/>
      <c r="G2433" s="398"/>
      <c r="H2433" s="157"/>
      <c r="I2433" s="264"/>
      <c r="J2433" s="296"/>
      <c r="K2433" s="166">
        <f>SUM(K2422:K2430)</f>
        <v>11941.3734</v>
      </c>
      <c r="M2433" s="173">
        <v>4.5</v>
      </c>
      <c r="N2433" s="398" t="s">
        <v>420</v>
      </c>
      <c r="O2433" s="186" t="s">
        <v>2671</v>
      </c>
      <c r="P2433" s="173">
        <f t="shared" si="235"/>
        <v>24.3</v>
      </c>
      <c r="Q2433" s="186" t="s">
        <v>420</v>
      </c>
      <c r="R2433" s="173">
        <f>M2433*P2433</f>
        <v>109.35000000000001</v>
      </c>
    </row>
    <row r="2434" spans="6:18" ht="24" customHeight="1">
      <c r="F2434" s="173"/>
      <c r="G2434" s="398"/>
      <c r="H2434" s="157"/>
      <c r="I2434" s="173"/>
      <c r="J2434" s="186"/>
      <c r="K2434" s="447" t="s">
        <v>1056</v>
      </c>
      <c r="M2434" s="173">
        <v>5.4</v>
      </c>
      <c r="N2434" s="398" t="s">
        <v>680</v>
      </c>
      <c r="O2434" s="186" t="s">
        <v>2668</v>
      </c>
      <c r="P2434" s="173">
        <f t="shared" si="235"/>
        <v>669.90000000000009</v>
      </c>
      <c r="Q2434" s="186" t="s">
        <v>680</v>
      </c>
      <c r="R2434" s="173">
        <f>(M2434*P2434)</f>
        <v>3617.4600000000009</v>
      </c>
    </row>
    <row r="2435" spans="6:18" ht="24" customHeight="1">
      <c r="F2435" s="186"/>
      <c r="G2435" s="295"/>
      <c r="H2435" s="157" t="s">
        <v>881</v>
      </c>
      <c r="I2435" s="186"/>
      <c r="J2435" s="296"/>
      <c r="K2435" s="164">
        <f>K2433/10</f>
        <v>1194.13734</v>
      </c>
      <c r="M2435" s="173">
        <v>2.16</v>
      </c>
      <c r="N2435" s="398" t="s">
        <v>680</v>
      </c>
      <c r="O2435" s="186" t="s">
        <v>1912</v>
      </c>
      <c r="P2435" s="173">
        <f t="shared" si="235"/>
        <v>468.6</v>
      </c>
      <c r="Q2435" s="186" t="s">
        <v>680</v>
      </c>
      <c r="R2435" s="173">
        <f>(M2435*P2435)</f>
        <v>1012.1760000000002</v>
      </c>
    </row>
    <row r="2436" spans="6:18" ht="24" customHeight="1">
      <c r="K2436" s="202" t="s">
        <v>1892</v>
      </c>
      <c r="M2436" s="173">
        <v>6.5</v>
      </c>
      <c r="N2436" s="398" t="s">
        <v>680</v>
      </c>
      <c r="O2436" s="186" t="s">
        <v>1913</v>
      </c>
      <c r="P2436" s="173">
        <f t="shared" si="235"/>
        <v>404.8</v>
      </c>
      <c r="Q2436" s="186" t="s">
        <v>680</v>
      </c>
      <c r="R2436" s="173">
        <f>(M2436*P2436)</f>
        <v>2631.2000000000003</v>
      </c>
    </row>
    <row r="2437" spans="6:18" ht="24" customHeight="1">
      <c r="M2437" s="173"/>
      <c r="N2437" s="398"/>
      <c r="O2437" s="186"/>
      <c r="P2437" s="173"/>
      <c r="Q2437" s="186" t="s">
        <v>680</v>
      </c>
      <c r="R2437" s="173">
        <f>(M2437*P2437)</f>
        <v>0</v>
      </c>
    </row>
    <row r="2438" spans="6:18" ht="24" customHeight="1">
      <c r="M2438" s="445"/>
      <c r="N2438" s="398"/>
      <c r="O2438" s="264"/>
      <c r="P2438" s="173"/>
      <c r="Q2438" s="186"/>
      <c r="R2438" s="173"/>
    </row>
    <row r="2439" spans="6:18" ht="24" customHeight="1">
      <c r="F2439" s="173"/>
      <c r="G2439" s="398"/>
      <c r="H2439" s="157" t="s">
        <v>2672</v>
      </c>
      <c r="I2439" s="173"/>
      <c r="J2439" s="186"/>
      <c r="K2439" s="173"/>
      <c r="M2439" s="173"/>
      <c r="N2439" s="398"/>
      <c r="O2439" s="157" t="s">
        <v>879</v>
      </c>
      <c r="P2439" s="264"/>
      <c r="Q2439" s="296"/>
      <c r="R2439" s="446" t="s">
        <v>1892</v>
      </c>
    </row>
    <row r="2440" spans="6:18" ht="24" customHeight="1">
      <c r="F2440" s="173"/>
      <c r="G2440" s="398"/>
      <c r="H2440" s="264"/>
      <c r="I2440" s="173"/>
      <c r="J2440" s="186"/>
      <c r="K2440" s="264"/>
      <c r="M2440" s="173"/>
      <c r="N2440" s="398"/>
      <c r="O2440" s="157"/>
      <c r="P2440" s="264"/>
      <c r="Q2440" s="296"/>
      <c r="R2440" s="166">
        <f>SUM(R2429:R2437)</f>
        <v>13652.8734</v>
      </c>
    </row>
    <row r="2441" spans="6:18" ht="24" customHeight="1">
      <c r="F2441" s="173">
        <v>10</v>
      </c>
      <c r="G2441" s="398" t="s">
        <v>250</v>
      </c>
      <c r="H2441" s="186" t="s">
        <v>2673</v>
      </c>
      <c r="I2441" s="173">
        <f>K1213</f>
        <v>391.93874000000005</v>
      </c>
      <c r="J2441" s="186" t="s">
        <v>250</v>
      </c>
      <c r="K2441" s="173">
        <f>F2441*I2441</f>
        <v>3919.3874000000005</v>
      </c>
      <c r="M2441" s="173"/>
      <c r="N2441" s="398"/>
      <c r="O2441" s="157"/>
      <c r="P2441" s="173"/>
      <c r="Q2441" s="186"/>
      <c r="R2441" s="447" t="s">
        <v>1056</v>
      </c>
    </row>
    <row r="2442" spans="6:18" ht="24" customHeight="1">
      <c r="F2442" s="264">
        <v>9.8000000000000007</v>
      </c>
      <c r="G2442" s="398" t="s">
        <v>420</v>
      </c>
      <c r="H2442" s="76" t="s">
        <v>2674</v>
      </c>
      <c r="I2442" s="173">
        <f>C148</f>
        <v>141</v>
      </c>
      <c r="J2442" s="186" t="s">
        <v>420</v>
      </c>
      <c r="K2442" s="173">
        <f>F2442*I2442</f>
        <v>1381.8000000000002</v>
      </c>
      <c r="M2442" s="186"/>
      <c r="N2442" s="295"/>
      <c r="O2442" s="157" t="s">
        <v>881</v>
      </c>
      <c r="P2442" s="186"/>
      <c r="Q2442" s="296"/>
      <c r="R2442" s="164">
        <f>R2440/10</f>
        <v>1365.2873400000001</v>
      </c>
    </row>
    <row r="2443" spans="6:18" ht="24" customHeight="1">
      <c r="F2443" s="264">
        <v>1.1000000000000001</v>
      </c>
      <c r="G2443" s="295" t="s">
        <v>1882</v>
      </c>
      <c r="H2443" s="186" t="s">
        <v>778</v>
      </c>
      <c r="I2443" s="264">
        <f>I2410</f>
        <v>717.2</v>
      </c>
      <c r="J2443" s="296" t="s">
        <v>332</v>
      </c>
      <c r="K2443" s="264">
        <f>F2443*I2443</f>
        <v>788.92000000000007</v>
      </c>
      <c r="N2443" s="156"/>
      <c r="Q2443" s="158"/>
      <c r="R2443" s="202" t="s">
        <v>1892</v>
      </c>
    </row>
    <row r="2444" spans="6:18" ht="24" customHeight="1">
      <c r="F2444" s="264"/>
      <c r="G2444" s="295"/>
      <c r="H2444" s="76" t="s">
        <v>1699</v>
      </c>
      <c r="I2444" s="264"/>
      <c r="J2444" s="296"/>
      <c r="K2444" s="264">
        <v>0.2</v>
      </c>
    </row>
    <row r="2445" spans="6:18" ht="24" customHeight="1">
      <c r="F2445" s="264"/>
      <c r="G2445" s="295"/>
      <c r="H2445" s="264"/>
      <c r="I2445" s="264"/>
      <c r="J2445" s="296"/>
      <c r="K2445" s="222" t="s">
        <v>528</v>
      </c>
    </row>
    <row r="2446" spans="6:18" ht="24" customHeight="1">
      <c r="F2446" s="186" t="s">
        <v>22</v>
      </c>
      <c r="G2446" s="295"/>
      <c r="H2446" s="157" t="s">
        <v>879</v>
      </c>
      <c r="I2446" s="264"/>
      <c r="J2446" s="296"/>
      <c r="K2446" s="199">
        <f>SUM(K2441:K2444)</f>
        <v>6090.3074000000006</v>
      </c>
    </row>
    <row r="2447" spans="6:18" ht="24" customHeight="1">
      <c r="F2447" s="264"/>
      <c r="G2447" s="295"/>
      <c r="H2447" s="264"/>
      <c r="I2447" s="264"/>
      <c r="J2447" s="296"/>
      <c r="K2447" s="448" t="s">
        <v>1892</v>
      </c>
    </row>
    <row r="2448" spans="6:18" ht="24" customHeight="1">
      <c r="F2448" s="186" t="s">
        <v>22</v>
      </c>
      <c r="G2448" s="295"/>
      <c r="H2448" s="157" t="s">
        <v>881</v>
      </c>
      <c r="I2448" s="264"/>
      <c r="J2448" s="296"/>
      <c r="K2448" s="164">
        <f>K2446/10</f>
        <v>609.03074000000004</v>
      </c>
    </row>
    <row r="2449" spans="6:11" ht="24" customHeight="1">
      <c r="F2449" s="264"/>
      <c r="G2449" s="295"/>
      <c r="I2449" s="264"/>
      <c r="J2449" s="296"/>
      <c r="K2449" s="202" t="s">
        <v>1892</v>
      </c>
    </row>
    <row r="2450" spans="6:11" ht="24" customHeight="1">
      <c r="F2450" s="264"/>
      <c r="G2450" s="295"/>
      <c r="H2450" s="264"/>
      <c r="I2450" s="264"/>
      <c r="J2450" s="296"/>
      <c r="K2450" s="264"/>
    </row>
    <row r="2451" spans="6:11" ht="24" customHeight="1">
      <c r="F2451" s="264"/>
      <c r="G2451" s="295"/>
      <c r="H2451" s="264"/>
      <c r="I2451" s="264"/>
      <c r="J2451" s="296"/>
      <c r="K2451" s="264"/>
    </row>
    <row r="2452" spans="6:11" ht="24" customHeight="1">
      <c r="F2452" s="264"/>
      <c r="G2452" s="295"/>
      <c r="H2452" s="264"/>
      <c r="I2452" s="264"/>
      <c r="J2452" s="296"/>
      <c r="K2452" s="264"/>
    </row>
    <row r="2453" spans="6:11" ht="24" customHeight="1">
      <c r="F2453" s="264"/>
      <c r="G2453" s="295"/>
      <c r="H2453" s="264"/>
      <c r="I2453" s="264"/>
      <c r="J2453" s="296"/>
      <c r="K2453" s="264"/>
    </row>
    <row r="2454" spans="6:11" ht="24" customHeight="1">
      <c r="F2454" s="264"/>
      <c r="G2454" s="295"/>
      <c r="H2454" s="199" t="s">
        <v>2675</v>
      </c>
      <c r="I2454" s="264"/>
      <c r="J2454" s="296"/>
      <c r="K2454" s="264"/>
    </row>
    <row r="2455" spans="6:11" ht="24" customHeight="1">
      <c r="F2455" s="264"/>
      <c r="G2455" s="295"/>
      <c r="H2455" s="264"/>
      <c r="I2455" s="264"/>
      <c r="J2455" s="296"/>
      <c r="K2455" s="264"/>
    </row>
    <row r="2456" spans="6:11" ht="24" customHeight="1">
      <c r="F2456" s="296" t="s">
        <v>2676</v>
      </c>
      <c r="G2456" s="296"/>
      <c r="H2456" s="296"/>
      <c r="I2456" s="264">
        <v>15.21</v>
      </c>
      <c r="J2456" s="296" t="s">
        <v>2300</v>
      </c>
      <c r="K2456" s="264"/>
    </row>
    <row r="2457" spans="6:11" ht="24" customHeight="1">
      <c r="F2457" s="264" t="s">
        <v>2677</v>
      </c>
      <c r="G2457" s="295"/>
      <c r="H2457" s="264"/>
      <c r="I2457" s="264">
        <v>22.61</v>
      </c>
      <c r="J2457" s="296" t="s">
        <v>2300</v>
      </c>
      <c r="K2457" s="264"/>
    </row>
    <row r="2458" spans="6:11" ht="24" customHeight="1">
      <c r="F2458" s="264" t="s">
        <v>2678</v>
      </c>
      <c r="G2458" s="295"/>
      <c r="H2458" s="264"/>
      <c r="I2458" s="264">
        <v>3.24</v>
      </c>
      <c r="J2458" s="296" t="s">
        <v>2300</v>
      </c>
      <c r="K2458" s="264"/>
    </row>
    <row r="2459" spans="6:11" ht="24" customHeight="1">
      <c r="F2459" s="264" t="s">
        <v>2679</v>
      </c>
      <c r="G2459" s="295"/>
      <c r="H2459" s="264"/>
      <c r="I2459" s="264">
        <v>2.16</v>
      </c>
      <c r="J2459" s="296" t="s">
        <v>2300</v>
      </c>
      <c r="K2459" s="264"/>
    </row>
    <row r="2460" spans="6:11" ht="24" customHeight="1">
      <c r="F2460" s="264"/>
      <c r="G2460" s="295"/>
      <c r="H2460" s="264"/>
      <c r="I2460" s="264"/>
      <c r="J2460" s="296"/>
      <c r="K2460" s="264"/>
    </row>
    <row r="2461" spans="6:11" ht="24" customHeight="1">
      <c r="F2461" s="264"/>
      <c r="G2461" s="295"/>
      <c r="H2461" s="264"/>
      <c r="I2461" s="299" t="s">
        <v>1892</v>
      </c>
      <c r="J2461" s="296"/>
      <c r="K2461" s="264"/>
    </row>
    <row r="2462" spans="6:11" ht="24" customHeight="1">
      <c r="F2462" s="264"/>
      <c r="G2462" s="295"/>
      <c r="H2462" s="264"/>
      <c r="I2462" s="264">
        <f>SUM(I2456:I2460)</f>
        <v>43.22</v>
      </c>
      <c r="J2462" s="296"/>
      <c r="K2462" s="264"/>
    </row>
    <row r="2463" spans="6:11" ht="24" customHeight="1">
      <c r="F2463" s="264"/>
      <c r="G2463" s="295"/>
      <c r="H2463" s="264"/>
      <c r="I2463" s="264" t="s">
        <v>2680</v>
      </c>
      <c r="J2463" s="296"/>
      <c r="K2463" s="264"/>
    </row>
    <row r="2464" spans="6:11" ht="24" customHeight="1">
      <c r="F2464" s="264"/>
      <c r="G2464" s="295"/>
      <c r="H2464" s="264"/>
      <c r="I2464" s="264"/>
      <c r="J2464" s="296"/>
      <c r="K2464" s="264"/>
    </row>
    <row r="2465" spans="6:11" ht="24" customHeight="1">
      <c r="F2465" s="264"/>
      <c r="G2465" s="295"/>
      <c r="H2465" s="264"/>
      <c r="I2465" s="264"/>
      <c r="J2465" s="296"/>
      <c r="K2465" s="264"/>
    </row>
    <row r="2466" spans="6:11" ht="24" customHeight="1">
      <c r="F2466" s="264">
        <v>43.22</v>
      </c>
      <c r="G2466" s="295" t="s">
        <v>420</v>
      </c>
      <c r="H2466" s="429" t="s">
        <v>2681</v>
      </c>
      <c r="I2466" s="264">
        <f>C660</f>
        <v>54.5</v>
      </c>
      <c r="J2466" s="296" t="s">
        <v>420</v>
      </c>
      <c r="K2466" s="264">
        <f>I2466*F2466</f>
        <v>2355.4899999999998</v>
      </c>
    </row>
    <row r="2467" spans="6:11" ht="24" customHeight="1">
      <c r="F2467" s="264">
        <v>0.81</v>
      </c>
      <c r="G2467" s="295" t="s">
        <v>250</v>
      </c>
      <c r="H2467" s="264" t="s">
        <v>2682</v>
      </c>
      <c r="I2467" s="264">
        <f>C199</f>
        <v>295</v>
      </c>
      <c r="J2467" s="296" t="s">
        <v>250</v>
      </c>
      <c r="K2467" s="264">
        <f>I2467*F2467</f>
        <v>238.95000000000002</v>
      </c>
    </row>
    <row r="2468" spans="6:11" ht="24" customHeight="1">
      <c r="F2468" s="264">
        <v>0.81</v>
      </c>
      <c r="G2468" s="295" t="s">
        <v>250</v>
      </c>
      <c r="H2468" s="264" t="s">
        <v>2683</v>
      </c>
      <c r="I2468" s="264">
        <f>D199</f>
        <v>91</v>
      </c>
      <c r="J2468" s="296" t="s">
        <v>250</v>
      </c>
      <c r="K2468" s="264">
        <f>I2468*F2468</f>
        <v>73.710000000000008</v>
      </c>
    </row>
    <row r="2469" spans="6:11" ht="24" customHeight="1">
      <c r="F2469" s="264"/>
      <c r="G2469" s="295"/>
      <c r="H2469" s="264" t="s">
        <v>2684</v>
      </c>
      <c r="I2469" s="449">
        <f>46.61</f>
        <v>46.61</v>
      </c>
      <c r="J2469" s="296" t="s">
        <v>589</v>
      </c>
      <c r="K2469" s="264">
        <f>I2469</f>
        <v>46.61</v>
      </c>
    </row>
    <row r="2470" spans="6:11" ht="24" customHeight="1">
      <c r="F2470" s="264"/>
      <c r="G2470" s="295"/>
      <c r="H2470" s="264"/>
      <c r="I2470" s="264"/>
      <c r="J2470" s="296"/>
      <c r="K2470" s="299" t="s">
        <v>1892</v>
      </c>
    </row>
    <row r="2471" spans="6:11" ht="24" customHeight="1">
      <c r="F2471" s="264"/>
      <c r="G2471" s="295"/>
      <c r="H2471" s="199" t="s">
        <v>2685</v>
      </c>
      <c r="I2471" s="264"/>
      <c r="J2471" s="296"/>
      <c r="K2471" s="199">
        <f>SUM(K2466:K2469)</f>
        <v>2714.7599999999998</v>
      </c>
    </row>
    <row r="2472" spans="6:11" ht="24" customHeight="1">
      <c r="F2472" s="264"/>
      <c r="G2472" s="295"/>
      <c r="H2472" s="264">
        <f>0.6*1.35</f>
        <v>0.81</v>
      </c>
      <c r="I2472" s="264"/>
      <c r="J2472" s="296"/>
      <c r="K2472" s="299" t="s">
        <v>1892</v>
      </c>
    </row>
    <row r="2473" spans="6:11" ht="24" customHeight="1">
      <c r="F2473" s="264"/>
      <c r="G2473" s="295"/>
      <c r="H2473" s="199" t="s">
        <v>2686</v>
      </c>
      <c r="I2473" s="264"/>
      <c r="J2473" s="296"/>
      <c r="K2473" s="199">
        <f>K2471/H2472</f>
        <v>3351.5555555555552</v>
      </c>
    </row>
    <row r="2474" spans="6:11" ht="24" customHeight="1">
      <c r="F2474" s="264"/>
      <c r="G2474" s="295"/>
      <c r="H2474" s="264"/>
      <c r="I2474" s="264"/>
      <c r="J2474" s="296"/>
      <c r="K2474" s="264"/>
    </row>
    <row r="2475" spans="6:11" ht="24" customHeight="1">
      <c r="F2475" s="296" t="s">
        <v>2687</v>
      </c>
      <c r="G2475" s="296"/>
      <c r="H2475" s="296"/>
      <c r="I2475" s="264">
        <v>11.78</v>
      </c>
      <c r="J2475" s="296" t="s">
        <v>2300</v>
      </c>
      <c r="K2475" s="264"/>
    </row>
    <row r="2476" spans="6:11" ht="24" customHeight="1">
      <c r="F2476" s="264" t="s">
        <v>2688</v>
      </c>
      <c r="G2476" s="295"/>
      <c r="H2476" s="264"/>
      <c r="I2476" s="264">
        <v>15.07</v>
      </c>
      <c r="J2476" s="296" t="s">
        <v>2300</v>
      </c>
      <c r="K2476" s="264"/>
    </row>
    <row r="2477" spans="6:11" ht="24" customHeight="1">
      <c r="F2477" s="264" t="s">
        <v>2689</v>
      </c>
      <c r="G2477" s="295"/>
      <c r="H2477" s="264"/>
      <c r="I2477" s="264">
        <v>2.16</v>
      </c>
      <c r="J2477" s="296" t="s">
        <v>2300</v>
      </c>
      <c r="K2477" s="264"/>
    </row>
    <row r="2478" spans="6:11" ht="24" customHeight="1">
      <c r="F2478" s="264" t="s">
        <v>2679</v>
      </c>
      <c r="G2478" s="295"/>
      <c r="H2478" s="264"/>
      <c r="I2478" s="264">
        <v>2.16</v>
      </c>
      <c r="J2478" s="296" t="s">
        <v>2300</v>
      </c>
      <c r="K2478" s="264"/>
    </row>
    <row r="2479" spans="6:11" ht="24" customHeight="1">
      <c r="F2479" s="264" t="s">
        <v>2690</v>
      </c>
      <c r="G2479" s="295"/>
      <c r="H2479" s="264"/>
      <c r="I2479" s="264">
        <f>1.91-0.08</f>
        <v>1.8299999999999998</v>
      </c>
      <c r="J2479" s="296"/>
      <c r="K2479" s="264"/>
    </row>
    <row r="2480" spans="6:11" ht="24" customHeight="1">
      <c r="F2480" s="264"/>
      <c r="G2480" s="295"/>
      <c r="H2480" s="264"/>
      <c r="I2480" s="299" t="s">
        <v>2691</v>
      </c>
      <c r="J2480" s="296"/>
      <c r="K2480" s="264"/>
    </row>
    <row r="2481" spans="6:11" ht="24" customHeight="1">
      <c r="F2481" s="264"/>
      <c r="G2481" s="295"/>
      <c r="H2481" s="264"/>
      <c r="I2481" s="199">
        <f>SUM(I2475:I2479)</f>
        <v>33</v>
      </c>
      <c r="J2481" s="296" t="s">
        <v>2300</v>
      </c>
      <c r="K2481" s="264"/>
    </row>
    <row r="2482" spans="6:11" ht="24" customHeight="1">
      <c r="F2482" s="264"/>
      <c r="G2482" s="295"/>
      <c r="H2482" s="264"/>
      <c r="I2482" s="299" t="s">
        <v>2691</v>
      </c>
      <c r="J2482" s="296"/>
      <c r="K2482" s="264"/>
    </row>
    <row r="2483" spans="6:11" ht="24" customHeight="1">
      <c r="F2483" s="264"/>
      <c r="G2483" s="295"/>
      <c r="H2483" s="264"/>
      <c r="I2483" s="264"/>
      <c r="J2483" s="296"/>
      <c r="K2483" s="264"/>
    </row>
    <row r="2484" spans="6:11" ht="24" customHeight="1">
      <c r="F2484" s="264"/>
      <c r="G2484" s="295"/>
      <c r="H2484" s="264"/>
      <c r="I2484" s="264"/>
      <c r="J2484" s="296"/>
      <c r="K2484" s="264"/>
    </row>
    <row r="2485" spans="6:11" ht="24" customHeight="1">
      <c r="F2485" s="264">
        <f>I2481</f>
        <v>33</v>
      </c>
      <c r="G2485" s="295" t="s">
        <v>420</v>
      </c>
      <c r="H2485" s="264" t="s">
        <v>2681</v>
      </c>
      <c r="I2485" s="264">
        <f>I2466</f>
        <v>54.5</v>
      </c>
      <c r="J2485" s="296" t="s">
        <v>420</v>
      </c>
      <c r="K2485" s="264">
        <f>I2485*F2485</f>
        <v>1798.5</v>
      </c>
    </row>
    <row r="2486" spans="6:11" ht="24" customHeight="1">
      <c r="F2486" s="264">
        <v>0.54</v>
      </c>
      <c r="G2486" s="295" t="s">
        <v>250</v>
      </c>
      <c r="H2486" s="264" t="s">
        <v>2682</v>
      </c>
      <c r="I2486" s="264">
        <f>I2467</f>
        <v>295</v>
      </c>
      <c r="J2486" s="296" t="s">
        <v>250</v>
      </c>
      <c r="K2486" s="264">
        <f>I2486*F2486</f>
        <v>159.30000000000001</v>
      </c>
    </row>
    <row r="2487" spans="6:11" ht="24" customHeight="1">
      <c r="F2487" s="264">
        <v>0.54</v>
      </c>
      <c r="G2487" s="295" t="s">
        <v>250</v>
      </c>
      <c r="H2487" s="264" t="str">
        <f>H2468</f>
        <v>Fly proof  Mesh</v>
      </c>
      <c r="I2487" s="264">
        <f>I2468</f>
        <v>91</v>
      </c>
      <c r="J2487" s="296" t="s">
        <v>250</v>
      </c>
      <c r="K2487" s="264">
        <f>I2487*F2487</f>
        <v>49.14</v>
      </c>
    </row>
    <row r="2488" spans="6:11" ht="24" customHeight="1">
      <c r="F2488" s="264"/>
      <c r="G2488" s="295"/>
      <c r="H2488" s="264" t="s">
        <v>2684</v>
      </c>
      <c r="I2488" s="449">
        <v>53.5</v>
      </c>
      <c r="J2488" s="296" t="s">
        <v>589</v>
      </c>
      <c r="K2488" s="264">
        <v>52.8</v>
      </c>
    </row>
    <row r="2489" spans="6:11" ht="24" customHeight="1">
      <c r="F2489" s="264"/>
      <c r="G2489" s="295"/>
      <c r="H2489" s="264"/>
      <c r="I2489" s="264"/>
      <c r="J2489" s="296"/>
      <c r="K2489" s="299" t="s">
        <v>1892</v>
      </c>
    </row>
    <row r="2490" spans="6:11" ht="24" customHeight="1">
      <c r="F2490" s="264"/>
      <c r="G2490" s="295"/>
      <c r="H2490" s="199" t="s">
        <v>2685</v>
      </c>
      <c r="I2490" s="264"/>
      <c r="J2490" s="296"/>
      <c r="K2490" s="199">
        <f>SUM(K2485:K2488)</f>
        <v>2059.7400000000002</v>
      </c>
    </row>
    <row r="2491" spans="6:11" ht="24" customHeight="1">
      <c r="F2491" s="264"/>
      <c r="G2491" s="295"/>
      <c r="H2491" s="264"/>
      <c r="I2491" s="264"/>
      <c r="J2491" s="296"/>
      <c r="K2491" s="299" t="s">
        <v>1892</v>
      </c>
    </row>
    <row r="2492" spans="6:11" ht="24" customHeight="1">
      <c r="F2492" s="264"/>
      <c r="G2492" s="295"/>
      <c r="H2492" s="264"/>
      <c r="I2492" s="199" t="s">
        <v>2692</v>
      </c>
      <c r="J2492" s="296"/>
      <c r="K2492" s="199">
        <f>K2490/0.54</f>
        <v>3814.3333333333335</v>
      </c>
    </row>
    <row r="2493" spans="6:11" ht="24" customHeight="1">
      <c r="F2493" s="264"/>
      <c r="G2493" s="295"/>
      <c r="H2493" s="264"/>
      <c r="I2493" s="264"/>
      <c r="J2493" s="296"/>
      <c r="K2493" s="264"/>
    </row>
    <row r="2494" spans="6:11" ht="24" customHeight="1">
      <c r="F2494" s="264"/>
      <c r="G2494" s="295"/>
      <c r="H2494" s="264"/>
      <c r="I2494" s="264"/>
      <c r="J2494" s="296"/>
      <c r="K2494" s="264"/>
    </row>
    <row r="2495" spans="6:11" ht="24" customHeight="1">
      <c r="F2495" s="264"/>
      <c r="G2495" s="295"/>
      <c r="H2495" s="199" t="s">
        <v>2693</v>
      </c>
      <c r="I2495" s="264"/>
      <c r="J2495" s="296"/>
      <c r="K2495" s="264"/>
    </row>
    <row r="2496" spans="6:11" ht="24" customHeight="1">
      <c r="F2496" s="264"/>
      <c r="G2496" s="295"/>
      <c r="H2496" s="264"/>
      <c r="I2496" s="264"/>
      <c r="J2496" s="296"/>
      <c r="K2496" s="264"/>
    </row>
    <row r="2497" spans="6:18" ht="24" customHeight="1">
      <c r="F2497" s="296" t="s">
        <v>2694</v>
      </c>
      <c r="G2497" s="296"/>
      <c r="H2497" s="296"/>
      <c r="I2497" s="264">
        <v>9.42</v>
      </c>
      <c r="J2497" s="296" t="s">
        <v>2300</v>
      </c>
      <c r="K2497" s="296"/>
    </row>
    <row r="2498" spans="6:18" ht="24" customHeight="1">
      <c r="F2498" s="264" t="s">
        <v>2695</v>
      </c>
      <c r="G2498" s="295"/>
      <c r="H2498" s="264"/>
      <c r="I2498" s="264">
        <v>9.42</v>
      </c>
      <c r="J2498" s="296" t="s">
        <v>2300</v>
      </c>
      <c r="K2498" s="296"/>
    </row>
    <row r="2499" spans="6:18" ht="24" customHeight="1">
      <c r="F2499" s="264" t="s">
        <v>2696</v>
      </c>
      <c r="G2499" s="295"/>
      <c r="H2499" s="264"/>
      <c r="I2499" s="264">
        <v>1.44</v>
      </c>
      <c r="J2499" s="296" t="s">
        <v>2300</v>
      </c>
      <c r="K2499" s="296"/>
    </row>
    <row r="2500" spans="6:18" ht="24" customHeight="1">
      <c r="F2500" s="264" t="s">
        <v>2679</v>
      </c>
      <c r="G2500" s="295"/>
      <c r="H2500" s="264"/>
      <c r="I2500" s="264">
        <v>2.16</v>
      </c>
      <c r="J2500" s="296" t="s">
        <v>2300</v>
      </c>
      <c r="K2500" s="296"/>
    </row>
    <row r="2501" spans="6:18" ht="24" customHeight="1">
      <c r="F2501" s="264" t="s">
        <v>2690</v>
      </c>
      <c r="G2501" s="295"/>
      <c r="H2501" s="264"/>
      <c r="I2501" s="264">
        <v>1.56</v>
      </c>
      <c r="J2501" s="296"/>
      <c r="K2501" s="296"/>
    </row>
    <row r="2502" spans="6:18" ht="24" customHeight="1">
      <c r="F2502" s="264"/>
      <c r="G2502" s="295"/>
      <c r="H2502" s="264"/>
      <c r="I2502" s="299" t="s">
        <v>2691</v>
      </c>
      <c r="J2502" s="296"/>
      <c r="K2502" s="296"/>
      <c r="M2502" s="264"/>
      <c r="N2502" s="295"/>
      <c r="O2502" s="199" t="s">
        <v>2697</v>
      </c>
      <c r="P2502" s="264"/>
      <c r="Q2502" s="296"/>
      <c r="R2502" s="264"/>
    </row>
    <row r="2503" spans="6:18" ht="24" customHeight="1">
      <c r="F2503" s="264"/>
      <c r="G2503" s="295"/>
      <c r="H2503" s="264"/>
      <c r="I2503" s="264">
        <f>SUM(I2497:I2501)</f>
        <v>24</v>
      </c>
      <c r="J2503" s="296" t="s">
        <v>2300</v>
      </c>
      <c r="K2503" s="296"/>
      <c r="M2503" s="264"/>
      <c r="N2503" s="295"/>
      <c r="O2503" s="264"/>
      <c r="P2503" s="264"/>
      <c r="Q2503" s="296"/>
      <c r="R2503" s="264"/>
    </row>
    <row r="2504" spans="6:18" ht="24" customHeight="1">
      <c r="F2504" s="264"/>
      <c r="G2504" s="295"/>
      <c r="H2504" s="264"/>
      <c r="I2504" s="299" t="s">
        <v>2691</v>
      </c>
      <c r="J2504" s="296"/>
      <c r="K2504" s="264"/>
      <c r="M2504" s="296" t="s">
        <v>2698</v>
      </c>
      <c r="N2504" s="296"/>
      <c r="O2504" s="296"/>
      <c r="P2504" s="298">
        <f>3.77*3.9</f>
        <v>14.702999999999999</v>
      </c>
      <c r="Q2504" s="296" t="s">
        <v>2300</v>
      </c>
      <c r="R2504" s="296"/>
    </row>
    <row r="2505" spans="6:18" ht="24" customHeight="1">
      <c r="F2505" s="264"/>
      <c r="G2505" s="295"/>
      <c r="H2505" s="264"/>
      <c r="I2505" s="264"/>
      <c r="J2505" s="296"/>
      <c r="K2505" s="264"/>
      <c r="M2505" s="264" t="s">
        <v>2699</v>
      </c>
      <c r="N2505" s="295"/>
      <c r="O2505" s="264"/>
      <c r="P2505" s="264">
        <f>12*0.6*3.14</f>
        <v>22.607999999999997</v>
      </c>
      <c r="Q2505" s="296" t="s">
        <v>2300</v>
      </c>
      <c r="R2505" s="296"/>
    </row>
    <row r="2506" spans="6:18" ht="24" customHeight="1">
      <c r="F2506" s="264"/>
      <c r="G2506" s="295"/>
      <c r="H2506" s="264"/>
      <c r="I2506" s="264"/>
      <c r="J2506" s="296"/>
      <c r="K2506" s="264"/>
      <c r="M2506" s="264" t="s">
        <v>2700</v>
      </c>
      <c r="N2506" s="295"/>
      <c r="O2506" s="264"/>
      <c r="P2506" s="264">
        <f>2*1.285*1.2</f>
        <v>3.0839999999999996</v>
      </c>
      <c r="Q2506" s="296" t="s">
        <v>2300</v>
      </c>
      <c r="R2506" s="296"/>
    </row>
    <row r="2507" spans="6:18" ht="24" customHeight="1">
      <c r="F2507" s="264">
        <v>24</v>
      </c>
      <c r="G2507" s="295" t="s">
        <v>420</v>
      </c>
      <c r="H2507" s="264" t="s">
        <v>2681</v>
      </c>
      <c r="I2507" s="264">
        <f>I2485</f>
        <v>54.5</v>
      </c>
      <c r="J2507" s="296" t="s">
        <v>420</v>
      </c>
      <c r="K2507" s="264">
        <f>I2507*F2507</f>
        <v>1308</v>
      </c>
      <c r="M2507" s="264" t="s">
        <v>2679</v>
      </c>
      <c r="N2507" s="295"/>
      <c r="O2507" s="264"/>
      <c r="P2507" s="264">
        <f>3*0.6*1.2</f>
        <v>2.1599999999999997</v>
      </c>
      <c r="Q2507" s="296" t="s">
        <v>2300</v>
      </c>
      <c r="R2507" s="296"/>
    </row>
    <row r="2508" spans="6:18" ht="24" customHeight="1">
      <c r="F2508" s="264">
        <v>0.36</v>
      </c>
      <c r="G2508" s="295" t="s">
        <v>250</v>
      </c>
      <c r="H2508" s="264" t="s">
        <v>2682</v>
      </c>
      <c r="I2508" s="264">
        <f>I2486</f>
        <v>295</v>
      </c>
      <c r="J2508" s="296" t="s">
        <v>250</v>
      </c>
      <c r="K2508" s="264">
        <f>I2508*F2508</f>
        <v>106.2</v>
      </c>
      <c r="M2508" s="264" t="s">
        <v>2690</v>
      </c>
      <c r="N2508" s="295"/>
      <c r="O2508" s="264"/>
      <c r="P2508" s="264">
        <v>0.16</v>
      </c>
      <c r="Q2508" s="296"/>
      <c r="R2508" s="296"/>
    </row>
    <row r="2509" spans="6:18" ht="24" customHeight="1">
      <c r="F2509" s="264">
        <v>0.36</v>
      </c>
      <c r="G2509" s="295" t="s">
        <v>250</v>
      </c>
      <c r="H2509" s="264" t="s">
        <v>2701</v>
      </c>
      <c r="I2509" s="264">
        <f>C198</f>
        <v>31.65</v>
      </c>
      <c r="J2509" s="296" t="s">
        <v>250</v>
      </c>
      <c r="K2509" s="264">
        <f>I2509*F2509</f>
        <v>11.393999999999998</v>
      </c>
      <c r="M2509" s="264"/>
      <c r="N2509" s="295"/>
      <c r="O2509" s="264"/>
      <c r="P2509" s="299" t="s">
        <v>2691</v>
      </c>
      <c r="Q2509" s="296"/>
      <c r="R2509" s="296"/>
    </row>
    <row r="2510" spans="6:18" ht="24" customHeight="1">
      <c r="F2510" s="264"/>
      <c r="G2510" s="295"/>
      <c r="H2510" s="264" t="s">
        <v>2702</v>
      </c>
      <c r="I2510" s="449">
        <v>28.34</v>
      </c>
      <c r="J2510" s="296" t="s">
        <v>589</v>
      </c>
      <c r="K2510" s="264">
        <f>28.14</f>
        <v>28.14</v>
      </c>
      <c r="M2510" s="264"/>
      <c r="N2510" s="295"/>
      <c r="O2510" s="264"/>
      <c r="P2510" s="294">
        <f>SUM(P2504:P2508)</f>
        <v>42.714999999999989</v>
      </c>
      <c r="Q2510" s="296" t="s">
        <v>2300</v>
      </c>
      <c r="R2510" s="296">
        <f>42.55-42.713</f>
        <v>-0.16300000000000381</v>
      </c>
    </row>
    <row r="2511" spans="6:18" ht="24" customHeight="1">
      <c r="F2511" s="264"/>
      <c r="G2511" s="295"/>
      <c r="H2511" s="264"/>
      <c r="I2511" s="264"/>
      <c r="J2511" s="296"/>
      <c r="K2511" s="299" t="s">
        <v>1892</v>
      </c>
      <c r="M2511" s="264"/>
      <c r="N2511" s="295"/>
      <c r="O2511" s="264"/>
      <c r="P2511" s="299" t="s">
        <v>2691</v>
      </c>
      <c r="Q2511" s="296"/>
      <c r="R2511" s="264"/>
    </row>
    <row r="2512" spans="6:18" ht="24" customHeight="1">
      <c r="F2512" s="264"/>
      <c r="G2512" s="295"/>
      <c r="H2512" s="199" t="s">
        <v>2685</v>
      </c>
      <c r="I2512" s="264"/>
      <c r="J2512" s="296"/>
      <c r="K2512" s="199">
        <f>SUM(K2507:K2510)</f>
        <v>1453.7340000000002</v>
      </c>
      <c r="M2512" s="264"/>
      <c r="N2512" s="295"/>
      <c r="O2512" s="264"/>
      <c r="P2512" s="264"/>
      <c r="Q2512" s="296"/>
      <c r="R2512" s="264"/>
    </row>
    <row r="2513" spans="6:18" ht="24" customHeight="1">
      <c r="F2513" s="264"/>
      <c r="G2513" s="295"/>
      <c r="H2513" s="264"/>
      <c r="I2513" s="264"/>
      <c r="J2513" s="296"/>
      <c r="K2513" s="299" t="s">
        <v>1892</v>
      </c>
      <c r="M2513" s="264"/>
      <c r="N2513" s="295"/>
      <c r="O2513" s="264"/>
      <c r="P2513" s="264"/>
      <c r="Q2513" s="296"/>
      <c r="R2513" s="264"/>
    </row>
    <row r="2514" spans="6:18" ht="24" customHeight="1">
      <c r="F2514" s="264"/>
      <c r="G2514" s="295"/>
      <c r="H2514" s="264"/>
      <c r="I2514" s="264"/>
      <c r="J2514" s="296"/>
      <c r="K2514" s="264">
        <f>0.6*0.6</f>
        <v>0.36</v>
      </c>
      <c r="M2514" s="298">
        <f>P2510</f>
        <v>42.714999999999989</v>
      </c>
      <c r="N2514" s="295" t="s">
        <v>420</v>
      </c>
      <c r="O2514" s="264" t="s">
        <v>2681</v>
      </c>
      <c r="P2514" s="264">
        <f>I2507</f>
        <v>54.5</v>
      </c>
      <c r="Q2514" s="296" t="s">
        <v>420</v>
      </c>
      <c r="R2514" s="264">
        <f>P2514*M2514</f>
        <v>2327.9674999999993</v>
      </c>
    </row>
    <row r="2515" spans="6:18" ht="24" customHeight="1">
      <c r="F2515" s="264"/>
      <c r="G2515" s="295"/>
      <c r="H2515" s="199" t="s">
        <v>2703</v>
      </c>
      <c r="I2515" s="264"/>
      <c r="J2515" s="296"/>
      <c r="K2515" s="264">
        <f>K2512/K2514</f>
        <v>4038.1500000000005</v>
      </c>
      <c r="M2515" s="264">
        <v>0.77</v>
      </c>
      <c r="N2515" s="295" t="s">
        <v>250</v>
      </c>
      <c r="O2515" s="264" t="s">
        <v>2682</v>
      </c>
      <c r="P2515" s="264">
        <f>I2508</f>
        <v>295</v>
      </c>
      <c r="Q2515" s="296" t="s">
        <v>250</v>
      </c>
      <c r="R2515" s="264">
        <f>P2515*M2515</f>
        <v>227.15</v>
      </c>
    </row>
    <row r="2516" spans="6:18" ht="24" customHeight="1">
      <c r="F2516" s="264"/>
      <c r="G2516" s="295"/>
      <c r="H2516" s="264"/>
      <c r="I2516" s="264"/>
      <c r="J2516" s="296"/>
      <c r="K2516" s="264"/>
      <c r="M2516" s="264">
        <v>0.77</v>
      </c>
      <c r="N2516" s="295" t="s">
        <v>250</v>
      </c>
      <c r="O2516" s="264" t="s">
        <v>2701</v>
      </c>
      <c r="P2516" s="264">
        <f>I2509</f>
        <v>31.65</v>
      </c>
      <c r="Q2516" s="296" t="s">
        <v>250</v>
      </c>
      <c r="R2516" s="264">
        <f>P2516*M2516</f>
        <v>24.3705</v>
      </c>
    </row>
    <row r="2517" spans="6:18" ht="24" customHeight="1">
      <c r="F2517" s="199" t="s">
        <v>2704</v>
      </c>
      <c r="G2517" s="227"/>
      <c r="H2517" s="264"/>
      <c r="I2517" s="264"/>
      <c r="J2517" s="296"/>
      <c r="K2517" s="264"/>
      <c r="M2517" s="264"/>
      <c r="N2517" s="295"/>
      <c r="O2517" s="264" t="s">
        <v>2702</v>
      </c>
      <c r="P2517" s="264">
        <f>I2510</f>
        <v>28.34</v>
      </c>
      <c r="Q2517" s="296" t="s">
        <v>589</v>
      </c>
      <c r="R2517" s="264">
        <f>28.34+0.11</f>
        <v>28.45</v>
      </c>
    </row>
    <row r="2518" spans="6:18" ht="24" customHeight="1">
      <c r="F2518" s="264"/>
      <c r="G2518" s="295"/>
      <c r="H2518" s="264"/>
      <c r="I2518" s="264"/>
      <c r="J2518" s="296"/>
      <c r="K2518" s="264"/>
      <c r="M2518" s="264"/>
      <c r="N2518" s="295"/>
      <c r="O2518" s="264"/>
      <c r="P2518" s="264"/>
      <c r="Q2518" s="296"/>
      <c r="R2518" s="299" t="s">
        <v>1892</v>
      </c>
    </row>
    <row r="2519" spans="6:18" ht="24" customHeight="1">
      <c r="F2519" s="264" t="s">
        <v>2705</v>
      </c>
      <c r="G2519" s="295"/>
      <c r="H2519" s="264"/>
      <c r="I2519" s="264">
        <v>3.93</v>
      </c>
      <c r="J2519" s="296" t="s">
        <v>420</v>
      </c>
      <c r="K2519" s="264"/>
      <c r="M2519" s="264"/>
      <c r="N2519" s="295"/>
      <c r="O2519" s="199" t="s">
        <v>2685</v>
      </c>
      <c r="P2519" s="264"/>
      <c r="Q2519" s="296"/>
      <c r="R2519" s="199">
        <f>SUM(R2514:R2517)</f>
        <v>2607.9379999999992</v>
      </c>
    </row>
    <row r="2520" spans="6:18" ht="24" customHeight="1">
      <c r="F2520" s="264" t="s">
        <v>2706</v>
      </c>
      <c r="G2520" s="295"/>
      <c r="H2520" s="264"/>
      <c r="I2520" s="264">
        <v>3.14</v>
      </c>
      <c r="J2520" s="296" t="s">
        <v>420</v>
      </c>
      <c r="K2520" s="264"/>
      <c r="M2520" s="264"/>
      <c r="N2520" s="295"/>
      <c r="O2520" s="264"/>
      <c r="P2520" s="264"/>
      <c r="Q2520" s="296"/>
      <c r="R2520" s="299" t="s">
        <v>1892</v>
      </c>
    </row>
    <row r="2521" spans="6:18" ht="24" customHeight="1">
      <c r="F2521" s="264" t="s">
        <v>2707</v>
      </c>
      <c r="G2521" s="295"/>
      <c r="H2521" s="264"/>
      <c r="I2521" s="264">
        <v>1.18</v>
      </c>
      <c r="J2521" s="296" t="s">
        <v>420</v>
      </c>
      <c r="K2521" s="264"/>
      <c r="M2521" s="264"/>
      <c r="N2521" s="295"/>
      <c r="O2521" s="342" t="s">
        <v>2692</v>
      </c>
      <c r="P2521" s="264"/>
      <c r="Q2521" s="296"/>
      <c r="R2521" s="199">
        <f>R2519/M2515</f>
        <v>3386.9324675324665</v>
      </c>
    </row>
    <row r="2522" spans="6:18" ht="24" customHeight="1">
      <c r="F2522" s="264"/>
      <c r="G2522" s="295"/>
      <c r="H2522" s="264"/>
      <c r="I2522" s="264"/>
      <c r="J2522" s="296"/>
      <c r="K2522" s="264"/>
      <c r="N2522" s="76">
        <f>1.285*0.6</f>
        <v>0.77099999999999991</v>
      </c>
    </row>
    <row r="2523" spans="6:18" ht="24" customHeight="1">
      <c r="F2523" s="264"/>
      <c r="G2523" s="295"/>
      <c r="H2523" s="264"/>
      <c r="I2523" s="264"/>
      <c r="J2523" s="296"/>
      <c r="K2523" s="264"/>
    </row>
    <row r="2524" spans="6:18" ht="24" customHeight="1">
      <c r="F2524" s="264"/>
      <c r="G2524" s="295"/>
      <c r="H2524" s="199" t="s">
        <v>2703</v>
      </c>
      <c r="I2524" s="264"/>
      <c r="J2524" s="296"/>
      <c r="K2524" s="264"/>
    </row>
    <row r="2525" spans="6:18" ht="24" customHeight="1">
      <c r="F2525" s="264"/>
      <c r="G2525" s="295"/>
      <c r="H2525" s="264"/>
      <c r="I2525" s="264"/>
      <c r="J2525" s="296"/>
      <c r="K2525" s="264"/>
    </row>
    <row r="2526" spans="6:18" ht="24" customHeight="1">
      <c r="F2526" s="264"/>
      <c r="G2526" s="295"/>
      <c r="H2526" s="264"/>
      <c r="I2526" s="264"/>
      <c r="J2526" s="296"/>
      <c r="K2526" s="264"/>
    </row>
    <row r="2527" spans="6:18" ht="24" customHeight="1">
      <c r="F2527" s="264" t="s">
        <v>2708</v>
      </c>
      <c r="G2527" s="295"/>
      <c r="H2527" s="264"/>
      <c r="I2527" s="264">
        <v>24.34</v>
      </c>
      <c r="J2527" s="296" t="s">
        <v>420</v>
      </c>
      <c r="K2527" s="264"/>
    </row>
    <row r="2528" spans="6:18" ht="24" customHeight="1">
      <c r="F2528" s="264" t="s">
        <v>2709</v>
      </c>
      <c r="G2528" s="295"/>
      <c r="H2528" s="264"/>
      <c r="I2528" s="264">
        <v>11.78</v>
      </c>
      <c r="J2528" s="296" t="s">
        <v>420</v>
      </c>
      <c r="K2528" s="264"/>
    </row>
    <row r="2529" spans="6:12" ht="24" customHeight="1">
      <c r="F2529" s="264" t="s">
        <v>2710</v>
      </c>
      <c r="G2529" s="295"/>
      <c r="H2529" s="264"/>
      <c r="I2529" s="264">
        <v>59.35</v>
      </c>
      <c r="J2529" s="296" t="s">
        <v>420</v>
      </c>
      <c r="K2529" s="264"/>
    </row>
    <row r="2530" spans="6:12" ht="24" customHeight="1">
      <c r="F2530" s="264" t="s">
        <v>2711</v>
      </c>
      <c r="G2530" s="295"/>
      <c r="H2530" s="264"/>
      <c r="I2530" s="264">
        <v>5.04</v>
      </c>
      <c r="J2530" s="296" t="s">
        <v>420</v>
      </c>
      <c r="K2530" s="264"/>
    </row>
    <row r="2531" spans="6:12" ht="24" customHeight="1">
      <c r="F2531" s="264" t="s">
        <v>2712</v>
      </c>
      <c r="G2531" s="295"/>
      <c r="H2531" s="264"/>
      <c r="I2531" s="264">
        <v>4.8</v>
      </c>
      <c r="J2531" s="296" t="s">
        <v>420</v>
      </c>
      <c r="K2531" s="264"/>
    </row>
    <row r="2532" spans="6:12" ht="24" customHeight="1">
      <c r="F2532" s="264" t="s">
        <v>2713</v>
      </c>
      <c r="G2532" s="295"/>
      <c r="H2532" s="264"/>
      <c r="I2532" s="264">
        <v>2.69</v>
      </c>
      <c r="J2532" s="296"/>
      <c r="K2532" s="264"/>
    </row>
    <row r="2533" spans="6:12" ht="24" customHeight="1">
      <c r="F2533" s="264"/>
      <c r="G2533" s="295"/>
      <c r="H2533" s="264"/>
      <c r="I2533" s="299" t="s">
        <v>2691</v>
      </c>
      <c r="J2533" s="296"/>
      <c r="K2533" s="264"/>
    </row>
    <row r="2534" spans="6:12" ht="24" customHeight="1">
      <c r="F2534" s="264"/>
      <c r="G2534" s="295"/>
      <c r="H2534" s="264"/>
      <c r="I2534" s="199">
        <f>SUM(I2527:I2532)</f>
        <v>108</v>
      </c>
      <c r="J2534" s="296" t="s">
        <v>420</v>
      </c>
      <c r="K2534" s="264"/>
    </row>
    <row r="2535" spans="6:12" ht="24" customHeight="1">
      <c r="F2535" s="264"/>
      <c r="G2535" s="295"/>
      <c r="H2535" s="264"/>
      <c r="I2535" s="299" t="s">
        <v>2691</v>
      </c>
      <c r="J2535" s="296"/>
      <c r="K2535" s="264"/>
    </row>
    <row r="2536" spans="6:12" ht="24" customHeight="1">
      <c r="F2536" s="264"/>
      <c r="G2536" s="295"/>
      <c r="H2536" s="264"/>
      <c r="I2536" s="264"/>
      <c r="J2536" s="296"/>
      <c r="K2536" s="264"/>
      <c r="L2536" s="76" t="s">
        <v>2714</v>
      </c>
    </row>
    <row r="2537" spans="6:12" ht="24" customHeight="1">
      <c r="F2537" s="264">
        <v>108</v>
      </c>
      <c r="G2537" s="295" t="s">
        <v>420</v>
      </c>
      <c r="H2537" s="264" t="s">
        <v>2715</v>
      </c>
      <c r="I2537" s="264">
        <f>I2466</f>
        <v>54.5</v>
      </c>
      <c r="J2537" s="296" t="s">
        <v>420</v>
      </c>
      <c r="K2537" s="264">
        <f>F2537*I2537</f>
        <v>5886</v>
      </c>
    </row>
    <row r="2538" spans="6:12" ht="24" customHeight="1">
      <c r="F2538" s="264">
        <v>2.1</v>
      </c>
      <c r="G2538" s="295" t="s">
        <v>250</v>
      </c>
      <c r="H2538" s="264" t="s">
        <v>2682</v>
      </c>
      <c r="I2538" s="264">
        <f>I2467</f>
        <v>295</v>
      </c>
      <c r="J2538" s="296" t="s">
        <v>250</v>
      </c>
      <c r="K2538" s="264">
        <f>F2538*I2538</f>
        <v>619.5</v>
      </c>
      <c r="L2538" s="159">
        <v>42.713000000000001</v>
      </c>
    </row>
    <row r="2539" spans="6:12" ht="24" customHeight="1">
      <c r="F2539" s="264">
        <v>2.1</v>
      </c>
      <c r="G2539" s="295" t="s">
        <v>250</v>
      </c>
      <c r="H2539" s="264" t="s">
        <v>2716</v>
      </c>
      <c r="I2539" s="264">
        <f>I2468</f>
        <v>91</v>
      </c>
      <c r="J2539" s="296" t="s">
        <v>250</v>
      </c>
      <c r="K2539" s="264">
        <f>F2539*I2539</f>
        <v>191.1</v>
      </c>
      <c r="L2539" s="76">
        <v>0.77</v>
      </c>
    </row>
    <row r="2540" spans="6:12" ht="24" customHeight="1">
      <c r="F2540" s="264"/>
      <c r="G2540" s="295"/>
      <c r="H2540" s="264" t="s">
        <v>2717</v>
      </c>
      <c r="I2540" s="264">
        <v>267.10000000000002</v>
      </c>
      <c r="J2540" s="296" t="s">
        <v>589</v>
      </c>
      <c r="K2540" s="264">
        <f>I2540</f>
        <v>267.10000000000002</v>
      </c>
      <c r="L2540" s="76">
        <v>0.77</v>
      </c>
    </row>
    <row r="2541" spans="6:12" ht="24" customHeight="1">
      <c r="F2541" s="264"/>
      <c r="G2541" s="295"/>
      <c r="H2541" s="264"/>
      <c r="I2541" s="264"/>
      <c r="J2541" s="296"/>
      <c r="K2541" s="299" t="s">
        <v>1892</v>
      </c>
    </row>
    <row r="2542" spans="6:12" ht="24" customHeight="1">
      <c r="F2542" s="264"/>
      <c r="G2542" s="295"/>
      <c r="H2542" s="264"/>
      <c r="I2542" s="264"/>
      <c r="J2542" s="296"/>
      <c r="K2542" s="264">
        <f>SUM(K2537:K2540)</f>
        <v>6963.7000000000007</v>
      </c>
    </row>
    <row r="2543" spans="6:12" ht="24" customHeight="1">
      <c r="F2543" s="264"/>
      <c r="G2543" s="295"/>
      <c r="H2543" s="264" t="s">
        <v>2718</v>
      </c>
      <c r="I2543" s="264">
        <v>500</v>
      </c>
      <c r="J2543" s="296" t="s">
        <v>589</v>
      </c>
      <c r="K2543" s="264">
        <f>I2543</f>
        <v>500</v>
      </c>
    </row>
    <row r="2544" spans="6:12" ht="24" customHeight="1">
      <c r="F2544" s="264"/>
      <c r="G2544" s="295"/>
      <c r="H2544" s="264"/>
      <c r="I2544" s="264"/>
      <c r="J2544" s="296"/>
      <c r="K2544" s="299" t="s">
        <v>1892</v>
      </c>
    </row>
    <row r="2545" spans="6:11" ht="24" customHeight="1">
      <c r="F2545" s="264"/>
      <c r="G2545" s="295"/>
      <c r="H2545" s="199" t="s">
        <v>2719</v>
      </c>
      <c r="I2545" s="264"/>
      <c r="J2545" s="296"/>
      <c r="K2545" s="199">
        <f>SUM(K2542:K2543)</f>
        <v>7463.7000000000007</v>
      </c>
    </row>
    <row r="2546" spans="6:11" ht="24" customHeight="1">
      <c r="F2546" s="264"/>
      <c r="G2546" s="295"/>
      <c r="H2546" s="264"/>
      <c r="I2546" s="264"/>
      <c r="J2546" s="296"/>
      <c r="K2546" s="299" t="s">
        <v>1892</v>
      </c>
    </row>
    <row r="2547" spans="6:11" ht="24" customHeight="1">
      <c r="F2547" s="264"/>
      <c r="G2547" s="295"/>
      <c r="H2547" s="264"/>
      <c r="I2547" s="264"/>
      <c r="J2547" s="296"/>
      <c r="K2547" s="264"/>
    </row>
    <row r="2548" spans="6:11" ht="24" customHeight="1">
      <c r="F2548" s="264"/>
      <c r="G2548" s="295"/>
      <c r="H2548" s="264"/>
      <c r="I2548" s="264"/>
      <c r="J2548" s="296"/>
      <c r="K2548" s="264">
        <f>8054-K2545</f>
        <v>590.29999999999927</v>
      </c>
    </row>
    <row r="2549" spans="6:11" ht="24" customHeight="1">
      <c r="F2549" s="264"/>
      <c r="G2549" s="295"/>
      <c r="H2549" s="264"/>
      <c r="I2549" s="264"/>
      <c r="J2549" s="296"/>
      <c r="K2549" s="264"/>
    </row>
    <row r="2550" spans="6:11" ht="24" customHeight="1">
      <c r="F2550" s="264"/>
      <c r="G2550" s="295"/>
      <c r="H2550" s="199" t="s">
        <v>2720</v>
      </c>
      <c r="I2550" s="264"/>
      <c r="J2550" s="296"/>
      <c r="K2550" s="264"/>
    </row>
    <row r="2551" spans="6:11" ht="24" customHeight="1">
      <c r="F2551" s="264"/>
      <c r="G2551" s="295"/>
      <c r="H2551" s="264"/>
      <c r="I2551" s="264"/>
      <c r="J2551" s="296"/>
      <c r="K2551" s="264"/>
    </row>
    <row r="2552" spans="6:11" ht="24" customHeight="1">
      <c r="F2552" s="199" t="s">
        <v>2704</v>
      </c>
      <c r="G2552" s="227"/>
      <c r="H2552" s="264"/>
      <c r="I2552" s="264"/>
      <c r="J2552" s="296"/>
      <c r="K2552" s="264"/>
    </row>
    <row r="2553" spans="6:11" ht="24" customHeight="1">
      <c r="F2553" s="264"/>
      <c r="G2553" s="295"/>
      <c r="H2553" s="264"/>
      <c r="I2553" s="264"/>
      <c r="J2553" s="296"/>
      <c r="K2553" s="264"/>
    </row>
    <row r="2554" spans="6:11" ht="24" customHeight="1">
      <c r="F2554" s="264" t="s">
        <v>2721</v>
      </c>
      <c r="G2554" s="295"/>
      <c r="H2554" s="264"/>
      <c r="I2554" s="298">
        <v>2.944</v>
      </c>
      <c r="J2554" s="296" t="s">
        <v>420</v>
      </c>
      <c r="K2554" s="264"/>
    </row>
    <row r="2555" spans="6:11" ht="24" customHeight="1">
      <c r="F2555" s="264" t="s">
        <v>2722</v>
      </c>
      <c r="G2555" s="295"/>
      <c r="H2555" s="264"/>
      <c r="I2555" s="298">
        <v>2.355</v>
      </c>
      <c r="J2555" s="296" t="s">
        <v>420</v>
      </c>
      <c r="K2555" s="264"/>
    </row>
    <row r="2556" spans="6:11" ht="24" customHeight="1">
      <c r="F2556" s="264" t="s">
        <v>2723</v>
      </c>
      <c r="G2556" s="295"/>
      <c r="H2556" s="264"/>
      <c r="I2556" s="298">
        <v>0.88300000000000001</v>
      </c>
      <c r="J2556" s="296" t="s">
        <v>420</v>
      </c>
      <c r="K2556" s="264"/>
    </row>
    <row r="2557" spans="6:11" ht="24" customHeight="1">
      <c r="F2557" s="264"/>
      <c r="G2557" s="295"/>
      <c r="H2557" s="264"/>
      <c r="I2557" s="264"/>
      <c r="J2557" s="296"/>
      <c r="K2557" s="264"/>
    </row>
    <row r="2558" spans="6:11" ht="24" customHeight="1">
      <c r="F2558" s="264"/>
      <c r="G2558" s="295"/>
      <c r="H2558" s="264"/>
      <c r="I2558" s="264"/>
      <c r="J2558" s="296"/>
      <c r="K2558" s="264"/>
    </row>
    <row r="2559" spans="6:11" ht="24" customHeight="1">
      <c r="F2559" s="264"/>
      <c r="G2559" s="295"/>
      <c r="H2559" s="199" t="s">
        <v>2720</v>
      </c>
      <c r="I2559" s="264"/>
      <c r="J2559" s="296"/>
      <c r="K2559" s="264"/>
    </row>
    <row r="2560" spans="6:11" ht="24" customHeight="1">
      <c r="F2560" s="264"/>
      <c r="G2560" s="295"/>
      <c r="H2560" s="264"/>
      <c r="I2560" s="264"/>
      <c r="J2560" s="296"/>
      <c r="K2560" s="264"/>
    </row>
    <row r="2561" spans="6:18" ht="24" customHeight="1">
      <c r="F2561" s="264"/>
      <c r="G2561" s="295"/>
      <c r="H2561" s="264"/>
      <c r="I2561" s="264"/>
      <c r="J2561" s="296"/>
      <c r="K2561" s="264"/>
      <c r="M2561" s="264"/>
      <c r="N2561" s="450">
        <v>24.1</v>
      </c>
      <c r="O2561" s="199" t="s">
        <v>2697</v>
      </c>
      <c r="P2561" s="264"/>
      <c r="Q2561" s="296"/>
      <c r="R2561" s="264"/>
    </row>
    <row r="2562" spans="6:18" ht="24" customHeight="1">
      <c r="F2562" s="264" t="s">
        <v>2724</v>
      </c>
      <c r="G2562" s="295"/>
      <c r="H2562" s="264"/>
      <c r="I2562" s="264">
        <v>16.38</v>
      </c>
      <c r="J2562" s="296" t="s">
        <v>420</v>
      </c>
      <c r="K2562" s="264"/>
      <c r="M2562" s="264"/>
      <c r="N2562" s="451" t="s">
        <v>528</v>
      </c>
      <c r="O2562" s="452"/>
      <c r="P2562" s="264"/>
      <c r="Q2562" s="296"/>
      <c r="R2562" s="264"/>
    </row>
    <row r="2563" spans="6:18" ht="24" customHeight="1">
      <c r="F2563" s="264" t="s">
        <v>2725</v>
      </c>
      <c r="G2563" s="295"/>
      <c r="H2563" s="264"/>
      <c r="I2563" s="264">
        <v>8.7799999999999994</v>
      </c>
      <c r="J2563" s="296" t="s">
        <v>420</v>
      </c>
      <c r="K2563" s="264"/>
      <c r="M2563" s="296" t="s">
        <v>2726</v>
      </c>
      <c r="N2563" s="296"/>
      <c r="O2563" s="296"/>
      <c r="P2563" s="264">
        <v>14.8</v>
      </c>
      <c r="Q2563" s="296" t="s">
        <v>2300</v>
      </c>
      <c r="R2563" s="264"/>
    </row>
    <row r="2564" spans="6:18" ht="24" customHeight="1">
      <c r="F2564" s="264" t="s">
        <v>2727</v>
      </c>
      <c r="G2564" s="295"/>
      <c r="H2564" s="264"/>
      <c r="I2564" s="264">
        <v>37.67</v>
      </c>
      <c r="J2564" s="296" t="s">
        <v>420</v>
      </c>
      <c r="K2564" s="264"/>
      <c r="M2564" s="264" t="s">
        <v>2677</v>
      </c>
      <c r="N2564" s="295"/>
      <c r="O2564" s="264"/>
      <c r="P2564" s="264">
        <v>22.61</v>
      </c>
      <c r="Q2564" s="296" t="s">
        <v>2300</v>
      </c>
      <c r="R2564" s="264"/>
    </row>
    <row r="2565" spans="6:18" ht="24" customHeight="1">
      <c r="F2565" s="264" t="s">
        <v>2728</v>
      </c>
      <c r="G2565" s="295"/>
      <c r="H2565" s="264"/>
      <c r="I2565" s="264">
        <v>3.24</v>
      </c>
      <c r="J2565" s="296" t="s">
        <v>420</v>
      </c>
      <c r="K2565" s="264"/>
      <c r="M2565" s="264" t="s">
        <v>2678</v>
      </c>
      <c r="N2565" s="295"/>
      <c r="O2565" s="264"/>
      <c r="P2565" s="264">
        <v>3.24</v>
      </c>
      <c r="Q2565" s="296" t="s">
        <v>2300</v>
      </c>
      <c r="R2565" s="264"/>
    </row>
    <row r="2566" spans="6:18" ht="24" customHeight="1">
      <c r="F2566" s="264" t="s">
        <v>2729</v>
      </c>
      <c r="G2566" s="295"/>
      <c r="H2566" s="264"/>
      <c r="I2566" s="264">
        <v>3.6</v>
      </c>
      <c r="J2566" s="296" t="s">
        <v>420</v>
      </c>
      <c r="K2566" s="264"/>
      <c r="M2566" s="264" t="s">
        <v>2679</v>
      </c>
      <c r="N2566" s="295"/>
      <c r="O2566" s="264"/>
      <c r="P2566" s="264">
        <v>2.16</v>
      </c>
      <c r="Q2566" s="296" t="s">
        <v>2300</v>
      </c>
      <c r="R2566" s="264"/>
    </row>
    <row r="2567" spans="6:18" ht="24" customHeight="1">
      <c r="F2567" s="264" t="s">
        <v>2713</v>
      </c>
      <c r="G2567" s="295"/>
      <c r="H2567" s="264"/>
      <c r="I2567" s="264">
        <v>2.88</v>
      </c>
      <c r="J2567" s="296"/>
      <c r="K2567" s="264"/>
      <c r="M2567" s="264"/>
      <c r="N2567" s="295"/>
      <c r="O2567" s="264"/>
      <c r="P2567" s="264"/>
      <c r="Q2567" s="296"/>
      <c r="R2567" s="264"/>
    </row>
    <row r="2568" spans="6:18" ht="24" customHeight="1">
      <c r="F2568" s="264"/>
      <c r="G2568" s="295"/>
      <c r="H2568" s="264"/>
      <c r="I2568" s="299" t="s">
        <v>2691</v>
      </c>
      <c r="J2568" s="296"/>
      <c r="K2568" s="264"/>
      <c r="M2568" s="264"/>
      <c r="N2568" s="295"/>
      <c r="O2568" s="264"/>
      <c r="P2568" s="299" t="s">
        <v>1892</v>
      </c>
      <c r="Q2568" s="296"/>
      <c r="R2568" s="264"/>
    </row>
    <row r="2569" spans="6:18" ht="24" customHeight="1">
      <c r="F2569" s="264"/>
      <c r="G2569" s="295"/>
      <c r="H2569" s="264"/>
      <c r="I2569" s="199">
        <f>SUM(I2562:I2567)</f>
        <v>72.549999999999983</v>
      </c>
      <c r="J2569" s="296" t="s">
        <v>420</v>
      </c>
      <c r="K2569" s="264"/>
      <c r="M2569" s="264"/>
      <c r="N2569" s="295"/>
      <c r="O2569" s="264"/>
      <c r="P2569" s="264">
        <f>SUM(P2563:P2567)</f>
        <v>42.81</v>
      </c>
      <c r="Q2569" s="296"/>
      <c r="R2569" s="264"/>
    </row>
    <row r="2570" spans="6:18" ht="24" customHeight="1">
      <c r="F2570" s="264"/>
      <c r="G2570" s="295"/>
      <c r="H2570" s="264"/>
      <c r="I2570" s="299" t="s">
        <v>2691</v>
      </c>
      <c r="J2570" s="296"/>
      <c r="K2570" s="264"/>
      <c r="M2570" s="264"/>
      <c r="N2570" s="295"/>
      <c r="O2570" s="264"/>
      <c r="P2570" s="264" t="s">
        <v>2680</v>
      </c>
      <c r="Q2570" s="296"/>
      <c r="R2570" s="264"/>
    </row>
    <row r="2571" spans="6:18" ht="24" customHeight="1">
      <c r="F2571" s="264"/>
      <c r="G2571" s="295"/>
      <c r="H2571" s="264"/>
      <c r="I2571" s="264"/>
      <c r="J2571" s="296"/>
      <c r="K2571" s="264"/>
      <c r="M2571" s="264"/>
      <c r="N2571" s="295"/>
      <c r="O2571" s="264"/>
      <c r="P2571" s="264"/>
      <c r="Q2571" s="296"/>
      <c r="R2571" s="264"/>
    </row>
    <row r="2572" spans="6:18" ht="24" customHeight="1">
      <c r="F2572" s="264">
        <v>72.55</v>
      </c>
      <c r="G2572" s="295" t="s">
        <v>420</v>
      </c>
      <c r="H2572" s="264" t="s">
        <v>2715</v>
      </c>
      <c r="I2572" s="264">
        <f>I2537</f>
        <v>54.5</v>
      </c>
      <c r="J2572" s="296" t="s">
        <v>420</v>
      </c>
      <c r="K2572" s="264">
        <f>F2572*I2572</f>
        <v>3953.9749999999999</v>
      </c>
      <c r="M2572" s="264"/>
      <c r="N2572" s="295"/>
      <c r="O2572" s="264"/>
      <c r="P2572" s="264"/>
      <c r="Q2572" s="296"/>
      <c r="R2572" s="264"/>
    </row>
    <row r="2573" spans="6:18" ht="24" customHeight="1">
      <c r="F2573" s="264">
        <v>1.01</v>
      </c>
      <c r="G2573" s="295" t="s">
        <v>250</v>
      </c>
      <c r="H2573" s="264" t="s">
        <v>2682</v>
      </c>
      <c r="I2573" s="264">
        <f>I2538</f>
        <v>295</v>
      </c>
      <c r="J2573" s="296" t="s">
        <v>250</v>
      </c>
      <c r="K2573" s="453">
        <f>F2573*I2573</f>
        <v>297.95</v>
      </c>
      <c r="M2573" s="264">
        <v>42.81</v>
      </c>
      <c r="N2573" s="295" t="s">
        <v>420</v>
      </c>
      <c r="O2573" s="76" t="s">
        <v>2730</v>
      </c>
      <c r="P2573" s="264">
        <f>I2572</f>
        <v>54.5</v>
      </c>
      <c r="Q2573" s="296" t="s">
        <v>420</v>
      </c>
      <c r="R2573" s="264">
        <f>P2573*M2573</f>
        <v>2333.145</v>
      </c>
    </row>
    <row r="2574" spans="6:18" ht="24" customHeight="1">
      <c r="F2574" s="264">
        <v>1.01</v>
      </c>
      <c r="G2574" s="295" t="s">
        <v>250</v>
      </c>
      <c r="H2574" s="264" t="str">
        <f>H2539</f>
        <v>Fly proof mesh</v>
      </c>
      <c r="I2574" s="264">
        <f>I2539</f>
        <v>91</v>
      </c>
      <c r="J2574" s="296" t="s">
        <v>250</v>
      </c>
      <c r="K2574" s="264">
        <f>F2574*I2574</f>
        <v>91.91</v>
      </c>
      <c r="M2574" s="264">
        <v>0.77</v>
      </c>
      <c r="N2574" s="295" t="s">
        <v>250</v>
      </c>
      <c r="O2574" s="264" t="s">
        <v>2731</v>
      </c>
      <c r="P2574" s="264">
        <f>I2573</f>
        <v>295</v>
      </c>
      <c r="Q2574" s="296" t="s">
        <v>250</v>
      </c>
      <c r="R2574" s="264">
        <f>P2574*M2574</f>
        <v>227.15</v>
      </c>
    </row>
    <row r="2575" spans="6:18" ht="24" customHeight="1">
      <c r="F2575" s="264"/>
      <c r="G2575" s="295"/>
      <c r="H2575" s="264" t="s">
        <v>2717</v>
      </c>
      <c r="I2575" s="264">
        <v>266.49</v>
      </c>
      <c r="J2575" s="296" t="s">
        <v>589</v>
      </c>
      <c r="K2575" s="264">
        <f>I2575</f>
        <v>266.49</v>
      </c>
      <c r="M2575" s="264">
        <v>0.77</v>
      </c>
      <c r="N2575" s="295" t="s">
        <v>250</v>
      </c>
      <c r="O2575" s="341" t="s">
        <v>2732</v>
      </c>
      <c r="P2575" s="264">
        <f>I2574</f>
        <v>91</v>
      </c>
      <c r="Q2575" s="296" t="s">
        <v>250</v>
      </c>
      <c r="R2575" s="264">
        <f>P2575*M2575</f>
        <v>70.070000000000007</v>
      </c>
    </row>
    <row r="2576" spans="6:18" ht="24" customHeight="1">
      <c r="F2576" s="264"/>
      <c r="G2576" s="295"/>
      <c r="H2576" s="264"/>
      <c r="I2576" s="264"/>
      <c r="J2576" s="296"/>
      <c r="K2576" s="299" t="s">
        <v>1892</v>
      </c>
      <c r="M2576" s="264"/>
      <c r="N2576" s="295"/>
      <c r="O2576" s="264" t="s">
        <v>2684</v>
      </c>
      <c r="P2576" s="264">
        <f>46.62+0.48</f>
        <v>47.099999999999994</v>
      </c>
      <c r="Q2576" s="296" t="s">
        <v>589</v>
      </c>
      <c r="R2576" s="264">
        <f>P2576</f>
        <v>47.099999999999994</v>
      </c>
    </row>
    <row r="2577" spans="6:24" ht="24" customHeight="1">
      <c r="F2577" s="264"/>
      <c r="G2577" s="295"/>
      <c r="H2577" s="264"/>
      <c r="I2577" s="264"/>
      <c r="J2577" s="296"/>
      <c r="K2577" s="264">
        <f>SUM(K2572:K2575)</f>
        <v>4610.3249999999998</v>
      </c>
      <c r="M2577" s="264"/>
      <c r="N2577" s="295"/>
      <c r="O2577" s="264"/>
      <c r="P2577" s="264"/>
      <c r="Q2577" s="296"/>
      <c r="R2577" s="299" t="s">
        <v>1892</v>
      </c>
    </row>
    <row r="2578" spans="6:24" ht="24" customHeight="1">
      <c r="F2578" s="264"/>
      <c r="G2578" s="295"/>
      <c r="H2578" s="264" t="s">
        <v>2718</v>
      </c>
      <c r="I2578" s="264">
        <v>255</v>
      </c>
      <c r="J2578" s="296" t="s">
        <v>589</v>
      </c>
      <c r="K2578" s="76">
        <v>255</v>
      </c>
      <c r="M2578" s="264"/>
      <c r="N2578" s="295"/>
      <c r="O2578" s="199" t="s">
        <v>2685</v>
      </c>
      <c r="P2578" s="264"/>
      <c r="Q2578" s="296"/>
      <c r="R2578" s="199">
        <f>SUM(R2573:R2576)</f>
        <v>2677.4650000000001</v>
      </c>
    </row>
    <row r="2579" spans="6:24" ht="24" customHeight="1">
      <c r="F2579" s="264"/>
      <c r="G2579" s="295"/>
      <c r="H2579" s="264"/>
      <c r="I2579" s="264"/>
      <c r="J2579" s="296"/>
      <c r="K2579" s="299" t="s">
        <v>1892</v>
      </c>
      <c r="M2579" s="264"/>
      <c r="N2579" s="295"/>
      <c r="O2579" s="264"/>
      <c r="P2579" s="264"/>
      <c r="Q2579" s="296"/>
      <c r="R2579" s="299" t="s">
        <v>1892</v>
      </c>
    </row>
    <row r="2580" spans="6:24" ht="24" customHeight="1">
      <c r="F2580" s="264"/>
      <c r="G2580" s="295"/>
      <c r="H2580" s="199" t="s">
        <v>2719</v>
      </c>
      <c r="I2580" s="264"/>
      <c r="J2580" s="296"/>
      <c r="K2580" s="199">
        <f>SUM(K2577:K2578)</f>
        <v>4865.3249999999998</v>
      </c>
      <c r="N2580" s="156"/>
      <c r="O2580" s="76">
        <f>1.285*0.6</f>
        <v>0.77099999999999991</v>
      </c>
      <c r="Q2580" s="158"/>
      <c r="R2580" s="76">
        <f>R2578/O2580</f>
        <v>3472.717250324255</v>
      </c>
    </row>
    <row r="2581" spans="6:24" ht="24" customHeight="1">
      <c r="F2581" s="264"/>
      <c r="G2581" s="295"/>
      <c r="H2581" s="264"/>
      <c r="I2581" s="264"/>
      <c r="J2581" s="296"/>
      <c r="K2581" s="299" t="s">
        <v>1892</v>
      </c>
      <c r="M2581" s="264">
        <f>I2574</f>
        <v>91</v>
      </c>
      <c r="O2581" s="158">
        <f>M2581*L2540</f>
        <v>70.070000000000007</v>
      </c>
    </row>
    <row r="2582" spans="6:24" ht="24" customHeight="1">
      <c r="F2582" s="264"/>
      <c r="G2582" s="295"/>
      <c r="H2582" s="264"/>
      <c r="I2582" s="264"/>
      <c r="J2582" s="296"/>
      <c r="K2582" s="264"/>
      <c r="M2582" s="264"/>
      <c r="O2582" s="158">
        <v>0.8</v>
      </c>
    </row>
    <row r="2583" spans="6:24" ht="24" customHeight="1">
      <c r="F2583" s="264"/>
      <c r="G2583" s="295"/>
      <c r="H2583" s="264"/>
      <c r="I2583" s="264"/>
      <c r="J2583" s="296"/>
      <c r="K2583" s="264">
        <f>5261-K2580</f>
        <v>395.67500000000018</v>
      </c>
      <c r="O2583" s="158">
        <f>SUM(O2579:O2582)</f>
        <v>71.641000000000005</v>
      </c>
    </row>
    <row r="2584" spans="6:24" ht="24" customHeight="1">
      <c r="F2584" s="264"/>
      <c r="G2584" s="295"/>
      <c r="H2584" s="264"/>
      <c r="I2584" s="264"/>
      <c r="J2584" s="296"/>
      <c r="K2584" s="264"/>
      <c r="O2584" s="158">
        <f>O2583/0.77</f>
        <v>93.040259740259742</v>
      </c>
    </row>
    <row r="2585" spans="6:24" ht="24" customHeight="1">
      <c r="F2585" s="264"/>
      <c r="G2585" s="295"/>
      <c r="H2585" s="199" t="s">
        <v>2720</v>
      </c>
      <c r="I2585" s="264"/>
      <c r="J2585" s="296"/>
      <c r="K2585" s="264"/>
    </row>
    <row r="2586" spans="6:24" ht="24" customHeight="1">
      <c r="F2586" s="264"/>
      <c r="G2586" s="295"/>
      <c r="H2586" s="264"/>
      <c r="I2586" s="264"/>
      <c r="J2586" s="296"/>
      <c r="K2586" s="264"/>
    </row>
    <row r="2587" spans="6:24" ht="24" customHeight="1">
      <c r="F2587" s="199" t="s">
        <v>2704</v>
      </c>
      <c r="G2587" s="227"/>
      <c r="H2587" s="264"/>
      <c r="I2587" s="264"/>
      <c r="J2587" s="296"/>
      <c r="K2587" s="264"/>
      <c r="S2587" s="298"/>
      <c r="T2587" s="295"/>
      <c r="U2587" s="76" t="s">
        <v>2733</v>
      </c>
      <c r="V2587" s="264"/>
      <c r="W2587" s="296"/>
      <c r="X2587" s="264"/>
    </row>
    <row r="2588" spans="6:24" ht="24" customHeight="1">
      <c r="F2588" s="264"/>
      <c r="G2588" s="295"/>
      <c r="H2588" s="264"/>
      <c r="I2588" s="264"/>
      <c r="J2588" s="296"/>
      <c r="K2588" s="264"/>
      <c r="S2588" s="298"/>
      <c r="T2588" s="295"/>
      <c r="U2588" s="264"/>
      <c r="V2588" s="264"/>
      <c r="W2588" s="296"/>
      <c r="X2588" s="264"/>
    </row>
    <row r="2589" spans="6:24" ht="24" customHeight="1">
      <c r="F2589" s="264" t="s">
        <v>2721</v>
      </c>
      <c r="G2589" s="295"/>
      <c r="H2589" s="264"/>
      <c r="I2589" s="298">
        <v>2.944</v>
      </c>
      <c r="J2589" s="296" t="s">
        <v>420</v>
      </c>
      <c r="K2589" s="264"/>
      <c r="S2589" s="298" t="s">
        <v>2734</v>
      </c>
      <c r="T2589" s="295"/>
      <c r="U2589" s="264"/>
      <c r="V2589" s="454">
        <f>2*0.85*2.025</f>
        <v>3.4424999999999999</v>
      </c>
      <c r="W2589" s="296"/>
      <c r="X2589" s="264"/>
    </row>
    <row r="2590" spans="6:24" ht="24" customHeight="1">
      <c r="F2590" s="264" t="s">
        <v>2722</v>
      </c>
      <c r="G2590" s="295"/>
      <c r="H2590" s="264"/>
      <c r="I2590" s="298">
        <v>2.355</v>
      </c>
      <c r="J2590" s="296" t="s">
        <v>420</v>
      </c>
      <c r="K2590" s="264"/>
      <c r="S2590" s="298" t="s">
        <v>2735</v>
      </c>
      <c r="T2590" s="295"/>
      <c r="U2590" s="264"/>
      <c r="V2590" s="454">
        <v>2.2800000000000001E-2</v>
      </c>
      <c r="W2590" s="296"/>
      <c r="X2590" s="264"/>
    </row>
    <row r="2591" spans="6:24" ht="24" customHeight="1">
      <c r="F2591" s="264" t="s">
        <v>2723</v>
      </c>
      <c r="G2591" s="295"/>
      <c r="H2591" s="264"/>
      <c r="I2591" s="298">
        <v>0.88300000000000001</v>
      </c>
      <c r="J2591" s="296" t="s">
        <v>420</v>
      </c>
      <c r="K2591" s="264"/>
      <c r="S2591" s="298" t="s">
        <v>2736</v>
      </c>
      <c r="T2591" s="295"/>
      <c r="U2591" s="264"/>
      <c r="V2591" s="294">
        <f>2*3*0.85*0.15*0.0375</f>
        <v>2.8687499999999994E-2</v>
      </c>
      <c r="W2591" s="296"/>
      <c r="X2591" s="264"/>
    </row>
    <row r="2592" spans="6:24" ht="24" customHeight="1">
      <c r="F2592" s="264"/>
      <c r="G2592" s="295"/>
      <c r="H2592" s="264"/>
      <c r="I2592" s="264"/>
      <c r="J2592" s="296"/>
      <c r="K2592" s="264"/>
      <c r="S2592" s="298"/>
      <c r="T2592" s="295" t="s">
        <v>2737</v>
      </c>
      <c r="U2592" s="264"/>
      <c r="V2592" s="294">
        <f>2*3*0.85*0.075*0.0375</f>
        <v>1.4343749999999997E-2</v>
      </c>
      <c r="W2592" s="296"/>
      <c r="X2592" s="264"/>
    </row>
    <row r="2593" spans="6:33" ht="24" customHeight="1">
      <c r="F2593" s="264"/>
      <c r="G2593" s="295"/>
      <c r="H2593" s="264"/>
      <c r="I2593" s="264"/>
      <c r="J2593" s="296"/>
      <c r="K2593" s="264"/>
      <c r="S2593" s="298"/>
      <c r="T2593" s="295"/>
      <c r="U2593" s="264"/>
      <c r="V2593" s="455">
        <f>SUM(V2591:V2592)</f>
        <v>4.3031249999999993E-2</v>
      </c>
      <c r="W2593" s="296"/>
      <c r="X2593" s="264"/>
    </row>
    <row r="2594" spans="6:33" ht="24" customHeight="1">
      <c r="F2594" s="264"/>
      <c r="G2594" s="295"/>
      <c r="H2594" s="199" t="s">
        <v>2720</v>
      </c>
      <c r="I2594" s="264"/>
      <c r="J2594" s="296"/>
      <c r="K2594" s="264"/>
      <c r="S2594" s="298"/>
      <c r="T2594" s="295"/>
      <c r="U2594" s="264"/>
      <c r="V2594" s="264"/>
      <c r="W2594" s="296"/>
      <c r="X2594" s="264"/>
    </row>
    <row r="2595" spans="6:33" ht="24" customHeight="1">
      <c r="F2595" s="264"/>
      <c r="G2595" s="295"/>
      <c r="H2595" s="264"/>
      <c r="I2595" s="264"/>
      <c r="J2595" s="296"/>
      <c r="K2595" s="264"/>
      <c r="S2595" s="298"/>
      <c r="T2595" s="295"/>
      <c r="U2595" s="264"/>
      <c r="V2595" s="264"/>
      <c r="W2595" s="296"/>
      <c r="X2595" s="264"/>
    </row>
    <row r="2596" spans="6:33" ht="24" customHeight="1">
      <c r="F2596" s="264"/>
      <c r="G2596" s="295"/>
      <c r="H2596" s="264"/>
      <c r="I2596" s="264"/>
      <c r="J2596" s="296"/>
      <c r="K2596" s="264"/>
      <c r="S2596" s="298" t="s">
        <v>2738</v>
      </c>
      <c r="T2596" s="295"/>
      <c r="U2596" s="264"/>
      <c r="V2596" s="294">
        <f>2*4*0.725*0.3*0.01875</f>
        <v>3.2625000000000001E-2</v>
      </c>
      <c r="W2596" s="296"/>
      <c r="X2596" s="264"/>
    </row>
    <row r="2597" spans="6:33" ht="24" customHeight="1">
      <c r="F2597" s="264" t="s">
        <v>2724</v>
      </c>
      <c r="G2597" s="295"/>
      <c r="H2597" s="264"/>
      <c r="I2597" s="264">
        <v>16.38</v>
      </c>
      <c r="J2597" s="296" t="s">
        <v>420</v>
      </c>
      <c r="K2597" s="264"/>
      <c r="S2597" s="298" t="s">
        <v>2739</v>
      </c>
      <c r="T2597" s="295"/>
      <c r="U2597" s="264"/>
      <c r="V2597" s="294">
        <f>2*0.725*0.3*0.01875</f>
        <v>8.1562500000000003E-3</v>
      </c>
      <c r="W2597" s="296"/>
      <c r="X2597" s="264"/>
    </row>
    <row r="2598" spans="6:33" ht="24" customHeight="1">
      <c r="F2598" s="264" t="s">
        <v>2725</v>
      </c>
      <c r="G2598" s="295"/>
      <c r="H2598" s="264"/>
      <c r="I2598" s="264">
        <v>8.7799999999999994</v>
      </c>
      <c r="J2598" s="296" t="s">
        <v>420</v>
      </c>
      <c r="K2598" s="264"/>
      <c r="S2598" s="298"/>
      <c r="T2598" s="295"/>
      <c r="U2598" s="264"/>
      <c r="V2598" s="455">
        <f>SUM(V2596:V2597)</f>
        <v>4.0781250000000005E-2</v>
      </c>
      <c r="W2598" s="296"/>
      <c r="X2598" s="264"/>
    </row>
    <row r="2599" spans="6:33" ht="24" customHeight="1">
      <c r="F2599" s="264" t="s">
        <v>2727</v>
      </c>
      <c r="G2599" s="295"/>
      <c r="H2599" s="264"/>
      <c r="I2599" s="264">
        <v>37.67</v>
      </c>
      <c r="J2599" s="296" t="s">
        <v>420</v>
      </c>
      <c r="K2599" s="264"/>
      <c r="S2599" s="298"/>
      <c r="T2599" s="295"/>
      <c r="U2599" s="199" t="s">
        <v>2740</v>
      </c>
      <c r="V2599" s="264"/>
      <c r="W2599" s="296"/>
      <c r="X2599" s="264"/>
      <c r="Y2599" s="252">
        <v>2.3099999999999999E-2</v>
      </c>
      <c r="Z2599" s="76">
        <f>Y2599*V2601</f>
        <v>2577.96</v>
      </c>
    </row>
    <row r="2600" spans="6:33" ht="24" customHeight="1">
      <c r="F2600" s="264" t="s">
        <v>2728</v>
      </c>
      <c r="G2600" s="295"/>
      <c r="H2600" s="264"/>
      <c r="I2600" s="264">
        <v>3.24</v>
      </c>
      <c r="J2600" s="296" t="s">
        <v>420</v>
      </c>
      <c r="K2600" s="264"/>
      <c r="S2600" s="298"/>
      <c r="T2600" s="295"/>
      <c r="U2600" s="264"/>
      <c r="V2600" s="264"/>
      <c r="W2600" s="296"/>
      <c r="X2600" s="264"/>
      <c r="Y2600" s="252">
        <v>4.48E-2</v>
      </c>
      <c r="Z2600" s="76">
        <f>Y2600*V2602</f>
        <v>4453.12</v>
      </c>
    </row>
    <row r="2601" spans="6:33" ht="40.5" customHeight="1">
      <c r="F2601" s="264" t="s">
        <v>2729</v>
      </c>
      <c r="G2601" s="295"/>
      <c r="H2601" s="264"/>
      <c r="I2601" s="264">
        <v>3.6</v>
      </c>
      <c r="J2601" s="296" t="s">
        <v>420</v>
      </c>
      <c r="K2601" s="264"/>
      <c r="S2601" s="294">
        <f>V2590</f>
        <v>2.2800000000000001E-2</v>
      </c>
      <c r="T2601" s="295" t="s">
        <v>577</v>
      </c>
      <c r="U2601" s="264" t="s">
        <v>2741</v>
      </c>
      <c r="V2601" s="264">
        <f>I2633</f>
        <v>111600</v>
      </c>
      <c r="W2601" s="296" t="s">
        <v>577</v>
      </c>
      <c r="X2601" s="264">
        <f>S2601*V2601</f>
        <v>2544.48</v>
      </c>
      <c r="Y2601" s="252">
        <v>2.2690000000000001</v>
      </c>
      <c r="Z2601" s="76">
        <f>Y2601*336</f>
        <v>762.38400000000001</v>
      </c>
      <c r="AB2601" s="264"/>
      <c r="AC2601" s="295"/>
      <c r="AD2601" s="1006" t="s">
        <v>2742</v>
      </c>
      <c r="AE2601" s="1006"/>
      <c r="AF2601" s="1006"/>
      <c r="AG2601" s="1006"/>
    </row>
    <row r="2602" spans="6:33" ht="24" customHeight="1">
      <c r="F2602" s="264" t="s">
        <v>2713</v>
      </c>
      <c r="G2602" s="295"/>
      <c r="H2602" s="264"/>
      <c r="I2602" s="264">
        <v>2.88</v>
      </c>
      <c r="J2602" s="296"/>
      <c r="K2602" s="264"/>
      <c r="S2602" s="294">
        <f>V2593</f>
        <v>4.3031249999999993E-2</v>
      </c>
      <c r="T2602" s="295" t="s">
        <v>577</v>
      </c>
      <c r="U2602" s="264" t="s">
        <v>1878</v>
      </c>
      <c r="V2602" s="264">
        <f t="shared" ref="V2602:V2610" si="236">I2634</f>
        <v>99400</v>
      </c>
      <c r="W2602" s="296" t="s">
        <v>577</v>
      </c>
      <c r="X2602" s="264">
        <f t="shared" ref="X2602:X2612" si="237">S2602*V2602</f>
        <v>4277.3062499999996</v>
      </c>
      <c r="Y2602" s="252">
        <v>3.4849999999999999</v>
      </c>
      <c r="Z2602" s="76">
        <f>Y2602*V2604</f>
        <v>3852.6675</v>
      </c>
      <c r="AB2602" s="264"/>
      <c r="AC2602" s="295"/>
      <c r="AD2602" s="264"/>
      <c r="AE2602" s="264"/>
      <c r="AF2602" s="296"/>
      <c r="AG2602" s="264"/>
    </row>
    <row r="2603" spans="6:33" ht="24" customHeight="1">
      <c r="F2603" s="264"/>
      <c r="G2603" s="295"/>
      <c r="H2603" s="264"/>
      <c r="I2603" s="299" t="s">
        <v>2691</v>
      </c>
      <c r="J2603" s="296"/>
      <c r="K2603" s="264"/>
      <c r="S2603" s="294">
        <f>V2598</f>
        <v>4.0781250000000005E-2</v>
      </c>
      <c r="T2603" s="295" t="s">
        <v>577</v>
      </c>
      <c r="U2603" s="264" t="s">
        <v>1879</v>
      </c>
      <c r="V2603" s="264">
        <f t="shared" si="236"/>
        <v>101921.4</v>
      </c>
      <c r="W2603" s="296" t="s">
        <v>577</v>
      </c>
      <c r="X2603" s="264">
        <f t="shared" si="237"/>
        <v>4156.4820937499999</v>
      </c>
      <c r="Y2603" s="252">
        <v>2</v>
      </c>
      <c r="Z2603" s="76">
        <f>Y2603*V2605</f>
        <v>900</v>
      </c>
      <c r="AB2603" s="264" t="s">
        <v>2743</v>
      </c>
      <c r="AC2603" s="295"/>
      <c r="AD2603" s="264"/>
      <c r="AE2603" s="454">
        <f>2*0.95*2.025</f>
        <v>3.8474999999999997</v>
      </c>
      <c r="AF2603" s="296"/>
      <c r="AG2603" s="264"/>
    </row>
    <row r="2604" spans="6:33" ht="24" customHeight="1">
      <c r="F2604" s="264"/>
      <c r="G2604" s="295"/>
      <c r="H2604" s="264"/>
      <c r="I2604" s="199">
        <f>SUM(I2597:I2602)</f>
        <v>72.549999999999983</v>
      </c>
      <c r="J2604" s="296" t="s">
        <v>420</v>
      </c>
      <c r="K2604" s="264"/>
      <c r="S2604" s="294">
        <f>V2589</f>
        <v>3.4424999999999999</v>
      </c>
      <c r="T2604" s="295" t="s">
        <v>916</v>
      </c>
      <c r="U2604" s="264" t="s">
        <v>1880</v>
      </c>
      <c r="V2604" s="264">
        <f t="shared" si="236"/>
        <v>1105.5</v>
      </c>
      <c r="W2604" s="296" t="s">
        <v>916</v>
      </c>
      <c r="X2604" s="264">
        <f t="shared" si="237"/>
        <v>3805.6837499999997</v>
      </c>
      <c r="Y2604" s="252">
        <v>6</v>
      </c>
      <c r="Z2604" s="76">
        <f>Y2604*V2606</f>
        <v>474</v>
      </c>
      <c r="AB2604" s="264" t="s">
        <v>2735</v>
      </c>
      <c r="AC2604" s="295"/>
      <c r="AD2604" s="264"/>
      <c r="AE2604" s="454">
        <v>2.2800000000000001E-2</v>
      </c>
      <c r="AF2604" s="296"/>
      <c r="AG2604" s="264"/>
    </row>
    <row r="2605" spans="6:33" ht="24" customHeight="1">
      <c r="F2605" s="264"/>
      <c r="G2605" s="295"/>
      <c r="H2605" s="264"/>
      <c r="I2605" s="299" t="s">
        <v>2691</v>
      </c>
      <c r="J2605" s="296"/>
      <c r="K2605" s="264"/>
      <c r="S2605" s="298">
        <v>2</v>
      </c>
      <c r="T2605" s="295" t="s">
        <v>1882</v>
      </c>
      <c r="U2605" s="264" t="s">
        <v>1883</v>
      </c>
      <c r="V2605" s="264">
        <f t="shared" si="236"/>
        <v>450</v>
      </c>
      <c r="W2605" s="296" t="s">
        <v>332</v>
      </c>
      <c r="X2605" s="264">
        <f t="shared" si="237"/>
        <v>900</v>
      </c>
      <c r="Y2605" s="252">
        <v>4</v>
      </c>
      <c r="Z2605" s="76">
        <f>Y2605*V2607</f>
        <v>520</v>
      </c>
      <c r="AB2605" s="264" t="s">
        <v>2744</v>
      </c>
      <c r="AC2605" s="295"/>
      <c r="AD2605" s="264"/>
      <c r="AE2605" s="294">
        <f>2*3*0.95*0.15*0.0375</f>
        <v>3.2062499999999994E-2</v>
      </c>
      <c r="AF2605" s="296"/>
      <c r="AG2605" s="264"/>
    </row>
    <row r="2606" spans="6:33" ht="24" customHeight="1">
      <c r="F2606" s="264"/>
      <c r="G2606" s="295"/>
      <c r="H2606" s="264"/>
      <c r="I2606" s="264"/>
      <c r="J2606" s="296"/>
      <c r="K2606" s="264"/>
      <c r="S2606" s="298">
        <v>6</v>
      </c>
      <c r="T2606" s="295" t="s">
        <v>1882</v>
      </c>
      <c r="U2606" s="264" t="s">
        <v>1884</v>
      </c>
      <c r="V2606" s="264">
        <f t="shared" si="236"/>
        <v>79</v>
      </c>
      <c r="W2606" s="296" t="s">
        <v>332</v>
      </c>
      <c r="X2606" s="264">
        <f t="shared" si="237"/>
        <v>474</v>
      </c>
      <c r="Y2606" s="252">
        <v>1</v>
      </c>
      <c r="Z2606" s="76">
        <f>Y2606*X2608</f>
        <v>985</v>
      </c>
      <c r="AB2606" s="264"/>
      <c r="AC2606" s="295" t="s">
        <v>2745</v>
      </c>
      <c r="AD2606" s="264"/>
      <c r="AE2606" s="294">
        <f>2*3*0.95*0.075*0.0375</f>
        <v>1.6031249999999997E-2</v>
      </c>
      <c r="AF2606" s="296"/>
      <c r="AG2606" s="264"/>
    </row>
    <row r="2607" spans="6:33" ht="24" customHeight="1">
      <c r="F2607" s="264">
        <v>73</v>
      </c>
      <c r="G2607" s="295" t="s">
        <v>420</v>
      </c>
      <c r="H2607" s="264" t="s">
        <v>2715</v>
      </c>
      <c r="I2607" s="264">
        <f>I2572</f>
        <v>54.5</v>
      </c>
      <c r="J2607" s="296" t="s">
        <v>420</v>
      </c>
      <c r="K2607" s="264">
        <f>F2607*I2607</f>
        <v>3978.5</v>
      </c>
      <c r="S2607" s="298">
        <v>4</v>
      </c>
      <c r="T2607" s="295" t="s">
        <v>1882</v>
      </c>
      <c r="U2607" s="264" t="s">
        <v>1885</v>
      </c>
      <c r="V2607" s="264">
        <f t="shared" si="236"/>
        <v>130</v>
      </c>
      <c r="W2607" s="296" t="s">
        <v>332</v>
      </c>
      <c r="X2607" s="264">
        <f t="shared" si="237"/>
        <v>520</v>
      </c>
      <c r="Y2607" s="252">
        <v>2</v>
      </c>
      <c r="Z2607" s="76">
        <f>Y2607*V2609</f>
        <v>15</v>
      </c>
      <c r="AB2607" s="264"/>
      <c r="AC2607" s="295"/>
      <c r="AD2607" s="264"/>
      <c r="AE2607" s="455">
        <f>SUM(AE2605:AE2606)</f>
        <v>4.8093749999999991E-2</v>
      </c>
      <c r="AF2607" s="296"/>
      <c r="AG2607" s="264"/>
    </row>
    <row r="2608" spans="6:33" ht="24" customHeight="1">
      <c r="F2608" s="264">
        <v>1.01</v>
      </c>
      <c r="G2608" s="295" t="s">
        <v>250</v>
      </c>
      <c r="H2608" s="264" t="s">
        <v>2682</v>
      </c>
      <c r="I2608" s="264">
        <f>I2573</f>
        <v>295</v>
      </c>
      <c r="J2608" s="296" t="s">
        <v>250</v>
      </c>
      <c r="K2608" s="453">
        <f>F2608*I2608</f>
        <v>297.95</v>
      </c>
      <c r="S2608" s="298">
        <v>1</v>
      </c>
      <c r="T2608" s="295" t="s">
        <v>1882</v>
      </c>
      <c r="U2608" s="264" t="s">
        <v>1887</v>
      </c>
      <c r="V2608" s="264">
        <f t="shared" si="236"/>
        <v>985</v>
      </c>
      <c r="W2608" s="296" t="s">
        <v>332</v>
      </c>
      <c r="X2608" s="264">
        <f t="shared" si="237"/>
        <v>985</v>
      </c>
      <c r="Y2608" s="252">
        <v>2</v>
      </c>
      <c r="Z2608" s="76">
        <f>Y2608*V2610</f>
        <v>87.6</v>
      </c>
      <c r="AB2608" s="264"/>
      <c r="AC2608" s="295"/>
      <c r="AD2608" s="264"/>
      <c r="AE2608" s="264"/>
      <c r="AF2608" s="296"/>
      <c r="AG2608" s="264"/>
    </row>
    <row r="2609" spans="6:33" ht="24" customHeight="1">
      <c r="F2609" s="264">
        <v>1.01</v>
      </c>
      <c r="G2609" s="295" t="s">
        <v>250</v>
      </c>
      <c r="H2609" s="264" t="s">
        <v>2746</v>
      </c>
      <c r="I2609" s="264">
        <f>C198</f>
        <v>31.65</v>
      </c>
      <c r="J2609" s="296" t="s">
        <v>250</v>
      </c>
      <c r="K2609" s="264">
        <f>F2609*I2609</f>
        <v>31.9665</v>
      </c>
      <c r="S2609" s="298">
        <v>2</v>
      </c>
      <c r="T2609" s="295" t="s">
        <v>1882</v>
      </c>
      <c r="U2609" s="264" t="s">
        <v>939</v>
      </c>
      <c r="V2609" s="264">
        <v>7.5</v>
      </c>
      <c r="W2609" s="296" t="s">
        <v>332</v>
      </c>
      <c r="X2609" s="264">
        <f t="shared" si="237"/>
        <v>15</v>
      </c>
      <c r="Y2609" s="252"/>
      <c r="Z2609" s="76">
        <v>20</v>
      </c>
      <c r="AB2609" s="264"/>
      <c r="AC2609" s="295"/>
      <c r="AD2609" s="264"/>
      <c r="AE2609" s="264"/>
      <c r="AF2609" s="296"/>
      <c r="AG2609" s="264"/>
    </row>
    <row r="2610" spans="6:33" ht="24" customHeight="1">
      <c r="F2610" s="264"/>
      <c r="G2610" s="295"/>
      <c r="H2610" s="264" t="s">
        <v>2717</v>
      </c>
      <c r="I2610" s="449">
        <v>266.81</v>
      </c>
      <c r="J2610" s="296" t="s">
        <v>589</v>
      </c>
      <c r="K2610" s="264">
        <f>I2610</f>
        <v>266.81</v>
      </c>
      <c r="S2610" s="298">
        <v>2</v>
      </c>
      <c r="T2610" s="295" t="s">
        <v>1882</v>
      </c>
      <c r="U2610" s="264" t="s">
        <v>941</v>
      </c>
      <c r="V2610" s="264">
        <f t="shared" si="236"/>
        <v>43.8</v>
      </c>
      <c r="W2610" s="296" t="s">
        <v>332</v>
      </c>
      <c r="X2610" s="264">
        <f t="shared" si="237"/>
        <v>87.6</v>
      </c>
      <c r="Z2610" s="76">
        <f>SUM(Z2599:Z2609)</f>
        <v>14647.7315</v>
      </c>
      <c r="AB2610" s="264" t="s">
        <v>2747</v>
      </c>
      <c r="AC2610" s="295"/>
      <c r="AD2610" s="264"/>
      <c r="AE2610" s="294">
        <f>2*4*0.825*0.3*0.01875</f>
        <v>3.7124999999999991E-2</v>
      </c>
      <c r="AF2610" s="296"/>
      <c r="AG2610" s="264"/>
    </row>
    <row r="2611" spans="6:33" ht="24" customHeight="1">
      <c r="F2611" s="264"/>
      <c r="G2611" s="295"/>
      <c r="H2611" s="264"/>
      <c r="I2611" s="264"/>
      <c r="J2611" s="296"/>
      <c r="K2611" s="299" t="s">
        <v>1892</v>
      </c>
      <c r="S2611" s="298"/>
      <c r="T2611" s="295"/>
      <c r="U2611" s="264"/>
      <c r="V2611" s="264"/>
      <c r="W2611" s="296"/>
      <c r="X2611" s="264"/>
      <c r="Z2611" s="76">
        <f>Z2610/3.485</f>
        <v>4203.0793400286948</v>
      </c>
      <c r="AB2611" s="264" t="s">
        <v>2748</v>
      </c>
      <c r="AC2611" s="295"/>
      <c r="AD2611" s="264"/>
      <c r="AE2611" s="294">
        <f>2*0.825*0.3*0.01875</f>
        <v>9.2812499999999978E-3</v>
      </c>
      <c r="AF2611" s="296"/>
      <c r="AG2611" s="264"/>
    </row>
    <row r="2612" spans="6:33" ht="24" customHeight="1">
      <c r="F2612" s="264"/>
      <c r="G2612" s="295"/>
      <c r="H2612" s="264"/>
      <c r="I2612" s="264"/>
      <c r="J2612" s="296"/>
      <c r="K2612" s="264">
        <f>SUM(K2607:K2610)</f>
        <v>4575.2265000000007</v>
      </c>
      <c r="S2612" s="298">
        <v>10</v>
      </c>
      <c r="T2612" s="295"/>
      <c r="U2612" s="264" t="s">
        <v>1815</v>
      </c>
      <c r="V2612" s="264">
        <f>I2643</f>
        <v>2.35</v>
      </c>
      <c r="W2612" s="296"/>
      <c r="X2612" s="264">
        <f t="shared" si="237"/>
        <v>23.5</v>
      </c>
      <c r="AB2612" s="264"/>
      <c r="AC2612" s="295"/>
      <c r="AD2612" s="264"/>
      <c r="AE2612" s="455">
        <f>SUM(AE2610:AE2611)</f>
        <v>4.6406249999999989E-2</v>
      </c>
      <c r="AF2612" s="296"/>
      <c r="AG2612" s="264"/>
    </row>
    <row r="2613" spans="6:33" ht="24" customHeight="1">
      <c r="F2613" s="264"/>
      <c r="G2613" s="295"/>
      <c r="H2613" s="264" t="s">
        <v>2718</v>
      </c>
      <c r="I2613" s="449">
        <v>255</v>
      </c>
      <c r="J2613" s="296" t="s">
        <v>589</v>
      </c>
      <c r="K2613" s="264">
        <v>255</v>
      </c>
      <c r="S2613" s="298"/>
      <c r="T2613" s="227"/>
      <c r="U2613" s="199" t="s">
        <v>881</v>
      </c>
      <c r="V2613" s="264"/>
      <c r="W2613" s="296"/>
      <c r="X2613" s="199">
        <f>SUM(X2601:X2612)</f>
        <v>17789.052093749997</v>
      </c>
      <c r="AB2613" s="264"/>
      <c r="AC2613" s="295"/>
      <c r="AD2613" s="199" t="s">
        <v>2740</v>
      </c>
      <c r="AE2613" s="264"/>
      <c r="AF2613" s="296"/>
      <c r="AG2613" s="264"/>
    </row>
    <row r="2614" spans="6:33" ht="24" customHeight="1">
      <c r="F2614" s="264"/>
      <c r="G2614" s="295"/>
      <c r="H2614" s="264"/>
      <c r="I2614" s="264"/>
      <c r="J2614" s="296"/>
      <c r="K2614" s="299" t="s">
        <v>1892</v>
      </c>
      <c r="S2614" s="298"/>
      <c r="T2614" s="227"/>
      <c r="U2614" s="199"/>
      <c r="V2614" s="264"/>
      <c r="W2614" s="296"/>
      <c r="X2614" s="299" t="s">
        <v>1892</v>
      </c>
      <c r="AB2614" s="264"/>
      <c r="AC2614" s="295"/>
      <c r="AD2614" s="264"/>
      <c r="AE2614" s="264"/>
      <c r="AF2614" s="296"/>
      <c r="AG2614" s="264"/>
    </row>
    <row r="2615" spans="6:33" ht="24" customHeight="1">
      <c r="F2615" s="264"/>
      <c r="G2615" s="295"/>
      <c r="H2615" s="199" t="s">
        <v>2719</v>
      </c>
      <c r="I2615" s="264"/>
      <c r="J2615" s="296"/>
      <c r="K2615" s="199">
        <f>SUM(K2612:K2613)</f>
        <v>4830.2265000000007</v>
      </c>
      <c r="M2615" s="76">
        <f>5227-K2615</f>
        <v>396.77349999999933</v>
      </c>
      <c r="S2615" s="298"/>
      <c r="T2615" s="227"/>
      <c r="U2615" s="199" t="s">
        <v>2749</v>
      </c>
      <c r="V2615" s="264"/>
      <c r="W2615" s="296"/>
      <c r="X2615" s="199">
        <f>X2613/3.4425</f>
        <v>5167.480637254901</v>
      </c>
      <c r="AB2615" s="294">
        <f>AE2604</f>
        <v>2.2800000000000001E-2</v>
      </c>
      <c r="AC2615" s="295" t="s">
        <v>577</v>
      </c>
      <c r="AD2615" s="264" t="s">
        <v>2741</v>
      </c>
      <c r="AE2615" s="264">
        <f>V2601</f>
        <v>111600</v>
      </c>
      <c r="AF2615" s="296" t="s">
        <v>577</v>
      </c>
      <c r="AG2615" s="264">
        <f>AB2615*AE2615</f>
        <v>2544.48</v>
      </c>
    </row>
    <row r="2616" spans="6:33" ht="24" customHeight="1">
      <c r="F2616" s="264"/>
      <c r="G2616" s="295"/>
      <c r="H2616" s="264"/>
      <c r="I2616" s="264"/>
      <c r="J2616" s="296"/>
      <c r="K2616" s="299" t="s">
        <v>1892</v>
      </c>
      <c r="AB2616" s="294">
        <f>AE2607</f>
        <v>4.8093749999999991E-2</v>
      </c>
      <c r="AC2616" s="295" t="s">
        <v>577</v>
      </c>
      <c r="AD2616" s="264" t="s">
        <v>1878</v>
      </c>
      <c r="AE2616" s="264">
        <f t="shared" ref="AE2616:AE2624" si="238">V2602</f>
        <v>99400</v>
      </c>
      <c r="AF2616" s="296" t="s">
        <v>577</v>
      </c>
      <c r="AG2616" s="264">
        <f t="shared" ref="AG2616:AG2624" si="239">AB2616*AE2616</f>
        <v>4780.5187499999993</v>
      </c>
    </row>
    <row r="2617" spans="6:33" ht="24" customHeight="1">
      <c r="F2617" s="264"/>
      <c r="G2617" s="295"/>
      <c r="H2617" s="264"/>
      <c r="I2617" s="264"/>
      <c r="J2617" s="296"/>
      <c r="K2617" s="264"/>
      <c r="AB2617" s="297">
        <f>AE2612</f>
        <v>4.6406249999999989E-2</v>
      </c>
      <c r="AC2617" s="295" t="s">
        <v>577</v>
      </c>
      <c r="AD2617" s="264" t="s">
        <v>1879</v>
      </c>
      <c r="AE2617" s="264">
        <f t="shared" si="238"/>
        <v>101921.4</v>
      </c>
      <c r="AF2617" s="296" t="s">
        <v>577</v>
      </c>
      <c r="AG2617" s="264">
        <f t="shared" si="239"/>
        <v>4729.7899687499985</v>
      </c>
    </row>
    <row r="2618" spans="6:33" ht="24" customHeight="1">
      <c r="F2618" s="264"/>
      <c r="G2618" s="295"/>
      <c r="H2618" s="264"/>
      <c r="I2618" s="264"/>
      <c r="J2618" s="296"/>
      <c r="K2618" s="264"/>
      <c r="AB2618" s="294">
        <f>AE2603</f>
        <v>3.8474999999999997</v>
      </c>
      <c r="AC2618" s="295" t="s">
        <v>916</v>
      </c>
      <c r="AD2618" s="264" t="s">
        <v>1880</v>
      </c>
      <c r="AE2618" s="264">
        <f t="shared" si="238"/>
        <v>1105.5</v>
      </c>
      <c r="AF2618" s="296" t="s">
        <v>916</v>
      </c>
      <c r="AG2618" s="264">
        <f t="shared" si="239"/>
        <v>4253.4112500000001</v>
      </c>
    </row>
    <row r="2619" spans="6:33" ht="24" customHeight="1">
      <c r="F2619" s="264"/>
      <c r="G2619" s="295"/>
      <c r="H2619" s="199" t="s">
        <v>2750</v>
      </c>
      <c r="I2619" s="199"/>
      <c r="J2619" s="296"/>
      <c r="K2619" s="264"/>
      <c r="AB2619" s="264">
        <v>2</v>
      </c>
      <c r="AC2619" s="295" t="s">
        <v>1882</v>
      </c>
      <c r="AD2619" s="264" t="s">
        <v>1883</v>
      </c>
      <c r="AE2619" s="264">
        <f t="shared" si="238"/>
        <v>450</v>
      </c>
      <c r="AF2619" s="296" t="s">
        <v>332</v>
      </c>
      <c r="AG2619" s="264">
        <f t="shared" si="239"/>
        <v>900</v>
      </c>
    </row>
    <row r="2620" spans="6:33" ht="24" customHeight="1">
      <c r="F2620" s="264"/>
      <c r="G2620" s="295"/>
      <c r="H2620" s="264"/>
      <c r="I2620" s="264"/>
      <c r="J2620" s="296"/>
      <c r="K2620" s="264"/>
      <c r="AB2620" s="264">
        <v>6</v>
      </c>
      <c r="AC2620" s="295" t="s">
        <v>1882</v>
      </c>
      <c r="AD2620" s="264" t="s">
        <v>1884</v>
      </c>
      <c r="AE2620" s="264">
        <f t="shared" si="238"/>
        <v>79</v>
      </c>
      <c r="AF2620" s="296" t="s">
        <v>332</v>
      </c>
      <c r="AG2620" s="264">
        <f t="shared" si="239"/>
        <v>474</v>
      </c>
    </row>
    <row r="2621" spans="6:33" ht="24" customHeight="1">
      <c r="F2621" s="264" t="s">
        <v>2751</v>
      </c>
      <c r="G2621" s="295"/>
      <c r="H2621" s="264"/>
      <c r="I2621" s="264"/>
      <c r="J2621" s="296"/>
      <c r="K2621" s="264"/>
      <c r="AB2621" s="264">
        <v>4</v>
      </c>
      <c r="AC2621" s="295" t="s">
        <v>1882</v>
      </c>
      <c r="AD2621" s="264" t="s">
        <v>1885</v>
      </c>
      <c r="AE2621" s="264">
        <f t="shared" si="238"/>
        <v>130</v>
      </c>
      <c r="AF2621" s="296" t="s">
        <v>332</v>
      </c>
      <c r="AG2621" s="264">
        <f t="shared" si="239"/>
        <v>520</v>
      </c>
    </row>
    <row r="2622" spans="6:33" ht="24" customHeight="1">
      <c r="F2622" s="264" t="s">
        <v>2735</v>
      </c>
      <c r="G2622" s="295"/>
      <c r="H2622" s="264"/>
      <c r="I2622" s="454">
        <v>2.2800000000000001E-2</v>
      </c>
      <c r="J2622" s="296"/>
      <c r="K2622" s="264"/>
      <c r="AB2622" s="264">
        <v>1</v>
      </c>
      <c r="AC2622" s="295" t="s">
        <v>1882</v>
      </c>
      <c r="AD2622" s="264" t="s">
        <v>1887</v>
      </c>
      <c r="AE2622" s="264">
        <f t="shared" si="238"/>
        <v>985</v>
      </c>
      <c r="AF2622" s="296" t="s">
        <v>332</v>
      </c>
      <c r="AG2622" s="264">
        <f t="shared" si="239"/>
        <v>985</v>
      </c>
    </row>
    <row r="2623" spans="6:33" ht="24" customHeight="1">
      <c r="F2623" s="264" t="s">
        <v>2752</v>
      </c>
      <c r="G2623" s="295"/>
      <c r="H2623" s="264"/>
      <c r="I2623" s="294">
        <v>2.3599999999999999E-2</v>
      </c>
      <c r="J2623" s="296"/>
      <c r="K2623" s="264"/>
      <c r="AB2623" s="264">
        <v>2</v>
      </c>
      <c r="AC2623" s="295" t="s">
        <v>1882</v>
      </c>
      <c r="AD2623" s="264" t="s">
        <v>939</v>
      </c>
      <c r="AE2623" s="264">
        <f t="shared" si="238"/>
        <v>7.5</v>
      </c>
      <c r="AF2623" s="296" t="s">
        <v>332</v>
      </c>
      <c r="AG2623" s="264">
        <f t="shared" si="239"/>
        <v>15</v>
      </c>
    </row>
    <row r="2624" spans="6:33" ht="24" customHeight="1">
      <c r="F2624" s="264"/>
      <c r="G2624" s="295" t="s">
        <v>2753</v>
      </c>
      <c r="H2624" s="264"/>
      <c r="I2624" s="294">
        <v>1.18E-2</v>
      </c>
      <c r="J2624" s="296"/>
      <c r="K2624" s="264"/>
      <c r="AB2624" s="264">
        <v>2</v>
      </c>
      <c r="AC2624" s="295" t="s">
        <v>1882</v>
      </c>
      <c r="AD2624" s="264" t="s">
        <v>941</v>
      </c>
      <c r="AE2624" s="264">
        <f t="shared" si="238"/>
        <v>43.8</v>
      </c>
      <c r="AF2624" s="296" t="s">
        <v>332</v>
      </c>
      <c r="AG2624" s="264">
        <f t="shared" si="239"/>
        <v>87.6</v>
      </c>
    </row>
    <row r="2625" spans="6:33" ht="24" customHeight="1">
      <c r="F2625" s="264"/>
      <c r="G2625" s="295"/>
      <c r="H2625" s="264"/>
      <c r="I2625" s="455">
        <f>SUM(I2623:I2624)</f>
        <v>3.5400000000000001E-2</v>
      </c>
      <c r="J2625" s="296"/>
      <c r="K2625" s="264"/>
      <c r="AB2625" s="264"/>
      <c r="AC2625" s="295"/>
      <c r="AD2625" s="264"/>
      <c r="AE2625" s="264"/>
      <c r="AF2625" s="296"/>
      <c r="AG2625" s="264"/>
    </row>
    <row r="2626" spans="6:33" ht="24" customHeight="1">
      <c r="F2626" s="264"/>
      <c r="G2626" s="295"/>
      <c r="H2626" s="264"/>
      <c r="I2626" s="264"/>
      <c r="J2626" s="296"/>
      <c r="K2626" s="264"/>
      <c r="M2626" s="264"/>
      <c r="N2626" s="295"/>
      <c r="O2626" s="199" t="s">
        <v>2754</v>
      </c>
      <c r="P2626" s="264"/>
      <c r="Q2626" s="296"/>
      <c r="R2626" s="264"/>
      <c r="AB2626" s="264"/>
      <c r="AC2626" s="295"/>
      <c r="AD2626" s="264"/>
      <c r="AE2626" s="264"/>
      <c r="AF2626" s="296"/>
      <c r="AG2626" s="299">
        <v>10.54</v>
      </c>
    </row>
    <row r="2627" spans="6:33" ht="24" customHeight="1">
      <c r="F2627" s="264"/>
      <c r="G2627" s="295"/>
      <c r="H2627" s="264"/>
      <c r="I2627" s="264"/>
      <c r="J2627" s="296"/>
      <c r="K2627" s="264"/>
      <c r="M2627" s="264"/>
      <c r="N2627" s="295"/>
      <c r="O2627" s="264"/>
      <c r="P2627" s="264"/>
      <c r="Q2627" s="296"/>
      <c r="R2627" s="264"/>
      <c r="AB2627" s="264"/>
      <c r="AC2627" s="227"/>
      <c r="AD2627" s="199" t="s">
        <v>881</v>
      </c>
      <c r="AE2627" s="264"/>
      <c r="AF2627" s="296"/>
      <c r="AG2627" s="199">
        <f>SUM(AG2615:AG2626)</f>
        <v>19300.339968749999</v>
      </c>
    </row>
    <row r="2628" spans="6:33" ht="24" customHeight="1">
      <c r="F2628" s="264" t="s">
        <v>2755</v>
      </c>
      <c r="G2628" s="295"/>
      <c r="H2628" s="264"/>
      <c r="I2628" s="294">
        <v>2.5899999999999999E-2</v>
      </c>
      <c r="J2628" s="296"/>
      <c r="K2628" s="264"/>
      <c r="M2628" s="264" t="s">
        <v>2756</v>
      </c>
      <c r="N2628" s="295"/>
      <c r="O2628" s="264"/>
      <c r="P2628" s="264"/>
      <c r="Q2628" s="296"/>
      <c r="R2628" s="264"/>
      <c r="AB2628" s="264"/>
      <c r="AC2628" s="227"/>
      <c r="AD2628" s="199"/>
      <c r="AE2628" s="264"/>
      <c r="AF2628" s="296"/>
      <c r="AG2628" s="299" t="s">
        <v>1892</v>
      </c>
    </row>
    <row r="2629" spans="6:33" ht="24" customHeight="1">
      <c r="F2629" s="264" t="s">
        <v>2757</v>
      </c>
      <c r="G2629" s="295"/>
      <c r="H2629" s="264"/>
      <c r="I2629" s="294">
        <f>2*0.575*0.3*0.01875</f>
        <v>6.4687499999999997E-3</v>
      </c>
      <c r="J2629" s="296"/>
      <c r="K2629" s="264">
        <f>3643035-3769622.98</f>
        <v>-126587.97999999998</v>
      </c>
      <c r="M2629" s="264" t="s">
        <v>2735</v>
      </c>
      <c r="N2629" s="295"/>
      <c r="O2629" s="264"/>
      <c r="P2629" s="454">
        <v>2.2800000000000001E-2</v>
      </c>
      <c r="Q2629" s="296"/>
      <c r="R2629" s="264"/>
      <c r="AB2629" s="264"/>
      <c r="AC2629" s="227"/>
      <c r="AD2629" s="199" t="s">
        <v>2758</v>
      </c>
      <c r="AE2629" s="264"/>
      <c r="AF2629" s="296"/>
      <c r="AG2629" s="199">
        <f>AG2627/3.8475</f>
        <v>5016.3326754385962</v>
      </c>
    </row>
    <row r="2630" spans="6:33" ht="24" customHeight="1">
      <c r="F2630" s="264"/>
      <c r="G2630" s="295"/>
      <c r="H2630" s="264"/>
      <c r="I2630" s="455">
        <f>SUM(I2628:I2629)</f>
        <v>3.2368750000000002E-2</v>
      </c>
      <c r="J2630" s="296"/>
      <c r="K2630" s="264"/>
      <c r="M2630" s="264" t="s">
        <v>2759</v>
      </c>
      <c r="N2630" s="295"/>
      <c r="O2630" s="264"/>
      <c r="P2630" s="294">
        <v>1.8599999999999998E-2</v>
      </c>
      <c r="Q2630" s="296"/>
      <c r="R2630" s="264"/>
    </row>
    <row r="2631" spans="6:33" ht="24" customHeight="1">
      <c r="F2631" s="264"/>
      <c r="G2631" s="295"/>
      <c r="H2631" s="199" t="s">
        <v>2740</v>
      </c>
      <c r="I2631" s="264"/>
      <c r="J2631" s="296"/>
      <c r="K2631" s="264"/>
      <c r="M2631" s="264"/>
      <c r="N2631" s="295" t="s">
        <v>2760</v>
      </c>
      <c r="O2631" s="264"/>
      <c r="P2631" s="294">
        <v>9.2999999999999992E-3</v>
      </c>
      <c r="Q2631" s="296"/>
      <c r="R2631" s="264"/>
    </row>
    <row r="2632" spans="6:33" ht="24" customHeight="1">
      <c r="F2632" s="264"/>
      <c r="G2632" s="295"/>
      <c r="H2632" s="264"/>
      <c r="I2632" s="264"/>
      <c r="J2632" s="296"/>
      <c r="K2632" s="264"/>
      <c r="M2632" s="264"/>
      <c r="N2632" s="295"/>
      <c r="O2632" s="264"/>
      <c r="P2632" s="455">
        <f>SUM(P2630:P2631)</f>
        <v>2.7899999999999998E-2</v>
      </c>
      <c r="Q2632" s="296"/>
      <c r="R2632" s="264"/>
    </row>
    <row r="2633" spans="6:33" ht="24" customHeight="1">
      <c r="F2633" s="294">
        <v>2.2800000000000001E-2</v>
      </c>
      <c r="G2633" s="295" t="s">
        <v>577</v>
      </c>
      <c r="H2633" s="264" t="s">
        <v>1877</v>
      </c>
      <c r="I2633" s="264">
        <f>AC26</f>
        <v>111600</v>
      </c>
      <c r="J2633" s="296" t="s">
        <v>577</v>
      </c>
      <c r="K2633" s="264">
        <f>F2633*I2633</f>
        <v>2544.48</v>
      </c>
      <c r="M2633" s="264"/>
      <c r="N2633" s="295"/>
      <c r="O2633" s="264"/>
      <c r="P2633" s="264"/>
      <c r="Q2633" s="296"/>
      <c r="R2633" s="264"/>
    </row>
    <row r="2634" spans="6:33" ht="24" customHeight="1">
      <c r="F2634" s="294">
        <v>3.5400000000000001E-2</v>
      </c>
      <c r="G2634" s="295" t="s">
        <v>577</v>
      </c>
      <c r="H2634" s="264" t="s">
        <v>1878</v>
      </c>
      <c r="I2634" s="264">
        <f>AC27</f>
        <v>99400</v>
      </c>
      <c r="J2634" s="296" t="s">
        <v>577</v>
      </c>
      <c r="K2634" s="264">
        <f t="shared" ref="K2634:K2643" si="240">F2634*I2634</f>
        <v>3518.76</v>
      </c>
      <c r="M2634" s="264"/>
      <c r="N2634" s="295"/>
      <c r="O2634" s="264"/>
      <c r="P2634" s="264"/>
      <c r="Q2634" s="296"/>
      <c r="R2634" s="264"/>
    </row>
    <row r="2635" spans="6:33" ht="24" customHeight="1">
      <c r="F2635" s="297">
        <v>3.2300000000000002E-2</v>
      </c>
      <c r="G2635" s="295" t="s">
        <v>577</v>
      </c>
      <c r="H2635" s="76" t="s">
        <v>2761</v>
      </c>
      <c r="I2635" s="264">
        <v>101921.4</v>
      </c>
      <c r="J2635" s="296" t="s">
        <v>577</v>
      </c>
      <c r="K2635" s="264">
        <f t="shared" si="240"/>
        <v>3292.06122</v>
      </c>
      <c r="M2635" s="264" t="s">
        <v>2762</v>
      </c>
      <c r="N2635" s="295"/>
      <c r="O2635" s="264"/>
      <c r="P2635" s="294">
        <v>1.9E-2</v>
      </c>
      <c r="Q2635" s="296"/>
      <c r="R2635" s="264"/>
      <c r="AB2635" s="298"/>
      <c r="AC2635" s="295"/>
      <c r="AD2635" s="199" t="s">
        <v>2733</v>
      </c>
      <c r="AE2635" s="264"/>
      <c r="AF2635" s="296"/>
      <c r="AG2635" s="264"/>
    </row>
    <row r="2636" spans="6:33" ht="24" customHeight="1">
      <c r="F2636" s="298">
        <v>2.835</v>
      </c>
      <c r="G2636" s="295" t="s">
        <v>916</v>
      </c>
      <c r="H2636" s="264" t="s">
        <v>1880</v>
      </c>
      <c r="I2636" s="264">
        <f>AE30</f>
        <v>1105.5</v>
      </c>
      <c r="J2636" s="296" t="s">
        <v>916</v>
      </c>
      <c r="K2636" s="264">
        <f t="shared" si="240"/>
        <v>3134.0924999999997</v>
      </c>
      <c r="M2636" s="264" t="s">
        <v>2763</v>
      </c>
      <c r="N2636" s="295"/>
      <c r="O2636" s="264"/>
      <c r="P2636" s="294">
        <v>4.7999999999999996E-3</v>
      </c>
      <c r="Q2636" s="296"/>
      <c r="R2636" s="264"/>
      <c r="AB2636" s="298"/>
      <c r="AC2636" s="295"/>
      <c r="AD2636" s="199" t="s">
        <v>2764</v>
      </c>
      <c r="AE2636" s="264"/>
      <c r="AF2636" s="296"/>
      <c r="AG2636" s="264"/>
    </row>
    <row r="2637" spans="6:33" ht="24" customHeight="1">
      <c r="F2637" s="264">
        <v>2</v>
      </c>
      <c r="G2637" s="295" t="s">
        <v>1882</v>
      </c>
      <c r="H2637" s="76" t="s">
        <v>2765</v>
      </c>
      <c r="I2637" s="456">
        <v>450</v>
      </c>
      <c r="J2637" s="296" t="s">
        <v>332</v>
      </c>
      <c r="K2637" s="264">
        <f t="shared" si="240"/>
        <v>900</v>
      </c>
      <c r="M2637" s="264"/>
      <c r="N2637" s="295"/>
      <c r="O2637" s="264"/>
      <c r="P2637" s="455">
        <f>SUM(P2635:P2636)</f>
        <v>2.3799999999999998E-2</v>
      </c>
      <c r="Q2637" s="296"/>
      <c r="R2637" s="264"/>
      <c r="AB2637" s="298" t="s">
        <v>2734</v>
      </c>
      <c r="AC2637" s="295"/>
      <c r="AD2637" s="264"/>
      <c r="AE2637" s="454">
        <f>2*0.85*2.025</f>
        <v>3.4424999999999999</v>
      </c>
      <c r="AF2637" s="296"/>
      <c r="AG2637" s="264"/>
    </row>
    <row r="2638" spans="6:33" ht="24" customHeight="1">
      <c r="F2638" s="264">
        <v>6</v>
      </c>
      <c r="G2638" s="295" t="s">
        <v>1882</v>
      </c>
      <c r="H2638" s="76" t="s">
        <v>2766</v>
      </c>
      <c r="I2638" s="456">
        <v>79</v>
      </c>
      <c r="J2638" s="296" t="s">
        <v>332</v>
      </c>
      <c r="K2638" s="264">
        <f t="shared" si="240"/>
        <v>474</v>
      </c>
      <c r="M2638" s="264"/>
      <c r="N2638" s="295"/>
      <c r="O2638" s="199" t="s">
        <v>2740</v>
      </c>
      <c r="P2638" s="264"/>
      <c r="Q2638" s="296"/>
      <c r="R2638" s="264"/>
      <c r="AB2638" s="298" t="s">
        <v>2735</v>
      </c>
      <c r="AC2638" s="295"/>
      <c r="AD2638" s="264"/>
      <c r="AE2638" s="454">
        <v>2.2800000000000001E-2</v>
      </c>
      <c r="AF2638" s="296"/>
      <c r="AG2638" s="264"/>
    </row>
    <row r="2639" spans="6:33" ht="24" customHeight="1">
      <c r="F2639" s="264">
        <v>4</v>
      </c>
      <c r="G2639" s="295" t="s">
        <v>1882</v>
      </c>
      <c r="H2639" s="76" t="s">
        <v>2767</v>
      </c>
      <c r="I2639" s="456">
        <v>130</v>
      </c>
      <c r="J2639" s="296" t="s">
        <v>332</v>
      </c>
      <c r="K2639" s="264">
        <f t="shared" si="240"/>
        <v>520</v>
      </c>
      <c r="M2639" s="264"/>
      <c r="N2639" s="295"/>
      <c r="O2639" s="264"/>
      <c r="P2639" s="264"/>
      <c r="Q2639" s="296"/>
      <c r="R2639" s="264"/>
      <c r="AB2639" s="298" t="s">
        <v>2736</v>
      </c>
      <c r="AC2639" s="295"/>
      <c r="AD2639" s="264"/>
      <c r="AE2639" s="294">
        <f>2*3*0.85*0.15*0.0375</f>
        <v>2.8687499999999994E-2</v>
      </c>
      <c r="AF2639" s="296"/>
      <c r="AG2639" s="264"/>
    </row>
    <row r="2640" spans="6:33" ht="24" customHeight="1">
      <c r="F2640" s="264">
        <v>1</v>
      </c>
      <c r="G2640" s="295" t="s">
        <v>1882</v>
      </c>
      <c r="H2640" s="76" t="s">
        <v>2768</v>
      </c>
      <c r="I2640" s="456">
        <v>985</v>
      </c>
      <c r="J2640" s="296" t="s">
        <v>332</v>
      </c>
      <c r="K2640" s="264">
        <f t="shared" si="240"/>
        <v>985</v>
      </c>
      <c r="M2640" s="294">
        <f>P2629</f>
        <v>2.2800000000000001E-2</v>
      </c>
      <c r="N2640" s="295" t="s">
        <v>577</v>
      </c>
      <c r="O2640" s="264" t="s">
        <v>2741</v>
      </c>
      <c r="P2640" s="264">
        <f>I2633</f>
        <v>111600</v>
      </c>
      <c r="Q2640" s="296" t="s">
        <v>577</v>
      </c>
      <c r="R2640" s="264">
        <f>M2640*P2640</f>
        <v>2544.48</v>
      </c>
      <c r="AB2640" s="298"/>
      <c r="AC2640" s="295" t="s">
        <v>2737</v>
      </c>
      <c r="AD2640" s="264"/>
      <c r="AE2640" s="294">
        <f>2*3*0.85*0.075*0.0375</f>
        <v>1.4343749999999997E-2</v>
      </c>
      <c r="AF2640" s="296"/>
      <c r="AG2640" s="264"/>
    </row>
    <row r="2641" spans="6:34" ht="24" customHeight="1">
      <c r="F2641" s="264">
        <v>2</v>
      </c>
      <c r="G2641" s="295" t="s">
        <v>1882</v>
      </c>
      <c r="H2641" s="76" t="s">
        <v>2769</v>
      </c>
      <c r="I2641" s="456">
        <v>21.48</v>
      </c>
      <c r="J2641" s="296" t="s">
        <v>332</v>
      </c>
      <c r="K2641" s="264">
        <f t="shared" si="240"/>
        <v>42.96</v>
      </c>
      <c r="M2641" s="294">
        <f>P2632</f>
        <v>2.7899999999999998E-2</v>
      </c>
      <c r="N2641" s="295" t="s">
        <v>577</v>
      </c>
      <c r="O2641" s="264" t="s">
        <v>1878</v>
      </c>
      <c r="P2641" s="264">
        <f t="shared" ref="P2641:P2649" si="241">I2634</f>
        <v>99400</v>
      </c>
      <c r="Q2641" s="296" t="s">
        <v>577</v>
      </c>
      <c r="R2641" s="264">
        <f t="shared" ref="R2641:R2649" si="242">M2641*P2641</f>
        <v>2773.2599999999998</v>
      </c>
      <c r="AA2641" s="298"/>
      <c r="AB2641" s="298"/>
      <c r="AC2641" s="295"/>
      <c r="AD2641" s="264"/>
      <c r="AE2641" s="455">
        <f>SUM(AE2639:AE2640)</f>
        <v>4.3031249999999993E-2</v>
      </c>
      <c r="AF2641" s="296"/>
      <c r="AG2641" s="264"/>
    </row>
    <row r="2642" spans="6:34" ht="24" customHeight="1">
      <c r="F2642" s="264">
        <v>2</v>
      </c>
      <c r="G2642" s="295" t="s">
        <v>1882</v>
      </c>
      <c r="H2642" s="264" t="s">
        <v>941</v>
      </c>
      <c r="I2642" s="264">
        <f>I2825</f>
        <v>43.8</v>
      </c>
      <c r="J2642" s="296" t="s">
        <v>332</v>
      </c>
      <c r="K2642" s="264">
        <f t="shared" si="240"/>
        <v>87.6</v>
      </c>
      <c r="M2642" s="297">
        <f>P2637</f>
        <v>2.3799999999999998E-2</v>
      </c>
      <c r="N2642" s="295" t="s">
        <v>577</v>
      </c>
      <c r="O2642" s="76" t="s">
        <v>2770</v>
      </c>
      <c r="P2642" s="264">
        <f t="shared" si="241"/>
        <v>101921.4</v>
      </c>
      <c r="Q2642" s="296" t="s">
        <v>577</v>
      </c>
      <c r="R2642" s="264">
        <f t="shared" si="242"/>
        <v>2425.7293199999995</v>
      </c>
      <c r="AA2642" s="298"/>
      <c r="AB2642" s="298"/>
      <c r="AC2642" s="295"/>
      <c r="AD2642" s="264"/>
      <c r="AE2642" s="264"/>
      <c r="AF2642" s="296"/>
      <c r="AG2642" s="264"/>
    </row>
    <row r="2643" spans="6:34" ht="24" customHeight="1">
      <c r="F2643" s="264">
        <v>118</v>
      </c>
      <c r="G2643" s="295"/>
      <c r="H2643" s="264" t="s">
        <v>1815</v>
      </c>
      <c r="I2643" s="231">
        <f>P2833</f>
        <v>2.35</v>
      </c>
      <c r="J2643" s="296"/>
      <c r="K2643" s="264">
        <f t="shared" si="240"/>
        <v>277.3</v>
      </c>
      <c r="M2643" s="298">
        <v>2.23</v>
      </c>
      <c r="N2643" s="295" t="s">
        <v>916</v>
      </c>
      <c r="O2643" s="264" t="s">
        <v>1880</v>
      </c>
      <c r="P2643" s="264">
        <f t="shared" si="241"/>
        <v>1105.5</v>
      </c>
      <c r="Q2643" s="296" t="s">
        <v>916</v>
      </c>
      <c r="R2643" s="264">
        <f t="shared" si="242"/>
        <v>2465.2649999999999</v>
      </c>
      <c r="AA2643" s="298"/>
      <c r="AB2643" s="298"/>
      <c r="AC2643" s="295"/>
      <c r="AD2643" s="264"/>
      <c r="AE2643" s="264"/>
      <c r="AF2643" s="296"/>
      <c r="AG2643" s="264"/>
    </row>
    <row r="2644" spans="6:34" ht="24" customHeight="1">
      <c r="F2644" s="264"/>
      <c r="G2644" s="295"/>
      <c r="H2644" s="264"/>
      <c r="I2644" s="264"/>
      <c r="J2644" s="296"/>
      <c r="K2644" s="299"/>
      <c r="M2644" s="264">
        <v>2</v>
      </c>
      <c r="N2644" s="295" t="s">
        <v>1882</v>
      </c>
      <c r="O2644" s="199" t="s">
        <v>2765</v>
      </c>
      <c r="P2644" s="264">
        <f t="shared" si="241"/>
        <v>450</v>
      </c>
      <c r="Q2644" s="296" t="s">
        <v>332</v>
      </c>
      <c r="R2644" s="264">
        <f t="shared" si="242"/>
        <v>900</v>
      </c>
      <c r="AA2644" s="298"/>
      <c r="AB2644" s="298" t="s">
        <v>2738</v>
      </c>
      <c r="AC2644" s="295"/>
      <c r="AD2644" s="264"/>
      <c r="AE2644" s="294">
        <f>2*4*0.725*0.3*0.01875</f>
        <v>3.2625000000000001E-2</v>
      </c>
      <c r="AF2644" s="296"/>
      <c r="AG2644" s="264"/>
    </row>
    <row r="2645" spans="6:34" ht="24" customHeight="1">
      <c r="F2645" s="264"/>
      <c r="G2645" s="227"/>
      <c r="H2645" s="199" t="s">
        <v>881</v>
      </c>
      <c r="I2645" s="264"/>
      <c r="J2645" s="296"/>
      <c r="K2645" s="199">
        <f>SUM(K2633:K2644)</f>
        <v>15776.253719999999</v>
      </c>
      <c r="L2645" s="457"/>
      <c r="M2645" s="264">
        <v>6</v>
      </c>
      <c r="N2645" s="295" t="s">
        <v>1882</v>
      </c>
      <c r="O2645" s="199" t="s">
        <v>2766</v>
      </c>
      <c r="P2645" s="264">
        <f t="shared" si="241"/>
        <v>79</v>
      </c>
      <c r="Q2645" s="296" t="s">
        <v>332</v>
      </c>
      <c r="R2645" s="264">
        <f t="shared" si="242"/>
        <v>474</v>
      </c>
      <c r="AA2645" s="298"/>
      <c r="AB2645" s="298" t="s">
        <v>2739</v>
      </c>
      <c r="AC2645" s="295"/>
      <c r="AD2645" s="264"/>
      <c r="AE2645" s="294">
        <f>2*0.725*0.3*0.01875</f>
        <v>8.1562500000000003E-3</v>
      </c>
      <c r="AF2645" s="296"/>
      <c r="AG2645" s="264"/>
    </row>
    <row r="2646" spans="6:34" ht="24" customHeight="1">
      <c r="F2646" s="264"/>
      <c r="G2646" s="227"/>
      <c r="H2646" s="199"/>
      <c r="I2646" s="264"/>
      <c r="J2646" s="296"/>
      <c r="K2646" s="299" t="s">
        <v>1892</v>
      </c>
      <c r="M2646" s="264">
        <v>4</v>
      </c>
      <c r="N2646" s="295" t="s">
        <v>1882</v>
      </c>
      <c r="O2646" s="199" t="s">
        <v>2767</v>
      </c>
      <c r="P2646" s="264">
        <f t="shared" si="241"/>
        <v>130</v>
      </c>
      <c r="Q2646" s="296" t="s">
        <v>332</v>
      </c>
      <c r="R2646" s="264">
        <f t="shared" si="242"/>
        <v>520</v>
      </c>
      <c r="AA2646" s="298"/>
      <c r="AB2646" s="298"/>
      <c r="AC2646" s="295"/>
      <c r="AD2646" s="264"/>
      <c r="AE2646" s="455">
        <f>SUM(AE2644:AE2645)</f>
        <v>4.0781250000000005E-2</v>
      </c>
      <c r="AF2646" s="296"/>
      <c r="AG2646" s="264"/>
    </row>
    <row r="2647" spans="6:34" ht="24" customHeight="1">
      <c r="F2647" s="264"/>
      <c r="G2647" s="227"/>
      <c r="H2647" s="199" t="s">
        <v>1895</v>
      </c>
      <c r="I2647" s="264"/>
      <c r="J2647" s="296"/>
      <c r="K2647" s="199">
        <f>K2645/2.835</f>
        <v>5564.8161269841266</v>
      </c>
      <c r="M2647" s="264">
        <v>1</v>
      </c>
      <c r="N2647" s="295" t="s">
        <v>1882</v>
      </c>
      <c r="O2647" s="199" t="s">
        <v>2768</v>
      </c>
      <c r="P2647" s="264">
        <f t="shared" si="241"/>
        <v>985</v>
      </c>
      <c r="Q2647" s="296" t="s">
        <v>332</v>
      </c>
      <c r="R2647" s="264">
        <f t="shared" si="242"/>
        <v>985</v>
      </c>
      <c r="AA2647" s="298"/>
      <c r="AB2647" s="298"/>
      <c r="AC2647" s="295"/>
      <c r="AD2647" s="199" t="s">
        <v>2740</v>
      </c>
      <c r="AE2647" s="264"/>
      <c r="AF2647" s="296"/>
      <c r="AG2647" s="264"/>
      <c r="AH2647" s="252"/>
    </row>
    <row r="2648" spans="6:34" ht="24" customHeight="1">
      <c r="F2648" s="264"/>
      <c r="G2648" s="227"/>
      <c r="K2648" s="202" t="s">
        <v>1892</v>
      </c>
      <c r="M2648" s="264">
        <v>2</v>
      </c>
      <c r="N2648" s="295" t="s">
        <v>1882</v>
      </c>
      <c r="O2648" s="76" t="s">
        <v>939</v>
      </c>
      <c r="P2648" s="264">
        <f>C288</f>
        <v>7.3</v>
      </c>
      <c r="Q2648" s="296" t="s">
        <v>332</v>
      </c>
      <c r="R2648" s="264">
        <f t="shared" si="242"/>
        <v>14.6</v>
      </c>
      <c r="AA2648" s="298"/>
      <c r="AB2648" s="298"/>
      <c r="AC2648" s="295"/>
      <c r="AD2648" s="264"/>
      <c r="AE2648" s="264"/>
      <c r="AF2648" s="296"/>
      <c r="AG2648" s="264"/>
      <c r="AH2648" s="252"/>
    </row>
    <row r="2649" spans="6:34" ht="24" customHeight="1">
      <c r="F2649" s="458" t="s">
        <v>2771</v>
      </c>
      <c r="G2649" s="459"/>
      <c r="H2649" s="182" t="s">
        <v>1881</v>
      </c>
      <c r="I2649" s="460"/>
      <c r="J2649" s="461"/>
      <c r="K2649" s="460"/>
      <c r="M2649" s="264">
        <v>2</v>
      </c>
      <c r="N2649" s="295" t="s">
        <v>1882</v>
      </c>
      <c r="O2649" s="264" t="s">
        <v>941</v>
      </c>
      <c r="P2649" s="264">
        <f t="shared" si="241"/>
        <v>43.8</v>
      </c>
      <c r="Q2649" s="296" t="s">
        <v>332</v>
      </c>
      <c r="R2649" s="264">
        <f t="shared" si="242"/>
        <v>87.6</v>
      </c>
      <c r="AA2649" s="298"/>
      <c r="AB2649" s="294">
        <f>AE2638</f>
        <v>2.2800000000000001E-2</v>
      </c>
      <c r="AC2649" s="295" t="s">
        <v>577</v>
      </c>
      <c r="AD2649" s="264" t="s">
        <v>2741</v>
      </c>
      <c r="AE2649" s="264">
        <f>V2601</f>
        <v>111600</v>
      </c>
      <c r="AF2649" s="296" t="s">
        <v>577</v>
      </c>
      <c r="AG2649" s="264">
        <f>AB2649*AE2649</f>
        <v>2544.48</v>
      </c>
      <c r="AH2649" s="252"/>
    </row>
    <row r="2650" spans="6:34" ht="24" customHeight="1">
      <c r="F2650" s="460"/>
      <c r="G2650" s="459"/>
      <c r="H2650" s="462" t="s">
        <v>534</v>
      </c>
      <c r="I2650" s="462" t="s">
        <v>534</v>
      </c>
      <c r="J2650" s="182" t="s">
        <v>534</v>
      </c>
      <c r="K2650" s="460"/>
      <c r="M2650" s="264"/>
      <c r="N2650" s="295"/>
      <c r="O2650" s="264"/>
      <c r="P2650" s="264"/>
      <c r="Q2650" s="296"/>
      <c r="R2650" s="264">
        <v>21</v>
      </c>
      <c r="AA2650" s="298"/>
      <c r="AB2650" s="294">
        <f>AE2641</f>
        <v>4.3031249999999993E-2</v>
      </c>
      <c r="AC2650" s="295" t="s">
        <v>577</v>
      </c>
      <c r="AD2650" s="264" t="s">
        <v>1878</v>
      </c>
      <c r="AE2650" s="264">
        <f t="shared" ref="AE2650:AE2660" si="243">V2602</f>
        <v>99400</v>
      </c>
      <c r="AF2650" s="296" t="s">
        <v>577</v>
      </c>
      <c r="AG2650" s="264">
        <f t="shared" ref="AG2650:AG2660" si="244">AB2650*AE2650</f>
        <v>4277.3062499999996</v>
      </c>
      <c r="AH2650" s="252"/>
    </row>
    <row r="2651" spans="6:34" ht="37.5" customHeight="1">
      <c r="F2651" s="460"/>
      <c r="G2651" s="459"/>
      <c r="H2651" s="460"/>
      <c r="I2651" s="460"/>
      <c r="J2651" s="461"/>
      <c r="K2651" s="460"/>
      <c r="M2651" s="264"/>
      <c r="N2651" s="295"/>
      <c r="O2651" s="264"/>
      <c r="P2651" s="264"/>
      <c r="Q2651" s="296"/>
      <c r="R2651" s="299" t="s">
        <v>1892</v>
      </c>
      <c r="AA2651" s="298"/>
      <c r="AB2651" s="294">
        <f>AE2646</f>
        <v>4.0781250000000005E-2</v>
      </c>
      <c r="AC2651" s="295" t="s">
        <v>577</v>
      </c>
      <c r="AD2651" s="401" t="s">
        <v>2770</v>
      </c>
      <c r="AE2651" s="264">
        <f t="shared" si="243"/>
        <v>101921.4</v>
      </c>
      <c r="AF2651" s="296" t="s">
        <v>577</v>
      </c>
      <c r="AG2651" s="264">
        <f t="shared" si="244"/>
        <v>4156.4820937499999</v>
      </c>
      <c r="AH2651" s="252"/>
    </row>
    <row r="2652" spans="6:34" ht="34.5" customHeight="1">
      <c r="F2652" s="460"/>
      <c r="G2652" s="459"/>
      <c r="H2652" s="182" t="s">
        <v>1886</v>
      </c>
      <c r="I2652" s="460"/>
      <c r="J2652" s="461"/>
      <c r="K2652" s="460"/>
      <c r="M2652" s="264"/>
      <c r="N2652" s="227"/>
      <c r="O2652" s="199" t="s">
        <v>881</v>
      </c>
      <c r="P2652" s="264"/>
      <c r="Q2652" s="296"/>
      <c r="R2652" s="199">
        <f>SUM(R2640:R2650)</f>
        <v>13210.93432</v>
      </c>
      <c r="AA2652" s="298"/>
      <c r="AB2652" s="294">
        <f>AE2637</f>
        <v>3.4424999999999999</v>
      </c>
      <c r="AC2652" s="295" t="s">
        <v>916</v>
      </c>
      <c r="AD2652" s="463" t="s">
        <v>1880</v>
      </c>
      <c r="AE2652" s="264">
        <f t="shared" si="243"/>
        <v>1105.5</v>
      </c>
      <c r="AF2652" s="296" t="s">
        <v>916</v>
      </c>
      <c r="AG2652" s="264">
        <f t="shared" si="244"/>
        <v>3805.6837499999997</v>
      </c>
      <c r="AH2652" s="252"/>
    </row>
    <row r="2653" spans="6:34" ht="24" customHeight="1">
      <c r="F2653" s="460"/>
      <c r="G2653" s="459"/>
      <c r="H2653" s="182"/>
      <c r="I2653" s="460"/>
      <c r="J2653" s="461"/>
      <c r="K2653" s="460"/>
      <c r="M2653" s="264"/>
      <c r="N2653" s="227"/>
      <c r="O2653" s="199"/>
      <c r="P2653" s="264"/>
      <c r="Q2653" s="296"/>
      <c r="R2653" s="299" t="s">
        <v>1892</v>
      </c>
      <c r="AA2653" s="298"/>
      <c r="AB2653" s="298">
        <v>2</v>
      </c>
      <c r="AC2653" s="295" t="s">
        <v>1882</v>
      </c>
      <c r="AD2653" s="76" t="s">
        <v>2765</v>
      </c>
      <c r="AE2653" s="464">
        <v>450</v>
      </c>
      <c r="AF2653" s="296" t="s">
        <v>332</v>
      </c>
      <c r="AG2653" s="264">
        <f t="shared" si="244"/>
        <v>900</v>
      </c>
      <c r="AH2653" s="252"/>
    </row>
    <row r="2654" spans="6:34" ht="24" customHeight="1">
      <c r="F2654" s="460"/>
      <c r="G2654" s="459"/>
      <c r="H2654" s="182" t="s">
        <v>1888</v>
      </c>
      <c r="I2654" s="460"/>
      <c r="J2654" s="461"/>
      <c r="K2654" s="460"/>
      <c r="M2654" s="264"/>
      <c r="N2654" s="227"/>
      <c r="O2654" s="199" t="s">
        <v>2772</v>
      </c>
      <c r="P2654" s="264"/>
      <c r="Q2654" s="296"/>
      <c r="R2654" s="199">
        <f>R2652/M2643</f>
        <v>5924.1857937219729</v>
      </c>
      <c r="AA2654" s="298"/>
      <c r="AB2654" s="298">
        <v>6</v>
      </c>
      <c r="AC2654" s="295" t="s">
        <v>1882</v>
      </c>
      <c r="AD2654" s="76" t="s">
        <v>2766</v>
      </c>
      <c r="AE2654" s="464">
        <v>79</v>
      </c>
      <c r="AF2654" s="296" t="s">
        <v>332</v>
      </c>
      <c r="AG2654" s="264">
        <f t="shared" si="244"/>
        <v>474</v>
      </c>
      <c r="AH2654" s="252"/>
    </row>
    <row r="2655" spans="6:34" ht="24" customHeight="1">
      <c r="F2655" s="460"/>
      <c r="G2655" s="459"/>
      <c r="H2655" s="182" t="s">
        <v>1889</v>
      </c>
      <c r="I2655" s="460"/>
      <c r="J2655" s="461"/>
      <c r="K2655" s="460"/>
      <c r="M2655" s="264"/>
      <c r="N2655" s="227"/>
      <c r="Q2655" s="158"/>
      <c r="R2655" s="202" t="s">
        <v>1892</v>
      </c>
      <c r="AA2655" s="294"/>
      <c r="AB2655" s="298">
        <v>4</v>
      </c>
      <c r="AC2655" s="295" t="s">
        <v>1882</v>
      </c>
      <c r="AD2655" s="76" t="s">
        <v>2767</v>
      </c>
      <c r="AE2655" s="464">
        <v>130</v>
      </c>
      <c r="AF2655" s="296" t="s">
        <v>332</v>
      </c>
      <c r="AG2655" s="264">
        <f t="shared" si="244"/>
        <v>520</v>
      </c>
      <c r="AH2655" s="252"/>
    </row>
    <row r="2656" spans="6:34" ht="24" customHeight="1">
      <c r="F2656" s="460"/>
      <c r="G2656" s="459"/>
      <c r="H2656" s="182" t="s">
        <v>1890</v>
      </c>
      <c r="I2656" s="460"/>
      <c r="J2656" s="461"/>
      <c r="K2656" s="460"/>
      <c r="M2656" s="76" t="s">
        <v>2771</v>
      </c>
      <c r="O2656" s="76" t="s">
        <v>1881</v>
      </c>
      <c r="AA2656" s="294"/>
      <c r="AB2656" s="298">
        <v>1</v>
      </c>
      <c r="AC2656" s="295" t="s">
        <v>1882</v>
      </c>
      <c r="AD2656" s="76" t="s">
        <v>2768</v>
      </c>
      <c r="AE2656" s="464">
        <v>985</v>
      </c>
      <c r="AF2656" s="296" t="s">
        <v>332</v>
      </c>
      <c r="AG2656" s="264">
        <f t="shared" si="244"/>
        <v>985</v>
      </c>
      <c r="AH2656" s="252"/>
    </row>
    <row r="2657" spans="6:34" ht="24" customHeight="1">
      <c r="F2657" s="460"/>
      <c r="G2657" s="459"/>
      <c r="H2657" s="182" t="s">
        <v>1891</v>
      </c>
      <c r="I2657" s="460"/>
      <c r="J2657" s="461"/>
      <c r="K2657" s="460"/>
      <c r="O2657" s="76" t="s">
        <v>534</v>
      </c>
      <c r="P2657" s="76" t="s">
        <v>534</v>
      </c>
      <c r="Q2657" s="76" t="s">
        <v>534</v>
      </c>
      <c r="AA2657" s="294"/>
      <c r="AB2657" s="298">
        <v>2</v>
      </c>
      <c r="AC2657" s="295" t="s">
        <v>1882</v>
      </c>
      <c r="AD2657" s="76" t="s">
        <v>2769</v>
      </c>
      <c r="AE2657" s="231">
        <v>24.6</v>
      </c>
      <c r="AF2657" s="296" t="s">
        <v>332</v>
      </c>
      <c r="AG2657" s="264">
        <f t="shared" si="244"/>
        <v>49.2</v>
      </c>
      <c r="AH2657" s="252"/>
    </row>
    <row r="2658" spans="6:34" ht="24" customHeight="1">
      <c r="F2658" s="460"/>
      <c r="G2658" s="459"/>
      <c r="H2658" s="182" t="s">
        <v>2773</v>
      </c>
      <c r="I2658" s="460"/>
      <c r="J2658" s="182" t="s">
        <v>22</v>
      </c>
      <c r="K2658" s="465">
        <v>3.7699999999999997E-2</v>
      </c>
      <c r="AA2658" s="294"/>
      <c r="AB2658" s="298">
        <v>2</v>
      </c>
      <c r="AC2658" s="295" t="s">
        <v>1882</v>
      </c>
      <c r="AD2658" s="264" t="s">
        <v>941</v>
      </c>
      <c r="AE2658" s="264">
        <f t="shared" si="243"/>
        <v>43.8</v>
      </c>
      <c r="AF2658" s="296" t="s">
        <v>332</v>
      </c>
      <c r="AG2658" s="264">
        <f t="shared" si="244"/>
        <v>87.6</v>
      </c>
    </row>
    <row r="2659" spans="6:34" ht="24" customHeight="1">
      <c r="F2659" s="460"/>
      <c r="G2659" s="459"/>
      <c r="H2659" s="182" t="s">
        <v>2774</v>
      </c>
      <c r="I2659" s="460"/>
      <c r="J2659" s="466" t="s">
        <v>22</v>
      </c>
      <c r="K2659" s="466" t="s">
        <v>22</v>
      </c>
      <c r="O2659" s="76" t="s">
        <v>1886</v>
      </c>
      <c r="AA2659" s="298"/>
      <c r="AB2659" s="298"/>
      <c r="AC2659" s="295"/>
      <c r="AD2659" s="264"/>
      <c r="AE2659" s="264">
        <f t="shared" si="243"/>
        <v>0</v>
      </c>
      <c r="AF2659" s="296"/>
      <c r="AG2659" s="264">
        <f t="shared" si="244"/>
        <v>0</v>
      </c>
    </row>
    <row r="2660" spans="6:34" ht="24" customHeight="1">
      <c r="F2660" s="460"/>
      <c r="G2660" s="459"/>
      <c r="H2660" s="182" t="s">
        <v>1896</v>
      </c>
      <c r="I2660" s="460"/>
      <c r="J2660" s="461"/>
      <c r="K2660" s="466" t="s">
        <v>22</v>
      </c>
      <c r="AA2660" s="298"/>
      <c r="AB2660" s="298">
        <v>118</v>
      </c>
      <c r="AC2660" s="295"/>
      <c r="AD2660" s="264" t="s">
        <v>1815</v>
      </c>
      <c r="AE2660" s="264">
        <f t="shared" si="243"/>
        <v>2.35</v>
      </c>
      <c r="AF2660" s="296"/>
      <c r="AG2660" s="264">
        <f t="shared" si="244"/>
        <v>277.3</v>
      </c>
    </row>
    <row r="2661" spans="6:34" ht="24" customHeight="1">
      <c r="F2661" s="460"/>
      <c r="G2661" s="459"/>
      <c r="H2661" s="460"/>
      <c r="I2661" s="460"/>
      <c r="J2661" s="461"/>
      <c r="K2661" s="460"/>
      <c r="O2661" s="76" t="s">
        <v>1888</v>
      </c>
      <c r="AA2661" s="298"/>
      <c r="AB2661" s="298"/>
      <c r="AC2661" s="227"/>
      <c r="AD2661" s="199" t="s">
        <v>881</v>
      </c>
      <c r="AE2661" s="264"/>
      <c r="AF2661" s="296"/>
      <c r="AG2661" s="199">
        <f>SUM(AG2649:AG2660)</f>
        <v>18077.052093749997</v>
      </c>
    </row>
    <row r="2662" spans="6:34" ht="24" customHeight="1">
      <c r="F2662" s="467">
        <v>1.18E-2</v>
      </c>
      <c r="G2662" s="468" t="s">
        <v>577</v>
      </c>
      <c r="H2662" s="182" t="s">
        <v>932</v>
      </c>
      <c r="I2662" s="469">
        <f>AC26</f>
        <v>111600</v>
      </c>
      <c r="J2662" s="182" t="s">
        <v>577</v>
      </c>
      <c r="K2662" s="469">
        <f t="shared" ref="K2662:K2671" si="245">(F2662*I2662)</f>
        <v>1316.8799999999999</v>
      </c>
      <c r="O2662" s="76" t="s">
        <v>1889</v>
      </c>
      <c r="AA2662" s="298"/>
      <c r="AB2662" s="298"/>
      <c r="AC2662" s="227"/>
      <c r="AD2662" s="199"/>
      <c r="AE2662" s="264"/>
      <c r="AF2662" s="296"/>
      <c r="AG2662" s="299" t="s">
        <v>1892</v>
      </c>
    </row>
    <row r="2663" spans="6:34" ht="24" customHeight="1">
      <c r="F2663" s="467">
        <v>3.7699999999999997E-2</v>
      </c>
      <c r="G2663" s="468" t="s">
        <v>577</v>
      </c>
      <c r="H2663" s="182" t="s">
        <v>933</v>
      </c>
      <c r="I2663" s="469">
        <f>AC27</f>
        <v>99400</v>
      </c>
      <c r="J2663" s="182" t="s">
        <v>577</v>
      </c>
      <c r="K2663" s="469">
        <f t="shared" si="245"/>
        <v>3747.3799999999997</v>
      </c>
      <c r="O2663" s="76" t="s">
        <v>1890</v>
      </c>
      <c r="AA2663" s="298"/>
      <c r="AB2663" s="298"/>
      <c r="AC2663" s="227"/>
      <c r="AD2663" s="199" t="s">
        <v>2749</v>
      </c>
      <c r="AE2663" s="264"/>
      <c r="AF2663" s="296"/>
      <c r="AG2663" s="199">
        <f>AG2661/3.4425</f>
        <v>5251.1407679738559</v>
      </c>
    </row>
    <row r="2664" spans="6:34" ht="24" customHeight="1">
      <c r="F2664" s="467">
        <v>1.8550000000000001E-2</v>
      </c>
      <c r="G2664" s="468" t="s">
        <v>577</v>
      </c>
      <c r="H2664" s="182" t="s">
        <v>1897</v>
      </c>
      <c r="I2664" s="469">
        <f>AE33</f>
        <v>9828.5</v>
      </c>
      <c r="J2664" s="182" t="s">
        <v>577</v>
      </c>
      <c r="K2664" s="469">
        <f t="shared" si="245"/>
        <v>182.31867500000001</v>
      </c>
      <c r="O2664" s="76" t="s">
        <v>1891</v>
      </c>
      <c r="AA2664" s="298"/>
      <c r="AB2664" s="295"/>
      <c r="AC2664" s="264"/>
      <c r="AD2664" s="264"/>
      <c r="AE2664" s="296"/>
      <c r="AF2664" s="264"/>
    </row>
    <row r="2665" spans="6:34" ht="24" customHeight="1">
      <c r="F2665" s="467">
        <v>1.36</v>
      </c>
      <c r="G2665" s="468" t="s">
        <v>916</v>
      </c>
      <c r="H2665" s="182" t="s">
        <v>1898</v>
      </c>
      <c r="I2665" s="470">
        <v>269.10000000000002</v>
      </c>
      <c r="J2665" s="182" t="s">
        <v>916</v>
      </c>
      <c r="K2665" s="469">
        <f t="shared" si="245"/>
        <v>365.97600000000006</v>
      </c>
      <c r="O2665" s="76" t="s">
        <v>2773</v>
      </c>
      <c r="Q2665" s="76" t="s">
        <v>22</v>
      </c>
      <c r="R2665" s="76">
        <v>0.04</v>
      </c>
      <c r="AA2665" s="298"/>
      <c r="AB2665" s="295"/>
      <c r="AC2665" s="264"/>
      <c r="AD2665" s="264"/>
      <c r="AE2665" s="296"/>
      <c r="AF2665" s="264"/>
    </row>
    <row r="2666" spans="6:34" ht="24" customHeight="1">
      <c r="F2666" s="467">
        <v>2.0499999999999998</v>
      </c>
      <c r="G2666" s="468" t="s">
        <v>916</v>
      </c>
      <c r="H2666" s="182" t="s">
        <v>1899</v>
      </c>
      <c r="I2666" s="469">
        <f>D30</f>
        <v>921.80000000000007</v>
      </c>
      <c r="J2666" s="182" t="s">
        <v>916</v>
      </c>
      <c r="K2666" s="469">
        <f t="shared" si="245"/>
        <v>1889.69</v>
      </c>
      <c r="O2666" s="76" t="s">
        <v>2774</v>
      </c>
      <c r="Q2666" s="76" t="s">
        <v>22</v>
      </c>
      <c r="R2666" s="76" t="s">
        <v>22</v>
      </c>
      <c r="AA2666" s="298"/>
      <c r="AB2666" s="295"/>
      <c r="AC2666" s="264"/>
      <c r="AD2666" s="264"/>
      <c r="AE2666" s="296"/>
      <c r="AF2666" s="264"/>
    </row>
    <row r="2667" spans="6:34" ht="24" customHeight="1">
      <c r="F2667" s="469">
        <v>2</v>
      </c>
      <c r="G2667" s="468" t="s">
        <v>576</v>
      </c>
      <c r="H2667" s="182" t="s">
        <v>2775</v>
      </c>
      <c r="I2667" s="469">
        <f>E285</f>
        <v>49.8</v>
      </c>
      <c r="J2667" s="182" t="s">
        <v>576</v>
      </c>
      <c r="K2667" s="469">
        <f t="shared" si="245"/>
        <v>99.6</v>
      </c>
      <c r="O2667" s="76" t="s">
        <v>1896</v>
      </c>
      <c r="R2667" s="76" t="s">
        <v>22</v>
      </c>
      <c r="AA2667" s="298"/>
      <c r="AB2667" s="227"/>
      <c r="AC2667" s="199"/>
      <c r="AD2667" s="264"/>
      <c r="AE2667" s="296"/>
      <c r="AF2667" s="199"/>
    </row>
    <row r="2668" spans="6:34" ht="24" customHeight="1">
      <c r="F2668" s="469">
        <v>6</v>
      </c>
      <c r="G2668" s="468" t="s">
        <v>576</v>
      </c>
      <c r="H2668" s="182" t="s">
        <v>1858</v>
      </c>
      <c r="I2668" s="469">
        <f>C282</f>
        <v>43.2</v>
      </c>
      <c r="J2668" s="182" t="s">
        <v>576</v>
      </c>
      <c r="K2668" s="469">
        <f t="shared" si="245"/>
        <v>259.20000000000005</v>
      </c>
      <c r="AA2668" s="298"/>
      <c r="AB2668" s="227"/>
      <c r="AC2668" s="199"/>
      <c r="AD2668" s="264"/>
      <c r="AE2668" s="296"/>
      <c r="AF2668" s="299"/>
    </row>
    <row r="2669" spans="6:34" ht="24" customHeight="1">
      <c r="F2669" s="469">
        <v>2</v>
      </c>
      <c r="G2669" s="468" t="s">
        <v>576</v>
      </c>
      <c r="H2669" s="471" t="s">
        <v>2776</v>
      </c>
      <c r="I2669" s="469">
        <f>I1134</f>
        <v>53.3</v>
      </c>
      <c r="J2669" s="182" t="s">
        <v>576</v>
      </c>
      <c r="K2669" s="469">
        <f t="shared" si="245"/>
        <v>106.6</v>
      </c>
      <c r="M2669" s="76">
        <v>0.01</v>
      </c>
      <c r="N2669" s="76" t="s">
        <v>577</v>
      </c>
      <c r="O2669" s="76" t="s">
        <v>932</v>
      </c>
      <c r="P2669" s="76">
        <f>I2662</f>
        <v>111600</v>
      </c>
      <c r="Q2669" s="76" t="s">
        <v>577</v>
      </c>
      <c r="R2669" s="76">
        <v>764.29</v>
      </c>
      <c r="AA2669" s="298"/>
      <c r="AB2669" s="227"/>
      <c r="AC2669" s="199"/>
      <c r="AD2669" s="264"/>
      <c r="AE2669" s="296"/>
      <c r="AF2669" s="199"/>
    </row>
    <row r="2670" spans="6:34" ht="24" customHeight="1">
      <c r="F2670" s="469">
        <v>1</v>
      </c>
      <c r="G2670" s="468" t="s">
        <v>576</v>
      </c>
      <c r="H2670" s="182" t="s">
        <v>2777</v>
      </c>
      <c r="I2670" s="470">
        <f>I1135</f>
        <v>63.2</v>
      </c>
      <c r="J2670" s="182" t="s">
        <v>576</v>
      </c>
      <c r="K2670" s="469">
        <f t="shared" si="245"/>
        <v>63.2</v>
      </c>
      <c r="M2670" s="76">
        <v>0.04</v>
      </c>
      <c r="N2670" s="76" t="s">
        <v>577</v>
      </c>
      <c r="O2670" s="76" t="s">
        <v>933</v>
      </c>
      <c r="P2670" s="76">
        <f>I2663</f>
        <v>99400</v>
      </c>
      <c r="Q2670" s="76" t="s">
        <v>577</v>
      </c>
      <c r="R2670" s="76">
        <v>2172.65</v>
      </c>
      <c r="AA2670" s="159"/>
    </row>
    <row r="2671" spans="6:34" ht="24" customHeight="1">
      <c r="F2671" s="469">
        <v>2.52</v>
      </c>
      <c r="G2671" s="468" t="s">
        <v>916</v>
      </c>
      <c r="H2671" s="182" t="s">
        <v>1903</v>
      </c>
      <c r="I2671" s="469">
        <f>K1167</f>
        <v>148.78800000000001</v>
      </c>
      <c r="J2671" s="182" t="s">
        <v>916</v>
      </c>
      <c r="K2671" s="469">
        <f t="shared" si="245"/>
        <v>374.94576000000001</v>
      </c>
      <c r="M2671" s="76">
        <v>0.02</v>
      </c>
      <c r="N2671" s="76" t="s">
        <v>577</v>
      </c>
      <c r="O2671" s="76" t="s">
        <v>1897</v>
      </c>
      <c r="P2671" s="76">
        <f>I2664</f>
        <v>9828.5</v>
      </c>
      <c r="Q2671" s="76" t="s">
        <v>577</v>
      </c>
      <c r="R2671" s="76">
        <v>56.02</v>
      </c>
    </row>
    <row r="2672" spans="6:34" ht="24" customHeight="1">
      <c r="F2672" s="460"/>
      <c r="G2672" s="459"/>
      <c r="H2672" s="182" t="s">
        <v>1904</v>
      </c>
      <c r="I2672" s="472" t="s">
        <v>589</v>
      </c>
      <c r="J2672" s="461"/>
      <c r="K2672" s="469">
        <v>2.13</v>
      </c>
      <c r="M2672" s="76">
        <v>1.36</v>
      </c>
      <c r="N2672" s="76" t="s">
        <v>916</v>
      </c>
      <c r="O2672" s="76" t="s">
        <v>1898</v>
      </c>
      <c r="P2672" s="473">
        <v>385.89</v>
      </c>
      <c r="Q2672" s="76" t="s">
        <v>916</v>
      </c>
      <c r="R2672" s="76">
        <v>524.80999999999995</v>
      </c>
    </row>
    <row r="2673" spans="6:18" ht="24" customHeight="1">
      <c r="F2673" s="460"/>
      <c r="G2673" s="459"/>
      <c r="H2673" s="474"/>
      <c r="I2673" s="474"/>
      <c r="J2673" s="475"/>
      <c r="K2673" s="476" t="s">
        <v>534</v>
      </c>
      <c r="M2673" s="76">
        <v>2.0499999999999998</v>
      </c>
      <c r="N2673" s="76" t="s">
        <v>916</v>
      </c>
      <c r="O2673" s="76" t="s">
        <v>1899</v>
      </c>
      <c r="P2673" s="76">
        <f t="shared" ref="P2673:P2678" si="246">I2666</f>
        <v>921.80000000000007</v>
      </c>
      <c r="Q2673" s="76" t="s">
        <v>916</v>
      </c>
      <c r="R2673" s="76">
        <v>586.29999999999995</v>
      </c>
    </row>
    <row r="2674" spans="6:18" ht="24" customHeight="1">
      <c r="F2674" s="460"/>
      <c r="G2674" s="459"/>
      <c r="H2674" s="477" t="s">
        <v>1905</v>
      </c>
      <c r="I2674" s="474"/>
      <c r="J2674" s="475"/>
      <c r="K2674" s="478">
        <f>SUM(K2662:K2672)</f>
        <v>8407.920435</v>
      </c>
      <c r="M2674" s="76">
        <v>2</v>
      </c>
      <c r="N2674" s="76" t="s">
        <v>576</v>
      </c>
      <c r="O2674" s="76" t="s">
        <v>2775</v>
      </c>
      <c r="P2674" s="76">
        <f t="shared" si="246"/>
        <v>49.8</v>
      </c>
      <c r="Q2674" s="76" t="s">
        <v>576</v>
      </c>
      <c r="R2674" s="76">
        <v>50</v>
      </c>
    </row>
    <row r="2675" spans="6:18" ht="24" customHeight="1">
      <c r="F2675" s="460"/>
      <c r="G2675" s="468" t="s">
        <v>22</v>
      </c>
      <c r="H2675" s="474"/>
      <c r="I2675" s="474"/>
      <c r="J2675" s="475"/>
      <c r="K2675" s="476" t="s">
        <v>534</v>
      </c>
      <c r="M2675" s="76">
        <v>6</v>
      </c>
      <c r="N2675" s="76" t="s">
        <v>576</v>
      </c>
      <c r="O2675" s="76" t="s">
        <v>1858</v>
      </c>
      <c r="P2675" s="76">
        <f t="shared" si="246"/>
        <v>43.2</v>
      </c>
      <c r="Q2675" s="76" t="s">
        <v>576</v>
      </c>
      <c r="R2675" s="76">
        <v>150</v>
      </c>
    </row>
    <row r="2676" spans="6:18" ht="24" customHeight="1">
      <c r="F2676" s="460"/>
      <c r="G2676" s="459"/>
      <c r="H2676" s="477" t="s">
        <v>881</v>
      </c>
      <c r="I2676" s="474"/>
      <c r="J2676" s="475"/>
      <c r="K2676" s="478">
        <f>K2674/2.52</f>
        <v>3336.476363095238</v>
      </c>
      <c r="M2676" s="76">
        <v>2</v>
      </c>
      <c r="N2676" s="76" t="s">
        <v>576</v>
      </c>
      <c r="O2676" s="76" t="s">
        <v>2778</v>
      </c>
      <c r="P2676" s="76">
        <f t="shared" si="246"/>
        <v>53.3</v>
      </c>
      <c r="Q2676" s="76" t="s">
        <v>576</v>
      </c>
      <c r="R2676" s="76">
        <v>70</v>
      </c>
    </row>
    <row r="2677" spans="6:18" ht="24" customHeight="1">
      <c r="F2677" s="460"/>
      <c r="G2677" s="459"/>
      <c r="H2677" s="474"/>
      <c r="I2677" s="474"/>
      <c r="J2677" s="475"/>
      <c r="K2677" s="476" t="s">
        <v>528</v>
      </c>
      <c r="M2677" s="76">
        <v>1</v>
      </c>
      <c r="N2677" s="76" t="s">
        <v>576</v>
      </c>
      <c r="O2677" s="76" t="s">
        <v>2777</v>
      </c>
      <c r="P2677" s="76">
        <f t="shared" si="246"/>
        <v>63.2</v>
      </c>
      <c r="Q2677" s="76" t="s">
        <v>576</v>
      </c>
      <c r="R2677" s="76">
        <v>60</v>
      </c>
    </row>
    <row r="2678" spans="6:18" ht="24" customHeight="1">
      <c r="F2678" s="460"/>
      <c r="G2678" s="459"/>
      <c r="H2678" s="474"/>
      <c r="I2678" s="474"/>
      <c r="J2678" s="475"/>
      <c r="K2678" s="474"/>
      <c r="M2678" s="76">
        <v>2.52</v>
      </c>
      <c r="N2678" s="76" t="s">
        <v>916</v>
      </c>
      <c r="O2678" s="76" t="s">
        <v>1903</v>
      </c>
      <c r="P2678" s="76">
        <f t="shared" si="246"/>
        <v>148.78800000000001</v>
      </c>
      <c r="Q2678" s="76" t="s">
        <v>916</v>
      </c>
      <c r="R2678" s="76">
        <v>124.71</v>
      </c>
    </row>
    <row r="2679" spans="6:18" ht="24" customHeight="1">
      <c r="F2679" s="457" t="s">
        <v>2779</v>
      </c>
      <c r="G2679" s="457"/>
      <c r="H2679" s="457"/>
      <c r="I2679" s="457"/>
      <c r="J2679" s="457"/>
      <c r="K2679" s="457"/>
      <c r="O2679" s="76" t="s">
        <v>1904</v>
      </c>
      <c r="P2679" s="76" t="s">
        <v>589</v>
      </c>
      <c r="R2679" s="76">
        <v>0.28000000000000003</v>
      </c>
    </row>
    <row r="2680" spans="6:18" ht="24" customHeight="1">
      <c r="F2680" s="479">
        <v>4</v>
      </c>
      <c r="G2680" s="156" t="s">
        <v>1799</v>
      </c>
      <c r="H2680" s="76" t="s">
        <v>2780</v>
      </c>
      <c r="I2680" s="264">
        <f>C394</f>
        <v>149.9</v>
      </c>
      <c r="J2680" s="158" t="s">
        <v>2781</v>
      </c>
      <c r="K2680" s="479">
        <f>I2680*F2680</f>
        <v>599.6</v>
      </c>
      <c r="R2680" s="76" t="s">
        <v>534</v>
      </c>
    </row>
    <row r="2681" spans="6:18" ht="24" customHeight="1">
      <c r="F2681" s="479">
        <v>2.52</v>
      </c>
      <c r="G2681" s="156" t="s">
        <v>2781</v>
      </c>
      <c r="H2681" s="76" t="s">
        <v>2782</v>
      </c>
      <c r="I2681" s="76">
        <f>C34/1000</f>
        <v>41.2</v>
      </c>
      <c r="J2681" s="158" t="s">
        <v>420</v>
      </c>
      <c r="K2681" s="479">
        <f t="shared" ref="K2681:K2687" si="247">I2681*F2681</f>
        <v>103.82400000000001</v>
      </c>
      <c r="O2681" s="76" t="s">
        <v>1905</v>
      </c>
      <c r="R2681" s="76">
        <v>4559.0600000000004</v>
      </c>
    </row>
    <row r="2682" spans="6:18" ht="24" customHeight="1">
      <c r="F2682" s="479">
        <v>1.1299999999999999</v>
      </c>
      <c r="G2682" s="156" t="s">
        <v>2781</v>
      </c>
      <c r="H2682" s="76" t="s">
        <v>2783</v>
      </c>
      <c r="I2682" s="76">
        <f>I2681</f>
        <v>41.2</v>
      </c>
      <c r="J2682" s="158" t="s">
        <v>420</v>
      </c>
      <c r="K2682" s="479">
        <f t="shared" si="247"/>
        <v>46.555999999999997</v>
      </c>
      <c r="N2682" s="76" t="s">
        <v>22</v>
      </c>
      <c r="R2682" s="76" t="s">
        <v>534</v>
      </c>
    </row>
    <row r="2683" spans="6:18" ht="24" customHeight="1">
      <c r="F2683" s="479">
        <v>0.35</v>
      </c>
      <c r="G2683" s="156" t="s">
        <v>420</v>
      </c>
      <c r="H2683" s="76" t="s">
        <v>2784</v>
      </c>
      <c r="I2683" s="76">
        <f>I2682</f>
        <v>41.2</v>
      </c>
      <c r="J2683" s="158" t="s">
        <v>420</v>
      </c>
      <c r="K2683" s="479">
        <f t="shared" si="247"/>
        <v>14.42</v>
      </c>
      <c r="O2683" s="76" t="s">
        <v>881</v>
      </c>
      <c r="R2683" s="76">
        <v>1809.15</v>
      </c>
    </row>
    <row r="2684" spans="6:18" ht="24" customHeight="1">
      <c r="F2684" s="479">
        <v>4</v>
      </c>
      <c r="G2684" s="156" t="s">
        <v>420</v>
      </c>
      <c r="H2684" s="76" t="s">
        <v>2785</v>
      </c>
      <c r="I2684" s="76">
        <f>C37</f>
        <v>36.200000000000003</v>
      </c>
      <c r="J2684" s="158" t="s">
        <v>420</v>
      </c>
      <c r="K2684" s="479">
        <f t="shared" si="247"/>
        <v>144.80000000000001</v>
      </c>
      <c r="R2684" s="76" t="s">
        <v>528</v>
      </c>
    </row>
    <row r="2685" spans="6:18" ht="24" customHeight="1">
      <c r="F2685" s="479">
        <v>6</v>
      </c>
      <c r="G2685" s="156" t="s">
        <v>1799</v>
      </c>
      <c r="H2685" s="76" t="s">
        <v>2786</v>
      </c>
      <c r="I2685" s="76">
        <v>1</v>
      </c>
      <c r="J2685" s="158" t="s">
        <v>332</v>
      </c>
      <c r="K2685" s="479">
        <f t="shared" si="247"/>
        <v>6</v>
      </c>
    </row>
    <row r="2686" spans="6:18" ht="24" customHeight="1">
      <c r="F2686" s="479">
        <v>0.5</v>
      </c>
      <c r="G2686" s="156" t="s">
        <v>1799</v>
      </c>
      <c r="H2686" s="76" t="s">
        <v>2553</v>
      </c>
      <c r="I2686" s="76">
        <f>C12</f>
        <v>468.6</v>
      </c>
      <c r="J2686" s="158" t="s">
        <v>332</v>
      </c>
      <c r="K2686" s="479">
        <f t="shared" si="247"/>
        <v>234.3</v>
      </c>
    </row>
    <row r="2687" spans="6:18" ht="24" customHeight="1">
      <c r="F2687" s="479">
        <v>0.5</v>
      </c>
      <c r="G2687" s="156" t="s">
        <v>1799</v>
      </c>
      <c r="H2687" s="76" t="s">
        <v>2617</v>
      </c>
      <c r="I2687" s="76">
        <f>C13</f>
        <v>404.8</v>
      </c>
      <c r="J2687" s="158" t="s">
        <v>332</v>
      </c>
      <c r="K2687" s="479">
        <f t="shared" si="247"/>
        <v>202.4</v>
      </c>
    </row>
    <row r="2688" spans="6:18" ht="24" customHeight="1">
      <c r="G2688" s="156" t="s">
        <v>589</v>
      </c>
      <c r="H2688" s="76" t="s">
        <v>2787</v>
      </c>
      <c r="I2688" s="242" t="s">
        <v>589</v>
      </c>
      <c r="K2688" s="76">
        <v>21.69</v>
      </c>
      <c r="L2688" s="76">
        <f>24*176</f>
        <v>4224</v>
      </c>
    </row>
    <row r="2689" spans="6:12" ht="24" customHeight="1">
      <c r="G2689" s="76"/>
      <c r="H2689" s="480" t="s">
        <v>2788</v>
      </c>
      <c r="K2689" s="481">
        <f>SUM(K2680:K2688)</f>
        <v>1373.5900000000001</v>
      </c>
    </row>
    <row r="2690" spans="6:12" ht="24" customHeight="1">
      <c r="G2690" s="76"/>
      <c r="H2690" s="480" t="s">
        <v>2685</v>
      </c>
      <c r="K2690" s="481">
        <f>K2689/2</f>
        <v>686.79500000000007</v>
      </c>
    </row>
    <row r="2691" spans="6:12" ht="24" customHeight="1">
      <c r="G2691" s="76"/>
      <c r="L2691" s="76">
        <f>K2727+K2718</f>
        <v>145.48600000000002</v>
      </c>
    </row>
    <row r="2692" spans="6:12" ht="24" customHeight="1">
      <c r="H2692" s="76" t="s">
        <v>2789</v>
      </c>
    </row>
    <row r="2694" spans="6:12" ht="24" customHeight="1">
      <c r="F2694" s="482"/>
      <c r="G2694" s="483"/>
      <c r="H2694" s="484" t="s">
        <v>2790</v>
      </c>
      <c r="I2694" s="482"/>
      <c r="J2694" s="485"/>
      <c r="K2694" s="482"/>
    </row>
    <row r="2695" spans="6:12" ht="24" customHeight="1">
      <c r="F2695" s="482"/>
      <c r="G2695" s="483"/>
      <c r="H2695" s="482" t="s">
        <v>2791</v>
      </c>
      <c r="I2695" s="482"/>
      <c r="J2695" s="485"/>
      <c r="K2695" s="482"/>
    </row>
    <row r="2696" spans="6:12" ht="24" customHeight="1">
      <c r="F2696" s="482">
        <v>41.6</v>
      </c>
      <c r="G2696" s="483" t="s">
        <v>420</v>
      </c>
      <c r="H2696" s="482" t="s">
        <v>2792</v>
      </c>
      <c r="I2696" s="482">
        <f>I2681</f>
        <v>41.2</v>
      </c>
      <c r="J2696" s="485" t="s">
        <v>420</v>
      </c>
      <c r="K2696" s="482">
        <f>F2696*I2696</f>
        <v>1713.92</v>
      </c>
    </row>
    <row r="2697" spans="6:12" ht="24" customHeight="1">
      <c r="F2697" s="482">
        <v>0.5</v>
      </c>
      <c r="G2697" s="483" t="s">
        <v>42</v>
      </c>
      <c r="H2697" s="482" t="s">
        <v>2793</v>
      </c>
      <c r="I2697" s="482">
        <f>AE21</f>
        <v>551.1</v>
      </c>
      <c r="J2697" s="485" t="s">
        <v>332</v>
      </c>
      <c r="K2697" s="482">
        <f>F2697*I2697</f>
        <v>275.55</v>
      </c>
    </row>
    <row r="2698" spans="6:12" ht="24" customHeight="1">
      <c r="F2698" s="482">
        <v>1</v>
      </c>
      <c r="G2698" s="483" t="s">
        <v>1261</v>
      </c>
      <c r="H2698" s="482" t="s">
        <v>2794</v>
      </c>
      <c r="I2698" s="482">
        <f>C10</f>
        <v>717.2</v>
      </c>
      <c r="J2698" s="485" t="s">
        <v>332</v>
      </c>
      <c r="K2698" s="482">
        <f>F2698*I2698</f>
        <v>717.2</v>
      </c>
    </row>
    <row r="2699" spans="6:12" ht="24" customHeight="1">
      <c r="F2699" s="482">
        <v>1</v>
      </c>
      <c r="G2699" s="483" t="s">
        <v>1261</v>
      </c>
      <c r="H2699" s="482" t="s">
        <v>1913</v>
      </c>
      <c r="I2699" s="482">
        <f>C13</f>
        <v>404.8</v>
      </c>
      <c r="J2699" s="485" t="s">
        <v>332</v>
      </c>
      <c r="K2699" s="482">
        <f>F2699*I2699</f>
        <v>404.8</v>
      </c>
    </row>
    <row r="2700" spans="6:12" ht="24" customHeight="1">
      <c r="F2700" s="482"/>
      <c r="G2700" s="483" t="s">
        <v>589</v>
      </c>
      <c r="H2700" s="482" t="s">
        <v>2795</v>
      </c>
      <c r="I2700" s="482"/>
      <c r="J2700" s="485" t="s">
        <v>589</v>
      </c>
      <c r="K2700" s="482">
        <v>27.7</v>
      </c>
    </row>
    <row r="2701" spans="6:12" ht="24" customHeight="1">
      <c r="F2701" s="482"/>
      <c r="G2701" s="483"/>
      <c r="H2701" s="486" t="s">
        <v>2796</v>
      </c>
      <c r="I2701" s="482"/>
      <c r="J2701" s="486" t="s">
        <v>2797</v>
      </c>
      <c r="K2701" s="482">
        <f>SUM(K2696:K2700)</f>
        <v>3139.17</v>
      </c>
    </row>
    <row r="2702" spans="6:12" ht="24" customHeight="1">
      <c r="F2702" s="482"/>
      <c r="G2702" s="483"/>
      <c r="H2702" s="486" t="s">
        <v>2798</v>
      </c>
      <c r="I2702" s="482"/>
      <c r="J2702" s="486" t="s">
        <v>2797</v>
      </c>
      <c r="K2702" s="482">
        <f>K2701/16</f>
        <v>196.198125</v>
      </c>
    </row>
    <row r="2703" spans="6:12" ht="24" customHeight="1">
      <c r="F2703" s="482"/>
      <c r="G2703" s="483"/>
      <c r="H2703" s="487" t="s">
        <v>2799</v>
      </c>
      <c r="I2703" s="488"/>
      <c r="J2703" s="487" t="s">
        <v>2797</v>
      </c>
      <c r="K2703" s="488">
        <f>K2702/0.95</f>
        <v>206.52434210526317</v>
      </c>
    </row>
    <row r="2704" spans="6:12" ht="24" customHeight="1">
      <c r="F2704" s="482"/>
      <c r="G2704" s="483"/>
      <c r="H2704" s="482"/>
      <c r="I2704" s="482"/>
      <c r="J2704" s="485"/>
      <c r="K2704" s="482"/>
    </row>
    <row r="2705" spans="6:11" ht="24" customHeight="1">
      <c r="F2705" s="482"/>
      <c r="G2705" s="483"/>
      <c r="H2705" s="482"/>
      <c r="I2705" s="482"/>
      <c r="J2705" s="485"/>
      <c r="K2705" s="482"/>
    </row>
    <row r="2706" spans="6:11" ht="24" customHeight="1">
      <c r="F2706" s="339" t="s">
        <v>2129</v>
      </c>
      <c r="G2706" s="489" t="s">
        <v>307</v>
      </c>
      <c r="H2706" s="338" t="s">
        <v>2130</v>
      </c>
      <c r="I2706" s="482"/>
      <c r="J2706" s="485"/>
      <c r="K2706" s="482"/>
    </row>
    <row r="2707" spans="6:11" ht="50.25" customHeight="1">
      <c r="F2707" s="482"/>
      <c r="G2707" s="483"/>
      <c r="H2707" s="338" t="s">
        <v>2131</v>
      </c>
      <c r="I2707" s="482"/>
      <c r="J2707" s="485"/>
      <c r="K2707" s="482"/>
    </row>
    <row r="2708" spans="6:11" ht="24" customHeight="1">
      <c r="F2708" s="482"/>
      <c r="G2708" s="483"/>
      <c r="H2708" s="338" t="s">
        <v>2132</v>
      </c>
      <c r="I2708" s="482"/>
      <c r="J2708" s="485"/>
      <c r="K2708" s="482"/>
    </row>
    <row r="2709" spans="6:11" ht="24" customHeight="1">
      <c r="F2709" s="482"/>
      <c r="G2709" s="483"/>
      <c r="H2709" s="338" t="s">
        <v>2133</v>
      </c>
      <c r="I2709" s="482"/>
      <c r="J2709" s="485"/>
      <c r="K2709" s="482"/>
    </row>
    <row r="2710" spans="6:11" ht="24" customHeight="1">
      <c r="F2710" s="482"/>
      <c r="G2710" s="483"/>
      <c r="H2710" s="490" t="s">
        <v>534</v>
      </c>
      <c r="I2710" s="482"/>
      <c r="J2710" s="485"/>
      <c r="K2710" s="482"/>
    </row>
    <row r="2711" spans="6:11" ht="24" customHeight="1">
      <c r="F2711" s="336">
        <v>1.8</v>
      </c>
      <c r="G2711" s="489" t="s">
        <v>420</v>
      </c>
      <c r="H2711" s="491" t="s">
        <v>2800</v>
      </c>
      <c r="I2711" s="336">
        <f>C609</f>
        <v>22</v>
      </c>
      <c r="J2711" s="339" t="s">
        <v>420</v>
      </c>
      <c r="K2711" s="336">
        <f>(F2711*I2711)</f>
        <v>39.6</v>
      </c>
    </row>
    <row r="2712" spans="6:11" ht="24" customHeight="1">
      <c r="F2712" s="336">
        <v>0.25</v>
      </c>
      <c r="G2712" s="489" t="s">
        <v>576</v>
      </c>
      <c r="H2712" s="338" t="s">
        <v>2135</v>
      </c>
      <c r="I2712" s="336">
        <f>C14</f>
        <v>574.20000000000005</v>
      </c>
      <c r="J2712" s="339" t="s">
        <v>576</v>
      </c>
      <c r="K2712" s="336">
        <f>(F2712*I2712)</f>
        <v>143.55000000000001</v>
      </c>
    </row>
    <row r="2713" spans="6:11" ht="24" customHeight="1">
      <c r="F2713" s="336">
        <v>0.25</v>
      </c>
      <c r="G2713" s="489" t="s">
        <v>576</v>
      </c>
      <c r="H2713" s="338" t="s">
        <v>1944</v>
      </c>
      <c r="I2713" s="336">
        <f>C12</f>
        <v>468.6</v>
      </c>
      <c r="J2713" s="339" t="s">
        <v>576</v>
      </c>
      <c r="K2713" s="336">
        <f>(F2713*I2713)</f>
        <v>117.15</v>
      </c>
    </row>
    <row r="2714" spans="6:11" ht="24" customHeight="1">
      <c r="F2714" s="336">
        <v>0.4</v>
      </c>
      <c r="G2714" s="489" t="s">
        <v>576</v>
      </c>
      <c r="H2714" s="338" t="s">
        <v>756</v>
      </c>
      <c r="I2714" s="336">
        <f>C13</f>
        <v>404.8</v>
      </c>
      <c r="J2714" s="339" t="s">
        <v>576</v>
      </c>
      <c r="K2714" s="336">
        <f>(F2714*I2714)</f>
        <v>161.92000000000002</v>
      </c>
    </row>
    <row r="2715" spans="6:11" ht="24" customHeight="1">
      <c r="F2715" s="336"/>
      <c r="G2715" s="489"/>
      <c r="H2715" s="338"/>
      <c r="I2715" s="336"/>
      <c r="J2715" s="339"/>
      <c r="K2715" s="336"/>
    </row>
    <row r="2716" spans="6:11" ht="24" customHeight="1">
      <c r="F2716" s="482"/>
      <c r="G2716" s="489"/>
      <c r="H2716" s="338"/>
      <c r="I2716" s="338" t="s">
        <v>22</v>
      </c>
      <c r="J2716" s="339"/>
      <c r="K2716" s="336">
        <f>SUM(K2711:K2714)</f>
        <v>462.22</v>
      </c>
    </row>
    <row r="2717" spans="6:11" ht="24" customHeight="1">
      <c r="F2717" s="482"/>
      <c r="G2717" s="489"/>
      <c r="H2717" s="338"/>
      <c r="I2717" s="338"/>
      <c r="J2717" s="339"/>
      <c r="K2717" s="336"/>
    </row>
    <row r="2718" spans="6:11" ht="24" customHeight="1">
      <c r="F2718" s="482"/>
      <c r="G2718" s="483"/>
      <c r="H2718" s="488"/>
      <c r="I2718" s="488"/>
      <c r="J2718" s="492"/>
      <c r="K2718" s="493">
        <f>K2716/10</f>
        <v>46.222000000000001</v>
      </c>
    </row>
    <row r="2719" spans="6:11" ht="24" customHeight="1">
      <c r="F2719" s="336">
        <v>3</v>
      </c>
      <c r="G2719" s="489" t="s">
        <v>420</v>
      </c>
      <c r="H2719" s="338" t="s">
        <v>2134</v>
      </c>
      <c r="I2719" s="494">
        <f>C271</f>
        <v>48.5</v>
      </c>
      <c r="J2719" s="339" t="s">
        <v>420</v>
      </c>
      <c r="K2719" s="494">
        <f>(F2719*I2719)</f>
        <v>145.5</v>
      </c>
    </row>
    <row r="2720" spans="6:11" ht="24" customHeight="1">
      <c r="F2720" s="336">
        <v>0.5</v>
      </c>
      <c r="G2720" s="489" t="s">
        <v>576</v>
      </c>
      <c r="H2720" s="338" t="s">
        <v>2135</v>
      </c>
      <c r="I2720" s="494">
        <f>C14</f>
        <v>574.20000000000005</v>
      </c>
      <c r="J2720" s="339" t="s">
        <v>576</v>
      </c>
      <c r="K2720" s="494">
        <f>(F2720*I2720)</f>
        <v>287.10000000000002</v>
      </c>
    </row>
    <row r="2721" spans="6:11" ht="24" customHeight="1">
      <c r="F2721" s="336">
        <v>0.5</v>
      </c>
      <c r="G2721" s="489" t="s">
        <v>576</v>
      </c>
      <c r="H2721" s="338" t="s">
        <v>1944</v>
      </c>
      <c r="I2721" s="494">
        <f>I2713</f>
        <v>468.6</v>
      </c>
      <c r="J2721" s="339" t="s">
        <v>576</v>
      </c>
      <c r="K2721" s="494">
        <f>(F2721*I2721)</f>
        <v>234.3</v>
      </c>
    </row>
    <row r="2722" spans="6:11" ht="24" customHeight="1">
      <c r="F2722" s="336">
        <v>0.8</v>
      </c>
      <c r="G2722" s="489" t="s">
        <v>576</v>
      </c>
      <c r="H2722" s="338" t="s">
        <v>756</v>
      </c>
      <c r="I2722" s="494">
        <f>I2714</f>
        <v>404.8</v>
      </c>
      <c r="J2722" s="339" t="s">
        <v>576</v>
      </c>
      <c r="K2722" s="494">
        <f>(F2722*I2722)</f>
        <v>323.84000000000003</v>
      </c>
    </row>
    <row r="2723" spans="6:11" ht="24" customHeight="1">
      <c r="F2723" s="482"/>
      <c r="G2723" s="489" t="s">
        <v>589</v>
      </c>
      <c r="H2723" s="338" t="s">
        <v>1077</v>
      </c>
      <c r="I2723" s="338" t="s">
        <v>22</v>
      </c>
      <c r="J2723" s="339" t="s">
        <v>589</v>
      </c>
      <c r="K2723" s="336">
        <v>1.9</v>
      </c>
    </row>
    <row r="2724" spans="6:11" ht="24" customHeight="1">
      <c r="F2724" s="482"/>
      <c r="G2724" s="483"/>
      <c r="H2724" s="488"/>
      <c r="I2724" s="488"/>
      <c r="J2724" s="492"/>
      <c r="K2724" s="495" t="s">
        <v>534</v>
      </c>
    </row>
    <row r="2725" spans="6:11" ht="24" customHeight="1">
      <c r="F2725" s="482"/>
      <c r="G2725" s="483"/>
      <c r="H2725" s="496" t="s">
        <v>879</v>
      </c>
      <c r="I2725" s="488"/>
      <c r="J2725" s="492"/>
      <c r="K2725" s="497">
        <f>SUM(K2719:K2723)</f>
        <v>992.6400000000001</v>
      </c>
    </row>
    <row r="2726" spans="6:11" ht="24" customHeight="1">
      <c r="F2726" s="482"/>
      <c r="G2726" s="483"/>
      <c r="H2726" s="488"/>
      <c r="I2726" s="488"/>
      <c r="J2726" s="492"/>
      <c r="K2726" s="495" t="s">
        <v>534</v>
      </c>
    </row>
    <row r="2727" spans="6:11" ht="24" customHeight="1">
      <c r="F2727" s="482"/>
      <c r="G2727" s="483"/>
      <c r="H2727" s="496" t="s">
        <v>881</v>
      </c>
      <c r="I2727" s="488"/>
      <c r="J2727" s="492"/>
      <c r="K2727" s="497">
        <f>(K2725/10)</f>
        <v>99.26400000000001</v>
      </c>
    </row>
    <row r="2728" spans="6:11" ht="24" customHeight="1">
      <c r="F2728" s="482"/>
      <c r="G2728" s="482"/>
      <c r="H2728" s="482"/>
      <c r="I2728" s="482"/>
      <c r="J2728" s="482"/>
      <c r="K2728" s="482"/>
    </row>
    <row r="2729" spans="6:11" ht="24" customHeight="1">
      <c r="F2729" s="498"/>
      <c r="G2729" s="489" t="s">
        <v>307</v>
      </c>
      <c r="H2729" s="338" t="s">
        <v>1115</v>
      </c>
      <c r="I2729" s="482"/>
      <c r="J2729" s="485"/>
      <c r="K2729" s="482"/>
    </row>
    <row r="2730" spans="6:11" ht="24" customHeight="1">
      <c r="F2730" s="482"/>
      <c r="G2730" s="483"/>
      <c r="H2730" s="338" t="s">
        <v>2313</v>
      </c>
      <c r="I2730" s="482"/>
      <c r="J2730" s="485"/>
      <c r="K2730" s="482"/>
    </row>
    <row r="2731" spans="6:11" ht="24" customHeight="1">
      <c r="F2731" s="482"/>
      <c r="G2731" s="483"/>
      <c r="H2731" s="338" t="s">
        <v>2801</v>
      </c>
      <c r="I2731" s="482"/>
      <c r="J2731" s="485"/>
      <c r="K2731" s="482"/>
    </row>
    <row r="2732" spans="6:11" ht="24" customHeight="1">
      <c r="F2732" s="482"/>
      <c r="G2732" s="483"/>
      <c r="H2732" s="490" t="s">
        <v>534</v>
      </c>
      <c r="I2732" s="482"/>
      <c r="J2732" s="485"/>
      <c r="K2732" s="482"/>
    </row>
    <row r="2733" spans="6:11" ht="24" customHeight="1">
      <c r="F2733" s="482"/>
      <c r="G2733" s="489" t="s">
        <v>2314</v>
      </c>
      <c r="H2733" s="338" t="s">
        <v>1182</v>
      </c>
      <c r="I2733" s="482"/>
      <c r="J2733" s="485"/>
      <c r="K2733" s="338" t="s">
        <v>2315</v>
      </c>
    </row>
    <row r="2734" spans="6:11" ht="24" customHeight="1">
      <c r="F2734" s="482"/>
      <c r="G2734" s="483"/>
      <c r="H2734" s="490" t="s">
        <v>534</v>
      </c>
      <c r="I2734" s="482"/>
      <c r="J2734" s="485"/>
      <c r="K2734" s="490" t="s">
        <v>528</v>
      </c>
    </row>
    <row r="2735" spans="6:11" ht="24" customHeight="1">
      <c r="F2735" s="336">
        <v>30</v>
      </c>
      <c r="G2735" s="489" t="s">
        <v>410</v>
      </c>
      <c r="H2735" s="338" t="s">
        <v>1188</v>
      </c>
      <c r="I2735" s="336">
        <f>C661</f>
        <v>6.45</v>
      </c>
      <c r="J2735" s="339" t="s">
        <v>410</v>
      </c>
      <c r="K2735" s="336">
        <f>(F2735*I2735)</f>
        <v>193.5</v>
      </c>
    </row>
    <row r="2736" spans="6:11" ht="24" customHeight="1">
      <c r="F2736" s="338" t="s">
        <v>22</v>
      </c>
      <c r="G2736" s="483"/>
      <c r="H2736" s="338" t="s">
        <v>1191</v>
      </c>
      <c r="I2736" s="338" t="s">
        <v>22</v>
      </c>
      <c r="J2736" s="485"/>
      <c r="K2736" s="338" t="s">
        <v>22</v>
      </c>
    </row>
    <row r="2737" spans="6:12" ht="24" customHeight="1">
      <c r="F2737" s="336">
        <v>8</v>
      </c>
      <c r="G2737" s="489" t="s">
        <v>576</v>
      </c>
      <c r="H2737" s="338" t="s">
        <v>1131</v>
      </c>
      <c r="I2737" s="336">
        <f>I1806</f>
        <v>6.2</v>
      </c>
      <c r="J2737" s="339" t="s">
        <v>576</v>
      </c>
      <c r="K2737" s="336">
        <f t="shared" ref="K2737:K2742" si="248">(F2737*I2737)</f>
        <v>49.6</v>
      </c>
    </row>
    <row r="2738" spans="6:12" ht="24" customHeight="1">
      <c r="F2738" s="336">
        <v>8</v>
      </c>
      <c r="G2738" s="489" t="s">
        <v>576</v>
      </c>
      <c r="H2738" s="338" t="s">
        <v>1134</v>
      </c>
      <c r="I2738" s="336">
        <f>I1807</f>
        <v>8.6999999999999993</v>
      </c>
      <c r="J2738" s="339" t="s">
        <v>576</v>
      </c>
      <c r="K2738" s="336">
        <f t="shared" si="248"/>
        <v>69.599999999999994</v>
      </c>
      <c r="L2738" s="348"/>
    </row>
    <row r="2739" spans="6:12" ht="24" customHeight="1">
      <c r="F2739" s="336">
        <v>3</v>
      </c>
      <c r="G2739" s="489" t="s">
        <v>576</v>
      </c>
      <c r="H2739" s="338" t="s">
        <v>1196</v>
      </c>
      <c r="I2739" s="336">
        <f>C41</f>
        <v>531.30000000000007</v>
      </c>
      <c r="J2739" s="339" t="s">
        <v>576</v>
      </c>
      <c r="K2739" s="336">
        <f t="shared" si="248"/>
        <v>1593.9</v>
      </c>
      <c r="L2739" s="350"/>
    </row>
    <row r="2740" spans="6:12" ht="24" customHeight="1">
      <c r="F2740" s="336">
        <v>1</v>
      </c>
      <c r="G2740" s="489" t="s">
        <v>576</v>
      </c>
      <c r="H2740" s="338" t="s">
        <v>2316</v>
      </c>
      <c r="I2740" s="336">
        <f>C10</f>
        <v>717.2</v>
      </c>
      <c r="J2740" s="339" t="s">
        <v>576</v>
      </c>
      <c r="K2740" s="336">
        <f t="shared" si="248"/>
        <v>717.2</v>
      </c>
      <c r="L2740" s="350"/>
    </row>
    <row r="2741" spans="6:12" ht="24" customHeight="1">
      <c r="F2741" s="336">
        <v>2</v>
      </c>
      <c r="G2741" s="489" t="s">
        <v>576</v>
      </c>
      <c r="H2741" s="338" t="s">
        <v>754</v>
      </c>
      <c r="I2741" s="336">
        <f>C12</f>
        <v>468.6</v>
      </c>
      <c r="J2741" s="339" t="s">
        <v>576</v>
      </c>
      <c r="K2741" s="336">
        <f t="shared" si="248"/>
        <v>937.2</v>
      </c>
      <c r="L2741" s="350"/>
    </row>
    <row r="2742" spans="6:12" ht="24" customHeight="1">
      <c r="F2742" s="336">
        <v>1</v>
      </c>
      <c r="G2742" s="489" t="s">
        <v>576</v>
      </c>
      <c r="H2742" s="338" t="s">
        <v>756</v>
      </c>
      <c r="I2742" s="336">
        <f>C13</f>
        <v>404.8</v>
      </c>
      <c r="J2742" s="339" t="s">
        <v>576</v>
      </c>
      <c r="K2742" s="336">
        <f t="shared" si="248"/>
        <v>404.8</v>
      </c>
      <c r="L2742" s="350"/>
    </row>
    <row r="2743" spans="6:12" ht="24" customHeight="1">
      <c r="F2743" s="482"/>
      <c r="G2743" s="489" t="s">
        <v>589</v>
      </c>
      <c r="H2743" s="499" t="s">
        <v>2802</v>
      </c>
      <c r="I2743" s="336" t="s">
        <v>2658</v>
      </c>
      <c r="J2743" s="339" t="s">
        <v>589</v>
      </c>
      <c r="K2743" s="336">
        <v>64.849999999999994</v>
      </c>
      <c r="L2743" s="350"/>
    </row>
    <row r="2744" spans="6:12" ht="24" customHeight="1">
      <c r="F2744" s="482"/>
      <c r="G2744" s="483"/>
      <c r="H2744" s="338"/>
      <c r="I2744" s="336"/>
      <c r="J2744" s="485"/>
      <c r="K2744" s="494"/>
      <c r="L2744" s="350"/>
    </row>
    <row r="2745" spans="6:12" ht="24" customHeight="1">
      <c r="F2745" s="482"/>
      <c r="G2745" s="482"/>
      <c r="H2745" s="482"/>
      <c r="I2745" s="482"/>
      <c r="J2745" s="482"/>
      <c r="K2745" s="482"/>
      <c r="L2745" s="350"/>
    </row>
    <row r="2746" spans="6:12" ht="24" customHeight="1">
      <c r="F2746" s="482"/>
      <c r="G2746" s="483"/>
      <c r="H2746" s="482"/>
      <c r="I2746" s="482"/>
      <c r="J2746" s="485"/>
      <c r="K2746" s="490" t="s">
        <v>534</v>
      </c>
      <c r="L2746" s="350"/>
    </row>
    <row r="2747" spans="6:12" ht="24" customHeight="1">
      <c r="F2747" s="482"/>
      <c r="G2747" s="483"/>
      <c r="H2747" s="496" t="s">
        <v>1202</v>
      </c>
      <c r="I2747" s="488"/>
      <c r="J2747" s="492"/>
      <c r="K2747" s="497">
        <f>SUM(K2735:K2746)</f>
        <v>4030.65</v>
      </c>
      <c r="L2747" s="359"/>
    </row>
    <row r="2748" spans="6:12" ht="24" customHeight="1">
      <c r="F2748" s="482"/>
      <c r="G2748" s="483"/>
      <c r="H2748" s="488"/>
      <c r="I2748" s="488"/>
      <c r="J2748" s="492"/>
      <c r="K2748" s="495" t="s">
        <v>534</v>
      </c>
    </row>
    <row r="2749" spans="6:12" ht="24" customHeight="1">
      <c r="F2749" s="482"/>
      <c r="G2749" s="483"/>
      <c r="H2749" s="496" t="s">
        <v>1139</v>
      </c>
      <c r="I2749" s="488"/>
      <c r="J2749" s="492"/>
      <c r="K2749" s="497">
        <f>(K2747/30)</f>
        <v>134.35499999999999</v>
      </c>
    </row>
    <row r="2750" spans="6:12" ht="24" customHeight="1">
      <c r="F2750" s="482"/>
      <c r="G2750" s="482"/>
      <c r="H2750" s="482"/>
      <c r="I2750" s="482"/>
      <c r="J2750" s="482"/>
      <c r="K2750" s="482"/>
    </row>
    <row r="2751" spans="6:12" ht="24" customHeight="1">
      <c r="F2751" s="482"/>
      <c r="G2751" s="482"/>
      <c r="H2751" s="482"/>
      <c r="I2751" s="482"/>
      <c r="J2751" s="482"/>
      <c r="K2751" s="482"/>
    </row>
    <row r="2752" spans="6:12" ht="24" customHeight="1">
      <c r="F2752" s="500">
        <v>52</v>
      </c>
      <c r="G2752" s="489" t="s">
        <v>307</v>
      </c>
      <c r="H2752" s="338" t="s">
        <v>2322</v>
      </c>
      <c r="I2752" s="482"/>
      <c r="J2752" s="485"/>
      <c r="K2752" s="482"/>
    </row>
    <row r="2753" spans="5:12" ht="24" customHeight="1">
      <c r="F2753" s="482"/>
      <c r="G2753" s="483"/>
      <c r="H2753" s="338" t="s">
        <v>2323</v>
      </c>
      <c r="I2753" s="482"/>
      <c r="J2753" s="485"/>
      <c r="K2753" s="482"/>
    </row>
    <row r="2754" spans="5:12" ht="24" customHeight="1">
      <c r="F2754" s="482"/>
      <c r="G2754" s="483"/>
      <c r="H2754" s="338" t="s">
        <v>2325</v>
      </c>
      <c r="I2754" s="482"/>
      <c r="J2754" s="485"/>
      <c r="K2754" s="482"/>
    </row>
    <row r="2755" spans="5:12" ht="24" customHeight="1">
      <c r="F2755" s="482"/>
      <c r="G2755" s="483"/>
      <c r="H2755" s="338" t="s">
        <v>2327</v>
      </c>
      <c r="I2755" s="482"/>
      <c r="J2755" s="485"/>
      <c r="K2755" s="482"/>
    </row>
    <row r="2756" spans="5:12" ht="24" customHeight="1">
      <c r="F2756" s="482"/>
      <c r="G2756" s="483"/>
      <c r="H2756" s="338" t="s">
        <v>2328</v>
      </c>
      <c r="I2756" s="482"/>
      <c r="J2756" s="485"/>
      <c r="K2756" s="482"/>
    </row>
    <row r="2757" spans="5:12" ht="24" customHeight="1">
      <c r="E2757" s="76">
        <f>6*0.3</f>
        <v>1.7999999999999998</v>
      </c>
      <c r="F2757" s="482"/>
      <c r="G2757" s="483"/>
      <c r="H2757" s="338" t="s">
        <v>2803</v>
      </c>
      <c r="I2757" s="482"/>
      <c r="J2757" s="485"/>
      <c r="K2757" s="482"/>
    </row>
    <row r="2758" spans="5:12" ht="24" customHeight="1">
      <c r="E2758" s="76">
        <f>3.5+E2757</f>
        <v>5.3</v>
      </c>
      <c r="F2758" s="482"/>
      <c r="G2758" s="483"/>
      <c r="H2758" s="338" t="s">
        <v>2330</v>
      </c>
      <c r="I2758" s="482"/>
      <c r="J2758" s="485"/>
      <c r="K2758" s="482"/>
      <c r="L2758" s="76">
        <f>K2792</f>
        <v>167.47500000000002</v>
      </c>
    </row>
    <row r="2759" spans="5:12" ht="24" customHeight="1">
      <c r="E2759" s="76">
        <f>3.14*0.3*0.3</f>
        <v>0.28259999999999996</v>
      </c>
      <c r="F2759" s="482"/>
      <c r="G2759" s="483"/>
      <c r="H2759" s="338" t="s">
        <v>2331</v>
      </c>
      <c r="I2759" s="482"/>
      <c r="J2759" s="485"/>
      <c r="K2759" s="482"/>
      <c r="L2759" s="76">
        <f>K2793</f>
        <v>1640.1000000000001</v>
      </c>
    </row>
    <row r="2760" spans="5:12" ht="24" customHeight="1">
      <c r="F2760" s="482"/>
      <c r="G2760" s="483"/>
      <c r="H2760" s="490" t="s">
        <v>528</v>
      </c>
      <c r="I2760" s="490" t="s">
        <v>528</v>
      </c>
      <c r="J2760" s="485"/>
      <c r="K2760" s="482"/>
    </row>
    <row r="2761" spans="5:12" ht="24" customHeight="1">
      <c r="E2761" s="76">
        <f>E2759/4</f>
        <v>7.0649999999999991E-2</v>
      </c>
      <c r="F2761" s="482"/>
      <c r="G2761" s="489" t="s">
        <v>307</v>
      </c>
      <c r="H2761" s="338" t="s">
        <v>2332</v>
      </c>
      <c r="I2761" s="482"/>
      <c r="J2761" s="485"/>
      <c r="K2761" s="482"/>
      <c r="L2761" s="76">
        <f>SUM(L2758:L2759)</f>
        <v>1807.5750000000003</v>
      </c>
    </row>
    <row r="2762" spans="5:12" ht="24" customHeight="1">
      <c r="E2762" s="252">
        <f>E2761*E2758</f>
        <v>0.37444499999999992</v>
      </c>
      <c r="F2762" s="482"/>
      <c r="G2762" s="483"/>
      <c r="H2762" s="338" t="s">
        <v>2333</v>
      </c>
      <c r="I2762" s="482"/>
      <c r="J2762" s="485"/>
      <c r="K2762" s="482"/>
    </row>
    <row r="2763" spans="5:12" ht="24" customHeight="1">
      <c r="F2763" s="482"/>
      <c r="G2763" s="489" t="s">
        <v>1563</v>
      </c>
      <c r="H2763" s="338" t="s">
        <v>2334</v>
      </c>
      <c r="I2763" s="482"/>
      <c r="J2763" s="485"/>
      <c r="K2763" s="482"/>
    </row>
    <row r="2764" spans="5:12" ht="24" customHeight="1">
      <c r="F2764" s="482"/>
      <c r="G2764" s="483"/>
      <c r="H2764" s="490" t="s">
        <v>534</v>
      </c>
      <c r="I2764" s="482"/>
      <c r="J2764" s="485"/>
      <c r="K2764" s="482"/>
    </row>
    <row r="2765" spans="5:12" ht="24" customHeight="1">
      <c r="F2765" s="336">
        <v>1</v>
      </c>
      <c r="G2765" s="489" t="s">
        <v>41</v>
      </c>
      <c r="H2765" s="338" t="s">
        <v>2335</v>
      </c>
      <c r="I2765" s="336">
        <f>I1870</f>
        <v>26</v>
      </c>
      <c r="J2765" s="339" t="s">
        <v>41</v>
      </c>
      <c r="K2765" s="336">
        <f>(F2765*I2765)</f>
        <v>26</v>
      </c>
    </row>
    <row r="2766" spans="5:12" ht="24" customHeight="1">
      <c r="F2766" s="336">
        <v>1</v>
      </c>
      <c r="G2766" s="489" t="s">
        <v>589</v>
      </c>
      <c r="H2766" s="338" t="s">
        <v>2336</v>
      </c>
      <c r="I2766" s="336">
        <f>I2765*0.7</f>
        <v>18.2</v>
      </c>
      <c r="J2766" s="339" t="s">
        <v>589</v>
      </c>
      <c r="K2766" s="336">
        <f>(F2766*I2766)</f>
        <v>18.2</v>
      </c>
    </row>
    <row r="2767" spans="5:12" ht="24" customHeight="1">
      <c r="F2767" s="336">
        <v>1</v>
      </c>
      <c r="G2767" s="489" t="s">
        <v>41</v>
      </c>
      <c r="H2767" s="338" t="s">
        <v>2337</v>
      </c>
      <c r="I2767" s="336">
        <f>K2749</f>
        <v>134.35499999999999</v>
      </c>
      <c r="J2767" s="339" t="s">
        <v>41</v>
      </c>
      <c r="K2767" s="336">
        <f>(F2767*I2767)</f>
        <v>134.35499999999999</v>
      </c>
    </row>
    <row r="2768" spans="5:12" ht="24" customHeight="1">
      <c r="F2768" s="482"/>
      <c r="G2768" s="483"/>
      <c r="H2768" s="482"/>
      <c r="I2768" s="338" t="s">
        <v>22</v>
      </c>
      <c r="J2768" s="485"/>
      <c r="K2768" s="490"/>
    </row>
    <row r="2769" spans="6:25" ht="24" customHeight="1">
      <c r="F2769" s="482"/>
      <c r="G2769" s="483"/>
      <c r="H2769" s="496" t="s">
        <v>2338</v>
      </c>
      <c r="I2769" s="488"/>
      <c r="J2769" s="492"/>
      <c r="K2769" s="497">
        <f>SUM(K2765:K2767)</f>
        <v>178.55500000000001</v>
      </c>
      <c r="S2769" s="501"/>
      <c r="T2769" s="483"/>
      <c r="U2769" s="482"/>
      <c r="V2769" s="482"/>
      <c r="W2769" s="485"/>
      <c r="X2769" s="482"/>
    </row>
    <row r="2770" spans="6:25" ht="24" customHeight="1">
      <c r="F2770" s="482"/>
      <c r="G2770" s="483"/>
      <c r="H2770" s="338" t="s">
        <v>22</v>
      </c>
      <c r="I2770" s="338" t="s">
        <v>22</v>
      </c>
      <c r="J2770" s="485"/>
      <c r="K2770" s="490" t="s">
        <v>528</v>
      </c>
      <c r="S2770" s="502" t="s">
        <v>1772</v>
      </c>
      <c r="T2770" s="489" t="s">
        <v>307</v>
      </c>
      <c r="U2770" s="338" t="s">
        <v>2804</v>
      </c>
      <c r="V2770" s="482"/>
      <c r="W2770" s="485"/>
      <c r="X2770" s="482"/>
    </row>
    <row r="2771" spans="6:25" ht="24" customHeight="1">
      <c r="F2771" s="482"/>
      <c r="G2771" s="482"/>
      <c r="H2771" s="482"/>
      <c r="I2771" s="482"/>
      <c r="J2771" s="482"/>
      <c r="K2771" s="482"/>
      <c r="S2771" s="501"/>
      <c r="T2771" s="483"/>
      <c r="U2771" s="338" t="s">
        <v>1774</v>
      </c>
      <c r="V2771" s="482"/>
      <c r="W2771" s="485"/>
      <c r="X2771" s="482"/>
    </row>
    <row r="2772" spans="6:25" ht="24" customHeight="1">
      <c r="F2772" s="503"/>
      <c r="G2772" s="504"/>
      <c r="H2772" s="504"/>
      <c r="I2772" s="504"/>
      <c r="J2772" s="504"/>
      <c r="K2772" s="504"/>
      <c r="S2772" s="501"/>
      <c r="T2772" s="483"/>
      <c r="U2772" s="338" t="s">
        <v>1775</v>
      </c>
      <c r="V2772" s="482"/>
      <c r="W2772" s="485"/>
      <c r="X2772" s="482"/>
    </row>
    <row r="2773" spans="6:25" ht="24" customHeight="1">
      <c r="F2773" s="505"/>
      <c r="G2773" s="506" t="s">
        <v>2805</v>
      </c>
      <c r="H2773" s="507"/>
      <c r="I2773" s="507"/>
      <c r="J2773" s="508"/>
      <c r="K2773" s="507"/>
      <c r="S2773" s="501"/>
      <c r="T2773" s="483"/>
      <c r="U2773" s="490" t="s">
        <v>534</v>
      </c>
      <c r="V2773" s="482"/>
      <c r="W2773" s="485"/>
      <c r="X2773" s="482"/>
    </row>
    <row r="2774" spans="6:25" ht="24" customHeight="1">
      <c r="F2774" s="509"/>
      <c r="G2774" s="510"/>
      <c r="H2774" s="507"/>
      <c r="I2774" s="507"/>
      <c r="J2774" s="508"/>
      <c r="K2774" s="507"/>
      <c r="S2774" s="501"/>
      <c r="T2774" s="483"/>
      <c r="U2774" s="338" t="s">
        <v>2806</v>
      </c>
      <c r="V2774" s="482"/>
      <c r="W2774" s="485"/>
      <c r="X2774" s="482"/>
    </row>
    <row r="2775" spans="6:25" ht="24" customHeight="1">
      <c r="F2775" s="509">
        <v>5</v>
      </c>
      <c r="G2775" s="510" t="s">
        <v>2807</v>
      </c>
      <c r="H2775" s="511" t="s">
        <v>2808</v>
      </c>
      <c r="I2775" s="512">
        <v>160</v>
      </c>
      <c r="J2775" s="508" t="s">
        <v>2809</v>
      </c>
      <c r="K2775" s="507">
        <f>I2775*F2775</f>
        <v>800</v>
      </c>
      <c r="S2775" s="501"/>
      <c r="T2775" s="483"/>
      <c r="U2775" s="338" t="s">
        <v>2810</v>
      </c>
      <c r="V2775" s="482"/>
      <c r="W2775" s="485"/>
      <c r="X2775" s="482"/>
    </row>
    <row r="2776" spans="6:25" ht="24" customHeight="1">
      <c r="F2776" s="509">
        <v>1</v>
      </c>
      <c r="G2776" s="510" t="s">
        <v>42</v>
      </c>
      <c r="H2776" s="507" t="s">
        <v>2811</v>
      </c>
      <c r="I2776" s="507">
        <v>75</v>
      </c>
      <c r="J2776" s="508" t="s">
        <v>332</v>
      </c>
      <c r="K2776" s="507">
        <f>I2776*F2776</f>
        <v>75</v>
      </c>
      <c r="S2776" s="501"/>
      <c r="T2776" s="483"/>
      <c r="U2776" s="482"/>
      <c r="V2776" s="482"/>
      <c r="W2776" s="339" t="s">
        <v>534</v>
      </c>
      <c r="X2776" s="482"/>
    </row>
    <row r="2777" spans="6:25" ht="24" customHeight="1">
      <c r="F2777" s="509">
        <v>2.5</v>
      </c>
      <c r="G2777" s="510" t="s">
        <v>42</v>
      </c>
      <c r="H2777" s="507" t="s">
        <v>2812</v>
      </c>
      <c r="I2777" s="507">
        <f>C14</f>
        <v>574.20000000000005</v>
      </c>
      <c r="J2777" s="508" t="s">
        <v>42</v>
      </c>
      <c r="K2777" s="507">
        <f>I2777*F2777</f>
        <v>1435.5</v>
      </c>
      <c r="S2777" s="501"/>
      <c r="T2777" s="483"/>
      <c r="U2777" s="338" t="s">
        <v>2813</v>
      </c>
      <c r="V2777" s="482"/>
      <c r="W2777" s="485"/>
      <c r="X2777" s="482"/>
    </row>
    <row r="2778" spans="6:25" ht="24" customHeight="1">
      <c r="F2778" s="509"/>
      <c r="G2778" s="510"/>
      <c r="H2778" s="507" t="s">
        <v>1699</v>
      </c>
      <c r="I2778" s="513" t="s">
        <v>589</v>
      </c>
      <c r="J2778" s="508"/>
      <c r="K2778" s="507">
        <v>0.25</v>
      </c>
      <c r="S2778" s="501"/>
      <c r="T2778" s="483"/>
      <c r="U2778" s="338" t="s">
        <v>2814</v>
      </c>
      <c r="V2778" s="482"/>
      <c r="W2778" s="485"/>
      <c r="X2778" s="514">
        <v>2.7099999999999999E-2</v>
      </c>
    </row>
    <row r="2779" spans="6:25" ht="24" customHeight="1">
      <c r="F2779" s="509"/>
      <c r="G2779" s="510"/>
      <c r="H2779" s="507"/>
      <c r="I2779" s="507"/>
      <c r="J2779" s="508"/>
      <c r="K2779" s="515" t="s">
        <v>528</v>
      </c>
      <c r="S2779" s="501"/>
      <c r="T2779" s="483"/>
      <c r="U2779" s="482"/>
      <c r="V2779" s="482"/>
      <c r="W2779" s="339" t="s">
        <v>22</v>
      </c>
      <c r="X2779" s="490" t="s">
        <v>534</v>
      </c>
      <c r="Y2779" s="516">
        <f>SUM(X2780:X2781)</f>
        <v>1.6420000000000001E-2</v>
      </c>
    </row>
    <row r="2780" spans="6:25" ht="24" customHeight="1">
      <c r="F2780" s="509"/>
      <c r="G2780" s="510"/>
      <c r="H2780" s="507"/>
      <c r="I2780" s="507" t="s">
        <v>2815</v>
      </c>
      <c r="J2780" s="508" t="s">
        <v>528</v>
      </c>
      <c r="K2780" s="517">
        <f>SUM(K2775:K2779)</f>
        <v>2310.75</v>
      </c>
      <c r="L2780" s="516">
        <f>K2813+K2812</f>
        <v>1.6420000000000001E-2</v>
      </c>
      <c r="S2780" s="501"/>
      <c r="T2780" s="483"/>
      <c r="U2780" s="338" t="s">
        <v>2816</v>
      </c>
      <c r="V2780" s="482"/>
      <c r="W2780" s="518" t="s">
        <v>22</v>
      </c>
      <c r="X2780" s="514">
        <v>1.2840000000000001E-2</v>
      </c>
    </row>
    <row r="2781" spans="6:25" ht="24" customHeight="1">
      <c r="F2781" s="519"/>
      <c r="G2781" s="520"/>
      <c r="H2781" s="521"/>
      <c r="I2781" s="521"/>
      <c r="J2781" s="522"/>
      <c r="K2781" s="523" t="s">
        <v>528</v>
      </c>
      <c r="S2781" s="501"/>
      <c r="T2781" s="483"/>
      <c r="U2781" s="338" t="s">
        <v>2817</v>
      </c>
      <c r="V2781" s="482"/>
      <c r="W2781" s="339" t="s">
        <v>22</v>
      </c>
      <c r="X2781" s="514">
        <v>3.5799999999999998E-3</v>
      </c>
    </row>
    <row r="2782" spans="6:25" ht="24" customHeight="1">
      <c r="F2782" s="482"/>
      <c r="G2782" s="483"/>
      <c r="H2782" s="482"/>
      <c r="I2782" s="482"/>
      <c r="J2782" s="485"/>
      <c r="K2782" s="482"/>
      <c r="S2782" s="501"/>
      <c r="T2782" s="483"/>
      <c r="U2782" s="482"/>
      <c r="V2782" s="482"/>
      <c r="W2782" s="485"/>
      <c r="X2782" s="490" t="s">
        <v>534</v>
      </c>
    </row>
    <row r="2783" spans="6:25" ht="24" customHeight="1">
      <c r="F2783" s="482" t="s">
        <v>2818</v>
      </c>
      <c r="G2783" s="483"/>
      <c r="H2783" s="482"/>
      <c r="I2783" s="482"/>
      <c r="J2783" s="485"/>
      <c r="K2783" s="482"/>
      <c r="S2783" s="524">
        <f>F2815</f>
        <v>1.898E-2</v>
      </c>
      <c r="T2783" s="489" t="s">
        <v>577</v>
      </c>
      <c r="U2783" s="338" t="s">
        <v>2819</v>
      </c>
      <c r="V2783" s="336">
        <f>C86</f>
        <v>34300</v>
      </c>
      <c r="W2783" s="339" t="s">
        <v>577</v>
      </c>
      <c r="X2783" s="336">
        <f>(S2783*V2783)</f>
        <v>651.01400000000001</v>
      </c>
    </row>
    <row r="2784" spans="6:25" ht="24" customHeight="1">
      <c r="F2784" s="482"/>
      <c r="G2784" s="483"/>
      <c r="H2784" s="482"/>
      <c r="I2784" s="482"/>
      <c r="J2784" s="485"/>
      <c r="K2784" s="482"/>
      <c r="S2784" s="524">
        <f t="shared" ref="S2784:S2794" si="249">F2816</f>
        <v>2.7099999999999999E-2</v>
      </c>
      <c r="T2784" s="489" t="s">
        <v>577</v>
      </c>
      <c r="U2784" s="338" t="s">
        <v>2819</v>
      </c>
      <c r="V2784" s="336">
        <f>V2783</f>
        <v>34300</v>
      </c>
      <c r="W2784" s="339" t="s">
        <v>577</v>
      </c>
      <c r="X2784" s="336">
        <f t="shared" ref="X2784:X2794" si="250">(S2784*V2784)</f>
        <v>929.53</v>
      </c>
    </row>
    <row r="2785" spans="6:33" ht="24" customHeight="1">
      <c r="F2785" s="482" t="s">
        <v>2820</v>
      </c>
      <c r="G2785" s="483"/>
      <c r="H2785" s="482"/>
      <c r="I2785" s="482"/>
      <c r="J2785" s="485"/>
      <c r="K2785" s="482"/>
      <c r="S2785" s="524">
        <f t="shared" si="249"/>
        <v>1.6420000000000001E-2</v>
      </c>
      <c r="T2785" s="489" t="s">
        <v>577</v>
      </c>
      <c r="U2785" s="338" t="s">
        <v>2821</v>
      </c>
      <c r="V2785" s="336">
        <f>C87</f>
        <v>39400</v>
      </c>
      <c r="W2785" s="339" t="s">
        <v>577</v>
      </c>
      <c r="X2785" s="336">
        <f t="shared" si="250"/>
        <v>646.94799999999998</v>
      </c>
      <c r="AC2785" s="199" t="s">
        <v>2822</v>
      </c>
    </row>
    <row r="2786" spans="6:33" ht="24" customHeight="1">
      <c r="F2786" s="482"/>
      <c r="G2786" s="483"/>
      <c r="H2786" s="482"/>
      <c r="I2786" s="482"/>
      <c r="J2786" s="485"/>
      <c r="K2786" s="482"/>
      <c r="S2786" s="524"/>
      <c r="T2786" s="483"/>
      <c r="U2786" s="338"/>
      <c r="V2786" s="336">
        <f>V958</f>
        <v>0</v>
      </c>
      <c r="W2786" s="485"/>
      <c r="X2786" s="336">
        <f t="shared" si="250"/>
        <v>0</v>
      </c>
      <c r="AC2786" s="199" t="s">
        <v>2823</v>
      </c>
    </row>
    <row r="2787" spans="6:33" ht="24" customHeight="1">
      <c r="F2787" s="482"/>
      <c r="G2787" s="525">
        <v>0.745</v>
      </c>
      <c r="H2787" s="482" t="s">
        <v>238</v>
      </c>
      <c r="I2787" s="482"/>
      <c r="J2787" s="485"/>
      <c r="K2787" s="482"/>
      <c r="S2787" s="524">
        <f t="shared" si="249"/>
        <v>1.8225</v>
      </c>
      <c r="T2787" s="489" t="s">
        <v>916</v>
      </c>
      <c r="U2787" s="338" t="s">
        <v>1787</v>
      </c>
      <c r="V2787" s="336">
        <f>I2819</f>
        <v>1105.5</v>
      </c>
      <c r="W2787" s="339" t="s">
        <v>916</v>
      </c>
      <c r="X2787" s="336">
        <f t="shared" si="250"/>
        <v>2014.7737500000001</v>
      </c>
    </row>
    <row r="2788" spans="6:33" ht="24" customHeight="1">
      <c r="F2788" s="482"/>
      <c r="G2788" s="483"/>
      <c r="H2788" s="482"/>
      <c r="I2788" s="482"/>
      <c r="J2788" s="485"/>
      <c r="K2788" s="482"/>
      <c r="S2788" s="524">
        <f t="shared" si="249"/>
        <v>2</v>
      </c>
      <c r="T2788" s="489" t="s">
        <v>680</v>
      </c>
      <c r="U2788" s="338" t="s">
        <v>1788</v>
      </c>
      <c r="V2788" s="336">
        <f t="shared" ref="V2788:V2793" si="251">I2820</f>
        <v>120</v>
      </c>
      <c r="W2788" s="339" t="s">
        <v>576</v>
      </c>
      <c r="X2788" s="336">
        <f t="shared" si="250"/>
        <v>240</v>
      </c>
      <c r="AB2788" s="526">
        <v>2.6159999999999999E-2</v>
      </c>
      <c r="AC2788" s="227" t="s">
        <v>577</v>
      </c>
      <c r="AD2788" s="199" t="s">
        <v>1877</v>
      </c>
      <c r="AE2788" s="199">
        <f>I2815</f>
        <v>111600</v>
      </c>
      <c r="AF2788" s="207" t="s">
        <v>577</v>
      </c>
      <c r="AG2788" s="199">
        <f>AE2788*AB2788</f>
        <v>2919.4560000000001</v>
      </c>
    </row>
    <row r="2789" spans="6:33" ht="24" customHeight="1">
      <c r="F2789" s="488" t="s">
        <v>2824</v>
      </c>
      <c r="G2789" s="483"/>
      <c r="H2789" s="482"/>
      <c r="I2789" s="482"/>
      <c r="J2789" s="485"/>
      <c r="K2789" s="482"/>
      <c r="S2789" s="524">
        <f t="shared" si="249"/>
        <v>3</v>
      </c>
      <c r="T2789" s="489" t="s">
        <v>576</v>
      </c>
      <c r="U2789" s="338" t="s">
        <v>1789</v>
      </c>
      <c r="V2789" s="336">
        <f t="shared" si="251"/>
        <v>110.17</v>
      </c>
      <c r="W2789" s="339" t="s">
        <v>576</v>
      </c>
      <c r="X2789" s="336">
        <f t="shared" si="250"/>
        <v>330.51</v>
      </c>
      <c r="AB2789" s="526">
        <v>4.7809999999999998E-2</v>
      </c>
      <c r="AC2789" s="227" t="s">
        <v>577</v>
      </c>
      <c r="AD2789" s="199" t="s">
        <v>1878</v>
      </c>
      <c r="AE2789" s="199">
        <f>I2816</f>
        <v>99400</v>
      </c>
      <c r="AF2789" s="207" t="s">
        <v>577</v>
      </c>
      <c r="AG2789" s="199">
        <f t="shared" ref="AG2789:AG2798" si="252">AE2789*AB2789</f>
        <v>4752.3139999999994</v>
      </c>
    </row>
    <row r="2790" spans="6:33" ht="24" customHeight="1">
      <c r="F2790" s="482"/>
      <c r="G2790" s="483"/>
      <c r="H2790" s="482"/>
      <c r="I2790" s="482"/>
      <c r="J2790" s="485"/>
      <c r="K2790" s="482"/>
      <c r="S2790" s="524">
        <f t="shared" si="249"/>
        <v>2</v>
      </c>
      <c r="T2790" s="489" t="s">
        <v>576</v>
      </c>
      <c r="U2790" s="338" t="s">
        <v>1791</v>
      </c>
      <c r="V2790" s="336">
        <f t="shared" si="251"/>
        <v>160</v>
      </c>
      <c r="W2790" s="339" t="s">
        <v>576</v>
      </c>
      <c r="X2790" s="336">
        <f t="shared" si="250"/>
        <v>320</v>
      </c>
      <c r="AB2790" s="527">
        <v>4.5879999999999997E-2</v>
      </c>
      <c r="AC2790" s="227" t="s">
        <v>577</v>
      </c>
      <c r="AD2790" s="199" t="s">
        <v>2825</v>
      </c>
      <c r="AE2790" s="199">
        <v>116700</v>
      </c>
      <c r="AF2790" s="207" t="s">
        <v>577</v>
      </c>
      <c r="AG2790" s="199">
        <f t="shared" si="252"/>
        <v>5354.1959999999999</v>
      </c>
    </row>
    <row r="2791" spans="6:33" ht="24" customHeight="1">
      <c r="F2791" s="501">
        <v>0.37</v>
      </c>
      <c r="G2791" s="483" t="s">
        <v>238</v>
      </c>
      <c r="H2791" s="482" t="s">
        <v>2826</v>
      </c>
      <c r="I2791" s="482">
        <f>I2994</f>
        <v>7166.2130000000006</v>
      </c>
      <c r="J2791" s="486" t="s">
        <v>238</v>
      </c>
      <c r="K2791" s="482">
        <f>F2791*I2791</f>
        <v>2651.49881</v>
      </c>
      <c r="S2791" s="524">
        <f t="shared" si="249"/>
        <v>1</v>
      </c>
      <c r="T2791" s="489" t="s">
        <v>576</v>
      </c>
      <c r="U2791" s="338" t="s">
        <v>1793</v>
      </c>
      <c r="V2791" s="336">
        <f t="shared" si="251"/>
        <v>550</v>
      </c>
      <c r="W2791" s="339" t="s">
        <v>576</v>
      </c>
      <c r="X2791" s="336">
        <f t="shared" si="250"/>
        <v>550</v>
      </c>
      <c r="AB2791" s="527">
        <v>3.95</v>
      </c>
      <c r="AC2791" s="227" t="s">
        <v>916</v>
      </c>
      <c r="AD2791" s="199" t="s">
        <v>1880</v>
      </c>
      <c r="AE2791" s="199">
        <f>I2819</f>
        <v>1105.5</v>
      </c>
      <c r="AF2791" s="207" t="s">
        <v>916</v>
      </c>
      <c r="AG2791" s="199">
        <f t="shared" si="252"/>
        <v>4366.7250000000004</v>
      </c>
    </row>
    <row r="2792" spans="6:33" ht="24" customHeight="1">
      <c r="F2792" s="482">
        <v>0.25</v>
      </c>
      <c r="G2792" s="483" t="s">
        <v>42</v>
      </c>
      <c r="H2792" s="482" t="s">
        <v>1437</v>
      </c>
      <c r="I2792" s="482">
        <f>C11</f>
        <v>669.90000000000009</v>
      </c>
      <c r="J2792" s="486" t="s">
        <v>332</v>
      </c>
      <c r="K2792" s="482">
        <f>F2792*I2792</f>
        <v>167.47500000000002</v>
      </c>
      <c r="S2792" s="524">
        <f t="shared" si="249"/>
        <v>1</v>
      </c>
      <c r="T2792" s="489" t="s">
        <v>576</v>
      </c>
      <c r="U2792" s="338" t="s">
        <v>1795</v>
      </c>
      <c r="V2792" s="336">
        <f t="shared" si="251"/>
        <v>7.3</v>
      </c>
      <c r="W2792" s="339" t="s">
        <v>576</v>
      </c>
      <c r="X2792" s="336">
        <f t="shared" si="250"/>
        <v>7.3</v>
      </c>
      <c r="AB2792" s="199">
        <v>2</v>
      </c>
      <c r="AC2792" s="227" t="s">
        <v>1882</v>
      </c>
      <c r="AD2792" s="199" t="s">
        <v>1883</v>
      </c>
      <c r="AE2792" s="199">
        <f t="shared" ref="AE2792:AE2797" si="253">I2820</f>
        <v>120</v>
      </c>
      <c r="AF2792" s="207" t="s">
        <v>332</v>
      </c>
      <c r="AG2792" s="199">
        <f t="shared" si="252"/>
        <v>240</v>
      </c>
    </row>
    <row r="2793" spans="6:33" ht="24" customHeight="1">
      <c r="F2793" s="482">
        <v>3.5</v>
      </c>
      <c r="G2793" s="483" t="s">
        <v>3</v>
      </c>
      <c r="H2793" s="482" t="s">
        <v>1912</v>
      </c>
      <c r="I2793" s="482">
        <f>C12</f>
        <v>468.6</v>
      </c>
      <c r="J2793" s="486" t="s">
        <v>332</v>
      </c>
      <c r="K2793" s="482">
        <f>F2793*I2793</f>
        <v>1640.1000000000001</v>
      </c>
      <c r="S2793" s="524">
        <f t="shared" si="249"/>
        <v>1</v>
      </c>
      <c r="T2793" s="489" t="s">
        <v>576</v>
      </c>
      <c r="U2793" s="338" t="s">
        <v>941</v>
      </c>
      <c r="V2793" s="336">
        <f t="shared" si="251"/>
        <v>43.8</v>
      </c>
      <c r="W2793" s="339" t="s">
        <v>576</v>
      </c>
      <c r="X2793" s="336">
        <f t="shared" si="250"/>
        <v>43.8</v>
      </c>
      <c r="AB2793" s="199">
        <v>6</v>
      </c>
      <c r="AC2793" s="227" t="s">
        <v>1882</v>
      </c>
      <c r="AD2793" s="199" t="s">
        <v>1884</v>
      </c>
      <c r="AE2793" s="199">
        <f t="shared" si="253"/>
        <v>110.17</v>
      </c>
      <c r="AF2793" s="207" t="s">
        <v>332</v>
      </c>
      <c r="AG2793" s="199">
        <f t="shared" si="252"/>
        <v>661.02</v>
      </c>
    </row>
    <row r="2794" spans="6:33" ht="24" customHeight="1">
      <c r="F2794" s="482">
        <v>12</v>
      </c>
      <c r="G2794" s="483" t="s">
        <v>31</v>
      </c>
      <c r="H2794" s="482" t="s">
        <v>2827</v>
      </c>
      <c r="I2794" s="482"/>
      <c r="J2794" s="486" t="s">
        <v>31</v>
      </c>
      <c r="K2794" s="482">
        <f>I2794*F2794</f>
        <v>0</v>
      </c>
      <c r="S2794" s="501">
        <f t="shared" si="249"/>
        <v>64</v>
      </c>
      <c r="T2794" s="483"/>
      <c r="U2794" s="482" t="s">
        <v>2828</v>
      </c>
      <c r="V2794" s="482">
        <f>P2833</f>
        <v>2.35</v>
      </c>
      <c r="W2794" s="485"/>
      <c r="X2794" s="336">
        <f t="shared" si="250"/>
        <v>150.4</v>
      </c>
      <c r="AB2794" s="199">
        <v>4</v>
      </c>
      <c r="AC2794" s="227" t="s">
        <v>1882</v>
      </c>
      <c r="AD2794" s="199" t="s">
        <v>1885</v>
      </c>
      <c r="AE2794" s="199">
        <f t="shared" si="253"/>
        <v>160</v>
      </c>
      <c r="AF2794" s="207" t="s">
        <v>332</v>
      </c>
      <c r="AG2794" s="199">
        <f t="shared" si="252"/>
        <v>640</v>
      </c>
    </row>
    <row r="2795" spans="6:33" ht="24" customHeight="1">
      <c r="F2795" s="482"/>
      <c r="G2795" s="482" t="s">
        <v>2829</v>
      </c>
      <c r="H2795" s="482" t="s">
        <v>2830</v>
      </c>
      <c r="I2795" s="482"/>
      <c r="J2795" s="486" t="s">
        <v>2658</v>
      </c>
      <c r="K2795" s="482">
        <f>L2761*10%</f>
        <v>180.75750000000005</v>
      </c>
      <c r="S2795" s="501"/>
      <c r="T2795" s="483"/>
      <c r="U2795" s="338" t="s">
        <v>2831</v>
      </c>
      <c r="V2795" s="482"/>
      <c r="W2795" s="485"/>
      <c r="X2795" s="336">
        <f>SUM(X2783:X2794)</f>
        <v>5884.2757499999998</v>
      </c>
      <c r="AB2795" s="199">
        <v>1</v>
      </c>
      <c r="AC2795" s="227" t="s">
        <v>1882</v>
      </c>
      <c r="AD2795" s="199" t="s">
        <v>1887</v>
      </c>
      <c r="AE2795" s="199">
        <f t="shared" si="253"/>
        <v>550</v>
      </c>
      <c r="AF2795" s="207" t="s">
        <v>332</v>
      </c>
      <c r="AG2795" s="199">
        <f t="shared" si="252"/>
        <v>550</v>
      </c>
    </row>
    <row r="2796" spans="6:33" ht="24" customHeight="1">
      <c r="F2796" s="482"/>
      <c r="G2796" s="483"/>
      <c r="H2796" s="482"/>
      <c r="I2796" s="482"/>
      <c r="J2796" s="485"/>
      <c r="K2796" s="482" t="s">
        <v>2832</v>
      </c>
      <c r="S2796" s="501"/>
      <c r="T2796" s="483"/>
      <c r="U2796" s="482"/>
      <c r="V2796" s="482"/>
      <c r="W2796" s="485"/>
      <c r="X2796" s="490" t="s">
        <v>534</v>
      </c>
      <c r="AB2796" s="199">
        <v>2</v>
      </c>
      <c r="AC2796" s="227" t="s">
        <v>1882</v>
      </c>
      <c r="AD2796" s="199" t="s">
        <v>939</v>
      </c>
      <c r="AE2796" s="199">
        <f t="shared" si="253"/>
        <v>7.3</v>
      </c>
      <c r="AF2796" s="207" t="s">
        <v>332</v>
      </c>
      <c r="AG2796" s="199">
        <f t="shared" si="252"/>
        <v>14.6</v>
      </c>
    </row>
    <row r="2797" spans="6:33" ht="24" customHeight="1">
      <c r="F2797" s="482"/>
      <c r="G2797" s="483"/>
      <c r="H2797" s="482"/>
      <c r="I2797" s="482"/>
      <c r="J2797" s="485"/>
      <c r="K2797" s="482"/>
      <c r="S2797" s="501"/>
      <c r="T2797" s="483"/>
      <c r="U2797" s="338" t="s">
        <v>881</v>
      </c>
      <c r="V2797" s="482"/>
      <c r="W2797" s="485"/>
      <c r="X2797" s="336">
        <f>X2795/1.8225</f>
        <v>3228.6835390946499</v>
      </c>
      <c r="AB2797" s="199">
        <v>2</v>
      </c>
      <c r="AC2797" s="227" t="s">
        <v>1882</v>
      </c>
      <c r="AD2797" s="199" t="s">
        <v>941</v>
      </c>
      <c r="AE2797" s="199">
        <f t="shared" si="253"/>
        <v>43.8</v>
      </c>
      <c r="AF2797" s="207" t="s">
        <v>332</v>
      </c>
      <c r="AG2797" s="199">
        <f t="shared" si="252"/>
        <v>87.6</v>
      </c>
    </row>
    <row r="2798" spans="6:33" ht="24" customHeight="1">
      <c r="F2798" s="482"/>
      <c r="G2798" s="483"/>
      <c r="H2798" s="482"/>
      <c r="I2798" s="482" t="s">
        <v>2833</v>
      </c>
      <c r="J2798" s="485"/>
      <c r="K2798" s="482">
        <f>SUM(K2791:K2795)</f>
        <v>4639.8313099999996</v>
      </c>
      <c r="S2798" s="501"/>
      <c r="T2798" s="483"/>
      <c r="U2798" s="482"/>
      <c r="V2798" s="482"/>
      <c r="W2798" s="485"/>
      <c r="X2798" s="482"/>
      <c r="AB2798" s="199">
        <v>10</v>
      </c>
      <c r="AC2798" s="227"/>
      <c r="AD2798" s="199" t="s">
        <v>1816</v>
      </c>
      <c r="AE2798" s="199">
        <f>V2794</f>
        <v>2.35</v>
      </c>
      <c r="AF2798" s="207"/>
      <c r="AG2798" s="199">
        <f t="shared" si="252"/>
        <v>23.5</v>
      </c>
    </row>
    <row r="2799" spans="6:33" ht="24" customHeight="1">
      <c r="F2799" s="482"/>
      <c r="G2799" s="483"/>
      <c r="H2799" s="482"/>
      <c r="I2799" s="482"/>
      <c r="J2799" s="485"/>
      <c r="K2799" s="482"/>
      <c r="AB2799" s="199"/>
      <c r="AC2799" s="227"/>
      <c r="AD2799" s="199" t="s">
        <v>881</v>
      </c>
      <c r="AE2799" s="199"/>
      <c r="AF2799" s="207"/>
      <c r="AG2799" s="199">
        <f>SUM(AG2788:AG2798)</f>
        <v>19609.410999999996</v>
      </c>
    </row>
    <row r="2800" spans="6:33" ht="24" customHeight="1">
      <c r="F2800" s="482"/>
      <c r="G2800" s="483"/>
      <c r="H2800" s="482"/>
      <c r="I2800" s="482" t="s">
        <v>2834</v>
      </c>
      <c r="J2800" s="485"/>
      <c r="K2800" s="482">
        <f>K2798/3.5</f>
        <v>1325.6660885714284</v>
      </c>
      <c r="AB2800" s="199"/>
      <c r="AC2800" s="227"/>
      <c r="AD2800" s="199"/>
      <c r="AE2800" s="199"/>
      <c r="AF2800" s="207"/>
      <c r="AG2800" s="528" t="s">
        <v>1892</v>
      </c>
    </row>
    <row r="2801" spans="6:33" ht="24" customHeight="1">
      <c r="F2801" s="482"/>
      <c r="G2801" s="483"/>
      <c r="H2801" s="482"/>
      <c r="I2801" s="482"/>
      <c r="J2801" s="485"/>
      <c r="K2801" s="482"/>
      <c r="AB2801" s="199"/>
      <c r="AC2801" s="227"/>
      <c r="AD2801" s="199" t="s">
        <v>881</v>
      </c>
      <c r="AE2801" s="199"/>
      <c r="AF2801" s="207"/>
      <c r="AG2801" s="199">
        <f>AG2799/AB2791</f>
        <v>4964.4078481012648</v>
      </c>
    </row>
    <row r="2802" spans="6:33" ht="54.75" customHeight="1">
      <c r="F2802" s="339" t="s">
        <v>1772</v>
      </c>
      <c r="G2802" s="489" t="s">
        <v>307</v>
      </c>
      <c r="H2802" s="338" t="s">
        <v>1779</v>
      </c>
      <c r="I2802" s="482"/>
      <c r="J2802" s="485"/>
      <c r="K2802" s="482"/>
      <c r="AB2802" s="199"/>
      <c r="AC2802" s="227"/>
      <c r="AD2802" s="199"/>
      <c r="AE2802" s="199"/>
      <c r="AF2802" s="207"/>
      <c r="AG2802" s="528" t="s">
        <v>1892</v>
      </c>
    </row>
    <row r="2803" spans="6:33" ht="24" customHeight="1">
      <c r="F2803" s="482"/>
      <c r="G2803" s="483"/>
      <c r="H2803" s="338" t="s">
        <v>1774</v>
      </c>
      <c r="I2803" s="482"/>
      <c r="J2803" s="485"/>
      <c r="K2803" s="482"/>
    </row>
    <row r="2804" spans="6:33" ht="24" customHeight="1">
      <c r="F2804" s="482"/>
      <c r="G2804" s="483"/>
      <c r="H2804" s="338" t="s">
        <v>1775</v>
      </c>
      <c r="I2804" s="488" t="s">
        <v>2835</v>
      </c>
      <c r="J2804" s="485"/>
      <c r="K2804" s="482"/>
    </row>
    <row r="2805" spans="6:33" ht="24" customHeight="1">
      <c r="F2805" s="482"/>
      <c r="G2805" s="483"/>
      <c r="H2805" s="490" t="s">
        <v>534</v>
      </c>
      <c r="I2805" s="482"/>
      <c r="J2805" s="485"/>
      <c r="K2805" s="482"/>
    </row>
    <row r="2806" spans="6:33" ht="24" customHeight="1">
      <c r="F2806" s="482"/>
      <c r="G2806" s="483"/>
      <c r="H2806" s="338" t="s">
        <v>2806</v>
      </c>
      <c r="I2806" s="482"/>
      <c r="J2806" s="485"/>
      <c r="K2806" s="482"/>
    </row>
    <row r="2807" spans="6:33" ht="24" customHeight="1">
      <c r="F2807" s="482"/>
      <c r="G2807" s="483"/>
      <c r="H2807" s="338" t="s">
        <v>2810</v>
      </c>
      <c r="I2807" s="482"/>
      <c r="J2807" s="485"/>
      <c r="K2807" s="482"/>
    </row>
    <row r="2808" spans="6:33" ht="24" customHeight="1">
      <c r="F2808" s="482"/>
      <c r="G2808" s="483"/>
      <c r="H2808" s="482"/>
      <c r="I2808" s="482"/>
      <c r="J2808" s="339" t="s">
        <v>534</v>
      </c>
      <c r="K2808" s="482"/>
    </row>
    <row r="2809" spans="6:33" ht="24" customHeight="1">
      <c r="F2809" s="482"/>
      <c r="G2809" s="483"/>
      <c r="H2809" s="338" t="s">
        <v>2813</v>
      </c>
      <c r="I2809" s="482"/>
      <c r="J2809" s="485"/>
      <c r="K2809" s="482"/>
      <c r="M2809" s="339" t="s">
        <v>1772</v>
      </c>
      <c r="N2809" s="489" t="s">
        <v>307</v>
      </c>
      <c r="O2809" s="338" t="s">
        <v>1779</v>
      </c>
      <c r="P2809" s="482"/>
      <c r="Q2809" s="485"/>
      <c r="R2809" s="482"/>
    </row>
    <row r="2810" spans="6:33" ht="24" customHeight="1">
      <c r="F2810" s="482"/>
      <c r="G2810" s="483"/>
      <c r="H2810" s="338" t="s">
        <v>2814</v>
      </c>
      <c r="I2810" s="482"/>
      <c r="J2810" s="485"/>
      <c r="K2810" s="514">
        <v>2.7099999999999999E-2</v>
      </c>
      <c r="M2810" s="482"/>
      <c r="N2810" s="483"/>
      <c r="O2810" s="338" t="s">
        <v>1774</v>
      </c>
      <c r="P2810" s="482"/>
      <c r="Q2810" s="485"/>
      <c r="R2810" s="482"/>
    </row>
    <row r="2811" spans="6:33" ht="24" customHeight="1">
      <c r="F2811" s="482"/>
      <c r="G2811" s="483"/>
      <c r="H2811" s="482"/>
      <c r="I2811" s="482"/>
      <c r="J2811" s="339" t="s">
        <v>22</v>
      </c>
      <c r="K2811" s="490" t="s">
        <v>534</v>
      </c>
      <c r="M2811" s="482"/>
      <c r="N2811" s="483"/>
      <c r="O2811" s="338" t="s">
        <v>2836</v>
      </c>
      <c r="P2811" s="488" t="s">
        <v>2837</v>
      </c>
      <c r="Q2811" s="485"/>
      <c r="R2811" s="482"/>
    </row>
    <row r="2812" spans="6:33" ht="24" customHeight="1">
      <c r="F2812" s="482"/>
      <c r="G2812" s="483"/>
      <c r="H2812" s="338" t="s">
        <v>2816</v>
      </c>
      <c r="I2812" s="482"/>
      <c r="J2812" s="518" t="s">
        <v>22</v>
      </c>
      <c r="K2812" s="514">
        <v>1.2840000000000001E-2</v>
      </c>
      <c r="M2812" s="482"/>
      <c r="N2812" s="483"/>
      <c r="O2812" s="490" t="s">
        <v>534</v>
      </c>
      <c r="P2812" s="482"/>
      <c r="Q2812" s="485"/>
      <c r="R2812" s="482"/>
    </row>
    <row r="2813" spans="6:33" ht="24" customHeight="1">
      <c r="F2813" s="482"/>
      <c r="G2813" s="483"/>
      <c r="H2813" s="338" t="s">
        <v>2838</v>
      </c>
      <c r="I2813" s="482"/>
      <c r="J2813" s="339" t="s">
        <v>22</v>
      </c>
      <c r="K2813" s="514">
        <v>3.5799999999999998E-3</v>
      </c>
      <c r="M2813" s="482"/>
      <c r="N2813" s="483"/>
      <c r="O2813" s="338" t="s">
        <v>2839</v>
      </c>
      <c r="P2813" s="482"/>
      <c r="Q2813" s="485"/>
      <c r="R2813" s="482"/>
    </row>
    <row r="2814" spans="6:33" ht="24" customHeight="1">
      <c r="F2814" s="529"/>
      <c r="G2814" s="483"/>
      <c r="H2814" s="482"/>
      <c r="I2814" s="482"/>
      <c r="J2814" s="485"/>
      <c r="K2814" s="490" t="s">
        <v>534</v>
      </c>
      <c r="M2814" s="482"/>
      <c r="N2814" s="483"/>
      <c r="O2814" s="338" t="s">
        <v>2810</v>
      </c>
      <c r="P2814" s="482"/>
      <c r="Q2814" s="485"/>
      <c r="R2814" s="482"/>
    </row>
    <row r="2815" spans="6:33" ht="24" customHeight="1">
      <c r="F2815" s="514">
        <v>1.898E-2</v>
      </c>
      <c r="G2815" s="489" t="s">
        <v>577</v>
      </c>
      <c r="H2815" s="338" t="s">
        <v>1790</v>
      </c>
      <c r="I2815" s="336">
        <f>AC26</f>
        <v>111600</v>
      </c>
      <c r="J2815" s="339" t="s">
        <v>577</v>
      </c>
      <c r="K2815" s="336">
        <f>(F2815*I2815)</f>
        <v>2118.1680000000001</v>
      </c>
      <c r="M2815" s="482"/>
      <c r="N2815" s="483"/>
      <c r="O2815" s="482"/>
      <c r="P2815" s="482"/>
      <c r="Q2815" s="339" t="s">
        <v>534</v>
      </c>
      <c r="R2815" s="482"/>
    </row>
    <row r="2816" spans="6:33" ht="24" customHeight="1">
      <c r="F2816" s="514">
        <f>K2810</f>
        <v>2.7099999999999999E-2</v>
      </c>
      <c r="G2816" s="489" t="s">
        <v>577</v>
      </c>
      <c r="H2816" s="338" t="s">
        <v>1792</v>
      </c>
      <c r="I2816" s="336">
        <f>AC27</f>
        <v>99400</v>
      </c>
      <c r="J2816" s="339" t="s">
        <v>577</v>
      </c>
      <c r="K2816" s="336">
        <f t="shared" ref="K2816:K2826" si="254">(F2816*I2816)</f>
        <v>2693.74</v>
      </c>
      <c r="M2816" s="482"/>
      <c r="N2816" s="483"/>
      <c r="O2816" s="338" t="s">
        <v>2840</v>
      </c>
      <c r="P2816" s="482"/>
      <c r="Q2816" s="485"/>
      <c r="R2816" s="482"/>
    </row>
    <row r="2817" spans="6:18" ht="24" customHeight="1">
      <c r="F2817" s="514">
        <f>L2780</f>
        <v>1.6420000000000001E-2</v>
      </c>
      <c r="G2817" s="489" t="s">
        <v>577</v>
      </c>
      <c r="H2817" s="338" t="s">
        <v>1794</v>
      </c>
      <c r="I2817" s="336">
        <f>AC28</f>
        <v>95000</v>
      </c>
      <c r="J2817" s="339" t="s">
        <v>577</v>
      </c>
      <c r="K2817" s="336">
        <f t="shared" si="254"/>
        <v>1559.9</v>
      </c>
      <c r="M2817" s="482"/>
      <c r="N2817" s="483"/>
      <c r="O2817" s="338" t="s">
        <v>2841</v>
      </c>
      <c r="P2817" s="482"/>
      <c r="Q2817" s="485"/>
      <c r="R2817" s="514">
        <v>2.784E-2</v>
      </c>
    </row>
    <row r="2818" spans="6:18" ht="24" customHeight="1">
      <c r="F2818" s="530"/>
      <c r="G2818" s="483"/>
      <c r="H2818" s="338" t="s">
        <v>1867</v>
      </c>
      <c r="I2818" s="336"/>
      <c r="J2818" s="485"/>
      <c r="K2818" s="336"/>
      <c r="M2818" s="482"/>
      <c r="N2818" s="483"/>
      <c r="O2818" s="482"/>
      <c r="P2818" s="482"/>
      <c r="Q2818" s="339" t="s">
        <v>22</v>
      </c>
      <c r="R2818" s="490" t="s">
        <v>534</v>
      </c>
    </row>
    <row r="2819" spans="6:18" ht="24" customHeight="1">
      <c r="F2819" s="530">
        <v>1.8225</v>
      </c>
      <c r="G2819" s="489" t="s">
        <v>916</v>
      </c>
      <c r="H2819" s="338" t="s">
        <v>1787</v>
      </c>
      <c r="I2819" s="336">
        <f>I954</f>
        <v>1105.5</v>
      </c>
      <c r="J2819" s="339" t="s">
        <v>916</v>
      </c>
      <c r="K2819" s="336">
        <f t="shared" si="254"/>
        <v>2014.7737500000001</v>
      </c>
      <c r="M2819" s="482"/>
      <c r="N2819" s="483"/>
      <c r="O2819" s="338" t="s">
        <v>2842</v>
      </c>
      <c r="P2819" s="482"/>
      <c r="Q2819" s="518" t="s">
        <v>22</v>
      </c>
      <c r="R2819" s="514">
        <v>2.5499999999999998E-2</v>
      </c>
    </row>
    <row r="2820" spans="6:18" ht="24" customHeight="1">
      <c r="F2820" s="336">
        <v>2</v>
      </c>
      <c r="G2820" s="489" t="s">
        <v>680</v>
      </c>
      <c r="H2820" s="338" t="s">
        <v>2843</v>
      </c>
      <c r="I2820" s="336">
        <v>120</v>
      </c>
      <c r="J2820" s="339" t="s">
        <v>576</v>
      </c>
      <c r="K2820" s="336">
        <f t="shared" si="254"/>
        <v>240</v>
      </c>
      <c r="M2820" s="482"/>
      <c r="N2820" s="483"/>
      <c r="O2820" s="338"/>
      <c r="P2820" s="482"/>
      <c r="Q2820" s="339" t="s">
        <v>22</v>
      </c>
      <c r="R2820" s="514"/>
    </row>
    <row r="2821" spans="6:18" ht="24" customHeight="1">
      <c r="F2821" s="336">
        <v>3</v>
      </c>
      <c r="G2821" s="489" t="s">
        <v>576</v>
      </c>
      <c r="H2821" s="338" t="s">
        <v>2844</v>
      </c>
      <c r="I2821" s="336">
        <v>110.17</v>
      </c>
      <c r="J2821" s="339" t="s">
        <v>576</v>
      </c>
      <c r="K2821" s="336">
        <f t="shared" si="254"/>
        <v>330.51</v>
      </c>
      <c r="M2821" s="482"/>
      <c r="N2821" s="483"/>
      <c r="O2821" s="482"/>
      <c r="P2821" s="482"/>
      <c r="Q2821" s="485"/>
      <c r="R2821" s="490" t="s">
        <v>534</v>
      </c>
    </row>
    <row r="2822" spans="6:18" ht="24" customHeight="1">
      <c r="F2822" s="336">
        <v>2</v>
      </c>
      <c r="G2822" s="489" t="s">
        <v>576</v>
      </c>
      <c r="H2822" s="338" t="s">
        <v>2845</v>
      </c>
      <c r="I2822" s="336">
        <v>160</v>
      </c>
      <c r="J2822" s="339" t="s">
        <v>576</v>
      </c>
      <c r="K2822" s="336">
        <f t="shared" si="254"/>
        <v>320</v>
      </c>
      <c r="M2822" s="514">
        <v>1.898E-2</v>
      </c>
      <c r="N2822" s="489" t="s">
        <v>577</v>
      </c>
      <c r="O2822" s="338" t="s">
        <v>1790</v>
      </c>
      <c r="P2822" s="336">
        <f>I2815</f>
        <v>111600</v>
      </c>
      <c r="Q2822" s="339" t="s">
        <v>577</v>
      </c>
      <c r="R2822" s="336">
        <f>(M2822*P2822)</f>
        <v>2118.1680000000001</v>
      </c>
    </row>
    <row r="2823" spans="6:18" ht="24" customHeight="1">
      <c r="F2823" s="336">
        <v>1</v>
      </c>
      <c r="G2823" s="489" t="s">
        <v>576</v>
      </c>
      <c r="H2823" s="338" t="s">
        <v>2846</v>
      </c>
      <c r="I2823" s="336">
        <v>550</v>
      </c>
      <c r="J2823" s="339" t="s">
        <v>576</v>
      </c>
      <c r="K2823" s="336">
        <f t="shared" si="254"/>
        <v>550</v>
      </c>
      <c r="M2823" s="514">
        <f>R2817</f>
        <v>2.784E-2</v>
      </c>
      <c r="N2823" s="489" t="s">
        <v>577</v>
      </c>
      <c r="O2823" s="338" t="s">
        <v>1792</v>
      </c>
      <c r="P2823" s="336">
        <f t="shared" ref="P2823:P2832" si="255">I2816</f>
        <v>99400</v>
      </c>
      <c r="Q2823" s="339" t="s">
        <v>577</v>
      </c>
      <c r="R2823" s="336">
        <f t="shared" ref="R2823:R2832" si="256">(M2823*P2823)</f>
        <v>2767.2959999999998</v>
      </c>
    </row>
    <row r="2824" spans="6:18" ht="24" customHeight="1">
      <c r="F2824" s="336">
        <v>1</v>
      </c>
      <c r="G2824" s="489" t="s">
        <v>576</v>
      </c>
      <c r="H2824" s="338" t="s">
        <v>1795</v>
      </c>
      <c r="I2824" s="336">
        <f>C288</f>
        <v>7.3</v>
      </c>
      <c r="J2824" s="339" t="s">
        <v>576</v>
      </c>
      <c r="K2824" s="336">
        <f t="shared" si="254"/>
        <v>7.3</v>
      </c>
      <c r="M2824" s="514">
        <f>R2819</f>
        <v>2.5499999999999998E-2</v>
      </c>
      <c r="N2824" s="489" t="s">
        <v>577</v>
      </c>
      <c r="O2824" s="338" t="s">
        <v>1794</v>
      </c>
      <c r="P2824" s="336">
        <f t="shared" si="255"/>
        <v>95000</v>
      </c>
      <c r="Q2824" s="339" t="s">
        <v>577</v>
      </c>
      <c r="R2824" s="336">
        <f t="shared" si="256"/>
        <v>2422.5</v>
      </c>
    </row>
    <row r="2825" spans="6:18" ht="24" customHeight="1">
      <c r="F2825" s="336">
        <v>1</v>
      </c>
      <c r="G2825" s="489" t="s">
        <v>576</v>
      </c>
      <c r="H2825" s="338" t="s">
        <v>941</v>
      </c>
      <c r="I2825" s="531">
        <f>I2843</f>
        <v>43.8</v>
      </c>
      <c r="J2825" s="339" t="s">
        <v>576</v>
      </c>
      <c r="K2825" s="336">
        <f t="shared" si="254"/>
        <v>43.8</v>
      </c>
      <c r="M2825" s="530"/>
      <c r="N2825" s="483"/>
      <c r="O2825" s="338" t="s">
        <v>2847</v>
      </c>
      <c r="P2825" s="336"/>
      <c r="Q2825" s="485"/>
      <c r="R2825" s="336"/>
    </row>
    <row r="2826" spans="6:18" ht="24" customHeight="1">
      <c r="F2826" s="482">
        <v>64</v>
      </c>
      <c r="G2826" s="483"/>
      <c r="H2826" s="482" t="s">
        <v>2848</v>
      </c>
      <c r="I2826" s="532">
        <f>P1121</f>
        <v>2.35</v>
      </c>
      <c r="J2826" s="485"/>
      <c r="K2826" s="336">
        <f t="shared" si="254"/>
        <v>150.4</v>
      </c>
      <c r="M2826" s="530">
        <v>2.2275</v>
      </c>
      <c r="N2826" s="489" t="s">
        <v>916</v>
      </c>
      <c r="O2826" s="338" t="s">
        <v>1787</v>
      </c>
      <c r="P2826" s="336">
        <f t="shared" si="255"/>
        <v>1105.5</v>
      </c>
      <c r="Q2826" s="339" t="s">
        <v>916</v>
      </c>
      <c r="R2826" s="336">
        <f t="shared" si="256"/>
        <v>2462.5012500000003</v>
      </c>
    </row>
    <row r="2827" spans="6:18" ht="24" customHeight="1">
      <c r="F2827" s="482"/>
      <c r="G2827" s="483"/>
      <c r="H2827" s="338" t="s">
        <v>2831</v>
      </c>
      <c r="I2827" s="482"/>
      <c r="J2827" s="485"/>
      <c r="K2827" s="336">
        <f>SUM(K2815:K2826)</f>
        <v>10028.591749999998</v>
      </c>
      <c r="M2827" s="336">
        <v>1</v>
      </c>
      <c r="N2827" s="489" t="s">
        <v>680</v>
      </c>
      <c r="O2827" s="338" t="s">
        <v>1788</v>
      </c>
      <c r="P2827" s="336">
        <f t="shared" si="255"/>
        <v>120</v>
      </c>
      <c r="Q2827" s="339" t="s">
        <v>576</v>
      </c>
      <c r="R2827" s="336">
        <f t="shared" si="256"/>
        <v>120</v>
      </c>
    </row>
    <row r="2828" spans="6:18" ht="24" customHeight="1">
      <c r="F2828" s="482"/>
      <c r="G2828" s="483"/>
      <c r="H2828" s="482"/>
      <c r="I2828" s="482"/>
      <c r="J2828" s="485"/>
      <c r="K2828" s="490" t="s">
        <v>534</v>
      </c>
      <c r="M2828" s="336">
        <v>3</v>
      </c>
      <c r="N2828" s="489" t="s">
        <v>576</v>
      </c>
      <c r="O2828" s="338" t="s">
        <v>1789</v>
      </c>
      <c r="P2828" s="336">
        <f t="shared" si="255"/>
        <v>110.17</v>
      </c>
      <c r="Q2828" s="339" t="s">
        <v>576</v>
      </c>
      <c r="R2828" s="336">
        <f t="shared" si="256"/>
        <v>330.51</v>
      </c>
    </row>
    <row r="2829" spans="6:18" ht="24" customHeight="1">
      <c r="F2829" s="482"/>
      <c r="G2829" s="483"/>
      <c r="H2829" s="338" t="s">
        <v>881</v>
      </c>
      <c r="I2829" s="482"/>
      <c r="J2829" s="485"/>
      <c r="K2829" s="497">
        <f>K2827/F2819</f>
        <v>5502.6566529492447</v>
      </c>
      <c r="M2829" s="336">
        <v>2</v>
      </c>
      <c r="N2829" s="489" t="s">
        <v>576</v>
      </c>
      <c r="O2829" s="338" t="s">
        <v>1791</v>
      </c>
      <c r="P2829" s="336">
        <f t="shared" si="255"/>
        <v>160</v>
      </c>
      <c r="Q2829" s="339" t="s">
        <v>576</v>
      </c>
      <c r="R2829" s="336">
        <f t="shared" si="256"/>
        <v>320</v>
      </c>
    </row>
    <row r="2830" spans="6:18" ht="24" customHeight="1">
      <c r="F2830" s="482"/>
      <c r="G2830" s="483"/>
      <c r="H2830" s="482"/>
      <c r="I2830" s="482"/>
      <c r="J2830" s="485"/>
      <c r="K2830" s="482"/>
      <c r="M2830" s="336">
        <v>1</v>
      </c>
      <c r="N2830" s="489" t="s">
        <v>576</v>
      </c>
      <c r="O2830" s="338" t="s">
        <v>1793</v>
      </c>
      <c r="P2830" s="336">
        <f t="shared" si="255"/>
        <v>550</v>
      </c>
      <c r="Q2830" s="339" t="s">
        <v>576</v>
      </c>
      <c r="R2830" s="336">
        <f t="shared" si="256"/>
        <v>550</v>
      </c>
    </row>
    <row r="2831" spans="6:18" ht="24" customHeight="1">
      <c r="F2831" s="339" t="s">
        <v>1772</v>
      </c>
      <c r="G2831" s="489" t="s">
        <v>307</v>
      </c>
      <c r="H2831" s="338" t="s">
        <v>2849</v>
      </c>
      <c r="I2831" s="482"/>
      <c r="J2831" s="485"/>
      <c r="K2831" s="482"/>
      <c r="M2831" s="336">
        <v>1</v>
      </c>
      <c r="N2831" s="489" t="s">
        <v>576</v>
      </c>
      <c r="O2831" s="338" t="s">
        <v>1795</v>
      </c>
      <c r="P2831" s="336">
        <f t="shared" si="255"/>
        <v>7.3</v>
      </c>
      <c r="Q2831" s="339" t="s">
        <v>576</v>
      </c>
      <c r="R2831" s="336">
        <f t="shared" si="256"/>
        <v>7.3</v>
      </c>
    </row>
    <row r="2832" spans="6:18" ht="24" customHeight="1">
      <c r="F2832" s="482"/>
      <c r="G2832" s="483"/>
      <c r="H2832" s="338" t="s">
        <v>1774</v>
      </c>
      <c r="I2832" s="482"/>
      <c r="J2832" s="485"/>
      <c r="K2832" s="482"/>
      <c r="M2832" s="336">
        <v>1</v>
      </c>
      <c r="N2832" s="489" t="s">
        <v>576</v>
      </c>
      <c r="O2832" s="338" t="s">
        <v>941</v>
      </c>
      <c r="P2832" s="336">
        <f t="shared" si="255"/>
        <v>43.8</v>
      </c>
      <c r="Q2832" s="339" t="s">
        <v>576</v>
      </c>
      <c r="R2832" s="336">
        <f t="shared" si="256"/>
        <v>43.8</v>
      </c>
    </row>
    <row r="2833" spans="6:18" ht="24" customHeight="1">
      <c r="F2833" s="482"/>
      <c r="G2833" s="483"/>
      <c r="H2833" s="338" t="s">
        <v>1775</v>
      </c>
      <c r="I2833" s="482"/>
      <c r="J2833" s="485">
        <f>1.1*2.025</f>
        <v>2.2275</v>
      </c>
      <c r="K2833" s="482"/>
      <c r="M2833" s="482">
        <v>58</v>
      </c>
      <c r="N2833" s="489" t="s">
        <v>576</v>
      </c>
      <c r="O2833" s="482" t="s">
        <v>1816</v>
      </c>
      <c r="P2833" s="482">
        <f>P1121</f>
        <v>2.35</v>
      </c>
      <c r="Q2833" s="485" t="s">
        <v>576</v>
      </c>
      <c r="R2833" s="336">
        <f>(M2833*P2833)</f>
        <v>136.30000000000001</v>
      </c>
    </row>
    <row r="2834" spans="6:18" ht="24" customHeight="1">
      <c r="F2834" s="482"/>
      <c r="G2834" s="483"/>
      <c r="H2834" s="490" t="s">
        <v>534</v>
      </c>
      <c r="I2834" s="482"/>
      <c r="J2834" s="485"/>
      <c r="K2834" s="482"/>
      <c r="M2834" s="482"/>
      <c r="N2834" s="483"/>
      <c r="O2834" s="338" t="s">
        <v>2850</v>
      </c>
      <c r="P2834" s="482"/>
      <c r="Q2834" s="485"/>
      <c r="R2834" s="336">
        <f>SUM(R2822:R2833)</f>
        <v>11278.375249999999</v>
      </c>
    </row>
    <row r="2835" spans="6:18" ht="28.5" customHeight="1">
      <c r="F2835" s="482"/>
      <c r="G2835" s="483"/>
      <c r="H2835" s="338" t="s">
        <v>1777</v>
      </c>
      <c r="I2835" s="482"/>
      <c r="J2835" s="485"/>
      <c r="K2835" s="482"/>
      <c r="M2835" s="482"/>
      <c r="N2835" s="483"/>
      <c r="O2835" s="482"/>
      <c r="P2835" s="482"/>
      <c r="Q2835" s="485"/>
      <c r="R2835" s="490" t="s">
        <v>534</v>
      </c>
    </row>
    <row r="2836" spans="6:18" ht="39" customHeight="1">
      <c r="F2836" s="501">
        <v>1.823</v>
      </c>
      <c r="G2836" s="489" t="s">
        <v>916</v>
      </c>
      <c r="H2836" s="499" t="s">
        <v>2851</v>
      </c>
      <c r="I2836" s="533">
        <v>2370</v>
      </c>
      <c r="J2836" s="339" t="s">
        <v>916</v>
      </c>
      <c r="K2836" s="482">
        <f>F2837*I2836</f>
        <v>4320.51</v>
      </c>
      <c r="M2836" s="482"/>
      <c r="N2836" s="483"/>
      <c r="O2836" s="338" t="s">
        <v>881</v>
      </c>
      <c r="P2836" s="482"/>
      <c r="Q2836" s="485"/>
      <c r="R2836" s="336">
        <f>R2834/M2826</f>
        <v>5063.2436588103246</v>
      </c>
    </row>
    <row r="2837" spans="6:18" ht="24" customHeight="1">
      <c r="F2837" s="524">
        <v>1.823</v>
      </c>
      <c r="G2837" s="489" t="s">
        <v>916</v>
      </c>
      <c r="H2837" s="491" t="s">
        <v>2852</v>
      </c>
      <c r="I2837" s="534">
        <v>140</v>
      </c>
      <c r="J2837" s="339" t="s">
        <v>916</v>
      </c>
      <c r="K2837" s="336">
        <f t="shared" ref="K2837:K2843" si="257">(F2837*I2837)</f>
        <v>255.22</v>
      </c>
    </row>
    <row r="2838" spans="6:18" ht="24" customHeight="1">
      <c r="F2838" s="336">
        <v>2</v>
      </c>
      <c r="G2838" s="489" t="s">
        <v>680</v>
      </c>
      <c r="H2838" s="338" t="s">
        <v>1788</v>
      </c>
      <c r="I2838" s="336">
        <f t="shared" ref="I2838:I2843" si="258">I990</f>
        <v>50.4</v>
      </c>
      <c r="J2838" s="339" t="s">
        <v>576</v>
      </c>
      <c r="K2838" s="336">
        <f t="shared" si="257"/>
        <v>100.8</v>
      </c>
    </row>
    <row r="2839" spans="6:18" ht="24" customHeight="1">
      <c r="F2839" s="336">
        <v>3</v>
      </c>
      <c r="G2839" s="489" t="s">
        <v>576</v>
      </c>
      <c r="H2839" s="338" t="s">
        <v>1789</v>
      </c>
      <c r="I2839" s="336">
        <f t="shared" si="258"/>
        <v>78.400000000000006</v>
      </c>
      <c r="J2839" s="339" t="s">
        <v>576</v>
      </c>
      <c r="K2839" s="336">
        <f t="shared" si="257"/>
        <v>235.20000000000002</v>
      </c>
    </row>
    <row r="2840" spans="6:18" ht="24" customHeight="1">
      <c r="F2840" s="336">
        <v>2</v>
      </c>
      <c r="G2840" s="489" t="s">
        <v>576</v>
      </c>
      <c r="H2840" s="338" t="s">
        <v>1791</v>
      </c>
      <c r="I2840" s="336">
        <f t="shared" si="258"/>
        <v>56.7</v>
      </c>
      <c r="J2840" s="339" t="s">
        <v>576</v>
      </c>
      <c r="K2840" s="336">
        <f t="shared" si="257"/>
        <v>113.4</v>
      </c>
    </row>
    <row r="2841" spans="6:18" ht="24" customHeight="1">
      <c r="F2841" s="336">
        <v>1</v>
      </c>
      <c r="G2841" s="489" t="s">
        <v>576</v>
      </c>
      <c r="H2841" s="338" t="s">
        <v>1793</v>
      </c>
      <c r="I2841" s="336">
        <f t="shared" si="258"/>
        <v>158.19999999999999</v>
      </c>
      <c r="J2841" s="339" t="s">
        <v>576</v>
      </c>
      <c r="K2841" s="336">
        <f t="shared" si="257"/>
        <v>158.19999999999999</v>
      </c>
    </row>
    <row r="2842" spans="6:18" ht="24" customHeight="1">
      <c r="F2842" s="336">
        <v>1</v>
      </c>
      <c r="G2842" s="489" t="s">
        <v>576</v>
      </c>
      <c r="H2842" s="338" t="s">
        <v>1795</v>
      </c>
      <c r="I2842" s="336">
        <f t="shared" si="258"/>
        <v>7.3</v>
      </c>
      <c r="J2842" s="339" t="s">
        <v>576</v>
      </c>
      <c r="K2842" s="336">
        <f t="shared" si="257"/>
        <v>7.3</v>
      </c>
      <c r="M2842" s="339" t="s">
        <v>1772</v>
      </c>
      <c r="N2842" s="489" t="s">
        <v>307</v>
      </c>
      <c r="O2842" s="338" t="s">
        <v>1779</v>
      </c>
      <c r="P2842" s="482"/>
      <c r="Q2842" s="485"/>
      <c r="R2842" s="482"/>
    </row>
    <row r="2843" spans="6:18" ht="24" customHeight="1">
      <c r="F2843" s="336">
        <v>1</v>
      </c>
      <c r="G2843" s="489" t="s">
        <v>576</v>
      </c>
      <c r="H2843" s="338" t="s">
        <v>941</v>
      </c>
      <c r="I2843" s="336">
        <f t="shared" si="258"/>
        <v>43.8</v>
      </c>
      <c r="J2843" s="339" t="s">
        <v>576</v>
      </c>
      <c r="K2843" s="336">
        <f t="shared" si="257"/>
        <v>43.8</v>
      </c>
      <c r="M2843" s="482"/>
      <c r="N2843" s="483"/>
      <c r="O2843" s="338" t="s">
        <v>1774</v>
      </c>
      <c r="P2843" s="488" t="s">
        <v>2853</v>
      </c>
      <c r="Q2843" s="485"/>
      <c r="R2843" s="482"/>
    </row>
    <row r="2844" spans="6:18" ht="24" customHeight="1">
      <c r="F2844" s="482"/>
      <c r="G2844" s="483"/>
      <c r="H2844" s="482"/>
      <c r="I2844" s="482"/>
      <c r="J2844" s="485"/>
      <c r="K2844" s="494">
        <v>0.85</v>
      </c>
      <c r="M2844" s="482"/>
      <c r="N2844" s="483"/>
      <c r="O2844" s="338" t="s">
        <v>2836</v>
      </c>
      <c r="P2844" s="488" t="s">
        <v>2854</v>
      </c>
      <c r="Q2844" s="485"/>
      <c r="R2844" s="482"/>
    </row>
    <row r="2845" spans="6:18" ht="24" customHeight="1">
      <c r="F2845" s="482"/>
      <c r="G2845" s="483"/>
      <c r="H2845" s="338" t="s">
        <v>2855</v>
      </c>
      <c r="I2845" s="482"/>
      <c r="J2845" s="485"/>
      <c r="K2845" s="336">
        <f>SUM(K2836:K2844)</f>
        <v>5235.2800000000007</v>
      </c>
      <c r="M2845" s="482"/>
      <c r="N2845" s="483"/>
      <c r="O2845" s="490" t="s">
        <v>534</v>
      </c>
      <c r="Q2845" s="485"/>
      <c r="R2845" s="482"/>
    </row>
    <row r="2846" spans="6:18" ht="24" customHeight="1">
      <c r="F2846" s="482"/>
      <c r="G2846" s="483"/>
      <c r="H2846" s="482"/>
      <c r="I2846" s="482"/>
      <c r="J2846" s="485"/>
      <c r="K2846" s="490" t="s">
        <v>534</v>
      </c>
      <c r="M2846" s="482"/>
      <c r="N2846" s="483"/>
      <c r="O2846" s="338" t="s">
        <v>2856</v>
      </c>
      <c r="P2846" s="482"/>
      <c r="Q2846" s="485"/>
      <c r="R2846" s="482"/>
    </row>
    <row r="2847" spans="6:18" ht="24" customHeight="1">
      <c r="F2847" s="482"/>
      <c r="G2847" s="483"/>
      <c r="H2847" s="338" t="s">
        <v>881</v>
      </c>
      <c r="I2847" s="482"/>
      <c r="J2847" s="485"/>
      <c r="K2847" s="336">
        <f>K2845/F2837</f>
        <v>2871.7937465715859</v>
      </c>
      <c r="M2847" s="482"/>
      <c r="N2847" s="483"/>
      <c r="O2847" s="338" t="s">
        <v>2857</v>
      </c>
      <c r="P2847" s="482"/>
      <c r="Q2847" s="485"/>
      <c r="R2847" s="482"/>
    </row>
    <row r="2848" spans="6:18" ht="24" customHeight="1">
      <c r="F2848" s="338" t="s">
        <v>22</v>
      </c>
      <c r="G2848" s="483"/>
      <c r="H2848" s="482"/>
      <c r="I2848" s="482"/>
      <c r="J2848" s="485"/>
      <c r="K2848" s="482"/>
      <c r="M2848" s="482"/>
      <c r="N2848" s="483"/>
      <c r="O2848" s="482"/>
      <c r="P2848" s="482"/>
      <c r="Q2848" s="339" t="s">
        <v>534</v>
      </c>
      <c r="R2848" s="482"/>
    </row>
    <row r="2849" spans="6:18" ht="24" customHeight="1">
      <c r="F2849" s="482"/>
      <c r="G2849" s="483"/>
      <c r="H2849" s="482"/>
      <c r="I2849" s="482"/>
      <c r="J2849" s="485"/>
      <c r="K2849" s="482"/>
      <c r="M2849" s="482"/>
      <c r="N2849" s="483"/>
      <c r="O2849" s="338" t="s">
        <v>2858</v>
      </c>
      <c r="P2849" s="482"/>
      <c r="Q2849" s="485"/>
      <c r="R2849" s="482"/>
    </row>
    <row r="2850" spans="6:18" ht="24" customHeight="1">
      <c r="F2850" s="498" t="s">
        <v>2771</v>
      </c>
      <c r="G2850" s="483"/>
      <c r="H2850" s="338" t="s">
        <v>452</v>
      </c>
      <c r="I2850" s="482"/>
      <c r="J2850" s="535"/>
      <c r="K2850" s="482"/>
      <c r="M2850" s="482"/>
      <c r="N2850" s="483"/>
      <c r="O2850" s="338" t="s">
        <v>2859</v>
      </c>
      <c r="P2850" s="482"/>
      <c r="Q2850" s="485"/>
      <c r="R2850" s="514">
        <v>2.8910000000000002E-2</v>
      </c>
    </row>
    <row r="2851" spans="6:18" ht="24" customHeight="1">
      <c r="F2851" s="482"/>
      <c r="G2851" s="483"/>
      <c r="H2851" s="490" t="s">
        <v>534</v>
      </c>
      <c r="I2851" s="490" t="s">
        <v>534</v>
      </c>
      <c r="J2851" s="338" t="s">
        <v>534</v>
      </c>
      <c r="K2851" s="482"/>
      <c r="M2851" s="482"/>
      <c r="N2851" s="483"/>
      <c r="O2851" s="482"/>
      <c r="P2851" s="482"/>
      <c r="Q2851" s="339" t="s">
        <v>22</v>
      </c>
      <c r="R2851" s="490" t="s">
        <v>534</v>
      </c>
    </row>
    <row r="2852" spans="6:18" ht="24" customHeight="1">
      <c r="F2852" s="482"/>
      <c r="G2852" s="483"/>
      <c r="H2852" s="482"/>
      <c r="I2852" s="482"/>
      <c r="J2852" s="535"/>
      <c r="K2852" s="482"/>
      <c r="M2852" s="482"/>
      <c r="N2852" s="483"/>
      <c r="O2852" s="338" t="s">
        <v>2860</v>
      </c>
      <c r="P2852" s="482"/>
      <c r="Q2852" s="518" t="s">
        <v>22</v>
      </c>
      <c r="R2852" s="514"/>
    </row>
    <row r="2853" spans="6:18" ht="24" customHeight="1">
      <c r="F2853" s="482"/>
      <c r="G2853" s="483"/>
      <c r="H2853" s="338" t="s">
        <v>1886</v>
      </c>
      <c r="I2853" s="482"/>
      <c r="J2853" s="535"/>
      <c r="K2853" s="482"/>
      <c r="M2853" s="482"/>
      <c r="N2853" s="483"/>
      <c r="O2853" s="338" t="s">
        <v>2861</v>
      </c>
      <c r="P2853" s="482"/>
      <c r="Q2853" s="339" t="s">
        <v>22</v>
      </c>
      <c r="R2853" s="514">
        <v>1.7999999999999999E-2</v>
      </c>
    </row>
    <row r="2854" spans="6:18" ht="24" customHeight="1">
      <c r="F2854" s="482"/>
      <c r="G2854" s="483"/>
      <c r="H2854" s="338"/>
      <c r="I2854" s="482"/>
      <c r="J2854" s="535"/>
      <c r="K2854" s="482"/>
      <c r="M2854" s="482"/>
      <c r="N2854" s="483"/>
      <c r="O2854" s="482"/>
      <c r="P2854" s="482"/>
      <c r="Q2854" s="485"/>
      <c r="R2854" s="490" t="s">
        <v>534</v>
      </c>
    </row>
    <row r="2855" spans="6:18" ht="24" customHeight="1">
      <c r="F2855" s="482"/>
      <c r="G2855" s="483"/>
      <c r="H2855" s="536" t="s">
        <v>1888</v>
      </c>
      <c r="I2855" s="482"/>
      <c r="J2855" s="535"/>
      <c r="K2855" s="537"/>
      <c r="M2855" s="514">
        <v>1.9220000000000001E-2</v>
      </c>
      <c r="N2855" s="489" t="s">
        <v>577</v>
      </c>
      <c r="O2855" s="338" t="s">
        <v>1790</v>
      </c>
      <c r="P2855" s="336">
        <f>P2822</f>
        <v>111600</v>
      </c>
      <c r="Q2855" s="339" t="s">
        <v>577</v>
      </c>
      <c r="R2855" s="336">
        <f>(M2855*P2855)</f>
        <v>2144.9520000000002</v>
      </c>
    </row>
    <row r="2856" spans="6:18" ht="24" customHeight="1">
      <c r="F2856" s="482"/>
      <c r="G2856" s="483"/>
      <c r="H2856" s="338" t="s">
        <v>1889</v>
      </c>
      <c r="I2856" s="538">
        <f>0.0118+0.00675</f>
        <v>1.8550000000000001E-2</v>
      </c>
      <c r="J2856" s="535"/>
      <c r="K2856" s="482"/>
      <c r="M2856" s="514">
        <f>R2850</f>
        <v>2.8910000000000002E-2</v>
      </c>
      <c r="N2856" s="489" t="s">
        <v>577</v>
      </c>
      <c r="O2856" s="338" t="s">
        <v>1792</v>
      </c>
      <c r="P2856" s="336">
        <f t="shared" ref="P2856:P2865" si="259">P2823</f>
        <v>99400</v>
      </c>
      <c r="Q2856" s="339" t="s">
        <v>577</v>
      </c>
      <c r="R2856" s="336">
        <f>(M2856*P2856)</f>
        <v>2873.654</v>
      </c>
    </row>
    <row r="2857" spans="6:18" ht="24" customHeight="1">
      <c r="F2857" s="482"/>
      <c r="G2857" s="483"/>
      <c r="H2857" s="338" t="s">
        <v>1890</v>
      </c>
      <c r="I2857" s="482"/>
      <c r="J2857" s="535"/>
      <c r="K2857" s="482"/>
      <c r="M2857" s="514">
        <f>R2853</f>
        <v>1.7999999999999999E-2</v>
      </c>
      <c r="N2857" s="489" t="s">
        <v>577</v>
      </c>
      <c r="O2857" s="338" t="s">
        <v>1794</v>
      </c>
      <c r="P2857" s="336">
        <f t="shared" si="259"/>
        <v>95000</v>
      </c>
      <c r="Q2857" s="339" t="s">
        <v>577</v>
      </c>
      <c r="R2857" s="336">
        <f>(M2857*P2857)</f>
        <v>1709.9999999999998</v>
      </c>
    </row>
    <row r="2858" spans="6:18" ht="24" customHeight="1">
      <c r="F2858" s="482"/>
      <c r="G2858" s="483"/>
      <c r="H2858" s="338" t="s">
        <v>1891</v>
      </c>
      <c r="I2858" s="482"/>
      <c r="J2858" s="535"/>
      <c r="K2858" s="482"/>
      <c r="M2858" s="530"/>
      <c r="N2858" s="483"/>
      <c r="O2858" s="338" t="s">
        <v>2847</v>
      </c>
      <c r="P2858" s="336"/>
      <c r="Q2858" s="485"/>
      <c r="R2858" s="336"/>
    </row>
    <row r="2859" spans="6:18" ht="24" customHeight="1">
      <c r="F2859" s="482"/>
      <c r="G2859" s="483"/>
      <c r="H2859" s="338" t="s">
        <v>2773</v>
      </c>
      <c r="I2859" s="482"/>
      <c r="J2859" s="338" t="s">
        <v>22</v>
      </c>
      <c r="K2859" s="514">
        <v>3.7699999999999997E-2</v>
      </c>
      <c r="M2859" s="530">
        <v>2.2549999999999999</v>
      </c>
      <c r="N2859" s="489" t="s">
        <v>916</v>
      </c>
      <c r="O2859" s="338" t="s">
        <v>1787</v>
      </c>
      <c r="P2859" s="336">
        <f t="shared" si="259"/>
        <v>1105.5</v>
      </c>
      <c r="Q2859" s="339" t="s">
        <v>916</v>
      </c>
      <c r="R2859" s="336">
        <f t="shared" ref="R2859:R2865" si="260">(M2859*P2859)</f>
        <v>2492.9024999999997</v>
      </c>
    </row>
    <row r="2860" spans="6:18" ht="24" customHeight="1">
      <c r="F2860" s="482"/>
      <c r="G2860" s="483"/>
      <c r="H2860" s="338" t="s">
        <v>2862</v>
      </c>
      <c r="I2860" s="482"/>
      <c r="J2860" s="536" t="s">
        <v>22</v>
      </c>
      <c r="K2860" s="536" t="s">
        <v>22</v>
      </c>
      <c r="M2860" s="336">
        <v>1</v>
      </c>
      <c r="N2860" s="489" t="s">
        <v>680</v>
      </c>
      <c r="O2860" s="338" t="s">
        <v>1788</v>
      </c>
      <c r="P2860" s="336">
        <f t="shared" si="259"/>
        <v>120</v>
      </c>
      <c r="Q2860" s="339" t="s">
        <v>576</v>
      </c>
      <c r="R2860" s="336">
        <f t="shared" si="260"/>
        <v>120</v>
      </c>
    </row>
    <row r="2861" spans="6:18" ht="67.5" customHeight="1">
      <c r="F2861" s="482"/>
      <c r="G2861" s="483"/>
      <c r="H2861" s="338" t="s">
        <v>1896</v>
      </c>
      <c r="I2861" s="482"/>
      <c r="J2861" s="535"/>
      <c r="K2861" s="536" t="s">
        <v>22</v>
      </c>
      <c r="M2861" s="336">
        <v>3</v>
      </c>
      <c r="N2861" s="489" t="s">
        <v>576</v>
      </c>
      <c r="O2861" s="338" t="s">
        <v>1789</v>
      </c>
      <c r="P2861" s="336">
        <f t="shared" si="259"/>
        <v>110.17</v>
      </c>
      <c r="Q2861" s="339" t="s">
        <v>576</v>
      </c>
      <c r="R2861" s="336">
        <f t="shared" si="260"/>
        <v>330.51</v>
      </c>
    </row>
    <row r="2862" spans="6:18" ht="24" customHeight="1">
      <c r="F2862" s="482"/>
      <c r="G2862" s="483"/>
      <c r="H2862" s="338"/>
      <c r="I2862" s="482"/>
      <c r="J2862" s="535"/>
      <c r="K2862" s="536"/>
      <c r="M2862" s="336">
        <v>2</v>
      </c>
      <c r="N2862" s="489" t="s">
        <v>576</v>
      </c>
      <c r="O2862" s="338" t="s">
        <v>1791</v>
      </c>
      <c r="P2862" s="336">
        <f t="shared" si="259"/>
        <v>160</v>
      </c>
      <c r="Q2862" s="339" t="s">
        <v>576</v>
      </c>
      <c r="R2862" s="336">
        <f t="shared" si="260"/>
        <v>320</v>
      </c>
    </row>
    <row r="2863" spans="6:18" ht="24" customHeight="1">
      <c r="F2863" s="482"/>
      <c r="G2863" s="483"/>
      <c r="H2863" s="338"/>
      <c r="I2863" s="482"/>
      <c r="J2863" s="535"/>
      <c r="K2863" s="536"/>
      <c r="M2863" s="336">
        <v>1</v>
      </c>
      <c r="N2863" s="489" t="s">
        <v>576</v>
      </c>
      <c r="O2863" s="338" t="s">
        <v>1793</v>
      </c>
      <c r="P2863" s="336">
        <f t="shared" si="259"/>
        <v>550</v>
      </c>
      <c r="Q2863" s="339" t="s">
        <v>576</v>
      </c>
      <c r="R2863" s="336">
        <f t="shared" si="260"/>
        <v>550</v>
      </c>
    </row>
    <row r="2864" spans="6:18" ht="24" customHeight="1">
      <c r="F2864" s="482"/>
      <c r="G2864" s="483"/>
      <c r="H2864" s="482"/>
      <c r="I2864" s="482"/>
      <c r="J2864" s="535"/>
      <c r="K2864" s="482"/>
      <c r="M2864" s="336">
        <v>1</v>
      </c>
      <c r="N2864" s="489" t="s">
        <v>576</v>
      </c>
      <c r="O2864" s="338" t="s">
        <v>1795</v>
      </c>
      <c r="P2864" s="336">
        <f t="shared" si="259"/>
        <v>7.3</v>
      </c>
      <c r="Q2864" s="339" t="s">
        <v>576</v>
      </c>
      <c r="R2864" s="336">
        <f t="shared" si="260"/>
        <v>7.3</v>
      </c>
    </row>
    <row r="2865" spans="6:18" ht="24" customHeight="1">
      <c r="F2865" s="539">
        <v>1.18E-2</v>
      </c>
      <c r="G2865" s="489" t="s">
        <v>577</v>
      </c>
      <c r="H2865" s="338" t="s">
        <v>932</v>
      </c>
      <c r="I2865" s="336">
        <f>I2815</f>
        <v>111600</v>
      </c>
      <c r="J2865" s="338" t="s">
        <v>577</v>
      </c>
      <c r="K2865" s="336">
        <f t="shared" ref="K2865:K2874" si="261">(F2865*I2865)</f>
        <v>1316.8799999999999</v>
      </c>
      <c r="M2865" s="336">
        <v>1</v>
      </c>
      <c r="N2865" s="489" t="s">
        <v>576</v>
      </c>
      <c r="O2865" s="338" t="s">
        <v>941</v>
      </c>
      <c r="P2865" s="336">
        <f t="shared" si="259"/>
        <v>43.8</v>
      </c>
      <c r="Q2865" s="339" t="s">
        <v>576</v>
      </c>
      <c r="R2865" s="336">
        <f t="shared" si="260"/>
        <v>43.8</v>
      </c>
    </row>
    <row r="2866" spans="6:18" ht="24" customHeight="1">
      <c r="F2866" s="514">
        <v>6.7499999999999999E-3</v>
      </c>
      <c r="G2866" s="489" t="s">
        <v>577</v>
      </c>
      <c r="H2866" s="338" t="s">
        <v>933</v>
      </c>
      <c r="I2866" s="336">
        <f>I2816</f>
        <v>99400</v>
      </c>
      <c r="J2866" s="338" t="s">
        <v>577</v>
      </c>
      <c r="K2866" s="336">
        <f t="shared" si="261"/>
        <v>670.95</v>
      </c>
      <c r="M2866" s="482">
        <v>58</v>
      </c>
      <c r="N2866" s="489" t="s">
        <v>576</v>
      </c>
      <c r="O2866" s="482" t="s">
        <v>1816</v>
      </c>
      <c r="P2866" s="482">
        <f>P2833</f>
        <v>2.35</v>
      </c>
      <c r="Q2866" s="485" t="s">
        <v>576</v>
      </c>
      <c r="R2866" s="336">
        <f>(M2866*P2866)</f>
        <v>136.30000000000001</v>
      </c>
    </row>
    <row r="2867" spans="6:18" ht="24" customHeight="1">
      <c r="F2867" s="514">
        <v>1.8550000000000001E-2</v>
      </c>
      <c r="G2867" s="489" t="s">
        <v>577</v>
      </c>
      <c r="H2867" s="338" t="s">
        <v>1897</v>
      </c>
      <c r="I2867" s="336">
        <f>C30</f>
        <v>9828.5</v>
      </c>
      <c r="J2867" s="338" t="s">
        <v>577</v>
      </c>
      <c r="K2867" s="336">
        <f t="shared" si="261"/>
        <v>182.31867500000001</v>
      </c>
      <c r="M2867" s="482"/>
      <c r="N2867" s="483"/>
      <c r="O2867" s="338" t="s">
        <v>2863</v>
      </c>
      <c r="P2867" s="482"/>
      <c r="Q2867" s="485"/>
      <c r="R2867" s="336">
        <f>SUM(R2855:R2866)+21.502</f>
        <v>10750.920499999998</v>
      </c>
    </row>
    <row r="2868" spans="6:18" ht="24" customHeight="1">
      <c r="F2868" s="514">
        <v>2.0499999999999998</v>
      </c>
      <c r="G2868" s="489" t="s">
        <v>916</v>
      </c>
      <c r="H2868" s="338" t="s">
        <v>2864</v>
      </c>
      <c r="I2868" s="336">
        <v>840</v>
      </c>
      <c r="J2868" s="338" t="s">
        <v>916</v>
      </c>
      <c r="K2868" s="336">
        <f t="shared" si="261"/>
        <v>1721.9999999999998</v>
      </c>
      <c r="M2868" s="482"/>
      <c r="N2868" s="483"/>
      <c r="O2868" s="482"/>
      <c r="P2868" s="482"/>
      <c r="Q2868" s="485"/>
      <c r="R2868" s="490" t="s">
        <v>534</v>
      </c>
    </row>
    <row r="2869" spans="6:18" ht="36" customHeight="1">
      <c r="F2869" s="514">
        <v>2.0499999999999998</v>
      </c>
      <c r="G2869" s="489" t="s">
        <v>916</v>
      </c>
      <c r="H2869" s="540" t="s">
        <v>2865</v>
      </c>
      <c r="I2869" s="534">
        <v>216</v>
      </c>
      <c r="J2869" s="338" t="s">
        <v>916</v>
      </c>
      <c r="K2869" s="336">
        <f t="shared" si="261"/>
        <v>442.79999999999995</v>
      </c>
      <c r="M2869" s="482"/>
      <c r="N2869" s="483"/>
      <c r="O2869" s="338" t="s">
        <v>881</v>
      </c>
      <c r="P2869" s="482"/>
      <c r="Q2869" s="485"/>
      <c r="R2869" s="336">
        <f>R2867/M2859</f>
        <v>4767.5922394678491</v>
      </c>
    </row>
    <row r="2870" spans="6:18" ht="24" customHeight="1">
      <c r="F2870" s="336">
        <v>2</v>
      </c>
      <c r="G2870" s="489" t="s">
        <v>576</v>
      </c>
      <c r="H2870" s="338" t="s">
        <v>2775</v>
      </c>
      <c r="I2870" s="336">
        <f>E285</f>
        <v>49.8</v>
      </c>
      <c r="J2870" s="338" t="s">
        <v>576</v>
      </c>
      <c r="K2870" s="336">
        <f t="shared" si="261"/>
        <v>99.6</v>
      </c>
    </row>
    <row r="2871" spans="6:18" ht="24" customHeight="1">
      <c r="F2871" s="336">
        <v>8</v>
      </c>
      <c r="G2871" s="489" t="s">
        <v>576</v>
      </c>
      <c r="H2871" s="338" t="s">
        <v>1858</v>
      </c>
      <c r="I2871" s="336">
        <f>C282</f>
        <v>43.2</v>
      </c>
      <c r="J2871" s="338" t="s">
        <v>576</v>
      </c>
      <c r="K2871" s="336">
        <f t="shared" si="261"/>
        <v>345.6</v>
      </c>
    </row>
    <row r="2872" spans="6:18" ht="24" customHeight="1">
      <c r="F2872" s="336">
        <v>2</v>
      </c>
      <c r="G2872" s="489" t="s">
        <v>576</v>
      </c>
      <c r="H2872" s="338" t="s">
        <v>2778</v>
      </c>
      <c r="I2872" s="336">
        <f>I1134</f>
        <v>53.3</v>
      </c>
      <c r="J2872" s="338" t="s">
        <v>576</v>
      </c>
      <c r="K2872" s="336">
        <f t="shared" si="261"/>
        <v>106.6</v>
      </c>
    </row>
    <row r="2873" spans="6:18" ht="24" customHeight="1">
      <c r="F2873" s="336">
        <v>1</v>
      </c>
      <c r="G2873" s="489" t="s">
        <v>576</v>
      </c>
      <c r="H2873" s="338" t="s">
        <v>2866</v>
      </c>
      <c r="I2873" s="541">
        <f>I1135</f>
        <v>63.2</v>
      </c>
      <c r="J2873" s="338" t="s">
        <v>576</v>
      </c>
      <c r="K2873" s="336">
        <f t="shared" si="261"/>
        <v>63.2</v>
      </c>
    </row>
    <row r="2874" spans="6:18" ht="24" customHeight="1">
      <c r="F2874" s="524">
        <v>0.94499999999999995</v>
      </c>
      <c r="G2874" s="489" t="s">
        <v>916</v>
      </c>
      <c r="H2874" s="338" t="s">
        <v>1903</v>
      </c>
      <c r="I2874" s="336">
        <f>K1167</f>
        <v>148.78800000000001</v>
      </c>
      <c r="J2874" s="338" t="s">
        <v>916</v>
      </c>
      <c r="K2874" s="336">
        <f t="shared" si="261"/>
        <v>140.60466</v>
      </c>
    </row>
    <row r="2875" spans="6:18" ht="24" customHeight="1">
      <c r="F2875" s="482"/>
      <c r="G2875" s="483"/>
      <c r="H2875" s="338" t="s">
        <v>1904</v>
      </c>
      <c r="I2875" s="339" t="s">
        <v>589</v>
      </c>
      <c r="J2875" s="535"/>
      <c r="K2875" s="336">
        <v>0.6</v>
      </c>
    </row>
    <row r="2876" spans="6:18" ht="24" customHeight="1">
      <c r="F2876" s="482"/>
      <c r="G2876" s="483"/>
      <c r="H2876" s="488"/>
      <c r="I2876" s="488"/>
      <c r="J2876" s="542"/>
      <c r="K2876" s="495" t="s">
        <v>534</v>
      </c>
    </row>
    <row r="2877" spans="6:18" ht="24" customHeight="1">
      <c r="F2877" s="482"/>
      <c r="G2877" s="483"/>
      <c r="H2877" s="543" t="s">
        <v>1905</v>
      </c>
      <c r="I2877" s="488"/>
      <c r="J2877" s="542"/>
      <c r="K2877" s="497">
        <f>SUM(K2865:K2875)</f>
        <v>5091.1533350000009</v>
      </c>
    </row>
    <row r="2878" spans="6:18" ht="24" customHeight="1">
      <c r="F2878" s="482"/>
      <c r="G2878" s="489" t="s">
        <v>22</v>
      </c>
      <c r="H2878" s="488"/>
      <c r="I2878" s="488"/>
      <c r="J2878" s="542"/>
      <c r="K2878" s="495" t="s">
        <v>534</v>
      </c>
    </row>
    <row r="2879" spans="6:18" ht="24" customHeight="1">
      <c r="F2879" s="482"/>
      <c r="G2879" s="483"/>
      <c r="H2879" s="543" t="s">
        <v>881</v>
      </c>
      <c r="I2879" s="488"/>
      <c r="J2879" s="542"/>
      <c r="K2879" s="497">
        <f>K2877/2.52</f>
        <v>2020.2989424603179</v>
      </c>
    </row>
    <row r="2880" spans="6:18" ht="24" customHeight="1">
      <c r="F2880" s="482"/>
      <c r="G2880" s="483"/>
      <c r="H2880" s="488"/>
      <c r="I2880" s="488"/>
      <c r="J2880" s="542"/>
      <c r="K2880" s="495" t="s">
        <v>528</v>
      </c>
    </row>
    <row r="2881" spans="6:11" ht="24" customHeight="1">
      <c r="F2881" s="482"/>
      <c r="G2881" s="483"/>
      <c r="H2881" s="482"/>
      <c r="I2881" s="482"/>
      <c r="J2881" s="485"/>
      <c r="K2881" s="482"/>
    </row>
    <row r="2882" spans="6:11" ht="24" customHeight="1">
      <c r="F2882" s="482"/>
      <c r="G2882" s="483"/>
      <c r="H2882" s="482" t="s">
        <v>2867</v>
      </c>
      <c r="I2882" s="482"/>
      <c r="J2882" s="485"/>
      <c r="K2882" s="482"/>
    </row>
    <row r="2883" spans="6:11" ht="24" customHeight="1">
      <c r="F2883" s="482"/>
      <c r="G2883" s="483"/>
      <c r="H2883" s="482" t="s">
        <v>2868</v>
      </c>
      <c r="I2883" s="482"/>
      <c r="J2883" s="485"/>
      <c r="K2883" s="482"/>
    </row>
    <row r="2884" spans="6:11" ht="24" customHeight="1">
      <c r="F2884" s="482"/>
      <c r="G2884" s="483"/>
      <c r="H2884" s="482"/>
      <c r="I2884" s="482"/>
      <c r="J2884" s="485"/>
      <c r="K2884" s="482"/>
    </row>
    <row r="2885" spans="6:11" ht="24" customHeight="1">
      <c r="F2885" s="482">
        <v>2</v>
      </c>
      <c r="G2885" s="483" t="s">
        <v>41</v>
      </c>
      <c r="H2885" s="482" t="s">
        <v>2869</v>
      </c>
      <c r="I2885" s="544">
        <v>64</v>
      </c>
      <c r="J2885" s="485" t="s">
        <v>41</v>
      </c>
      <c r="K2885" s="482">
        <f>F2885*I2885</f>
        <v>128</v>
      </c>
    </row>
    <row r="2886" spans="6:11" ht="24" customHeight="1">
      <c r="F2886" s="482">
        <v>1</v>
      </c>
      <c r="G2886" s="483" t="s">
        <v>1261</v>
      </c>
      <c r="H2886" s="482" t="s">
        <v>2870</v>
      </c>
      <c r="I2886" s="544">
        <f>C625</f>
        <v>33</v>
      </c>
      <c r="J2886" s="485" t="s">
        <v>332</v>
      </c>
      <c r="K2886" s="482">
        <f>F2886*I2886</f>
        <v>33</v>
      </c>
    </row>
    <row r="2887" spans="6:11" ht="24" customHeight="1">
      <c r="F2887" s="482"/>
      <c r="G2887" s="483"/>
      <c r="H2887" s="482" t="s">
        <v>2871</v>
      </c>
      <c r="I2887" s="482"/>
      <c r="J2887" s="485" t="s">
        <v>589</v>
      </c>
      <c r="K2887" s="482">
        <v>1.4</v>
      </c>
    </row>
    <row r="2888" spans="6:11" ht="24" customHeight="1">
      <c r="F2888" s="482"/>
      <c r="G2888" s="483"/>
      <c r="H2888" s="486" t="s">
        <v>2872</v>
      </c>
      <c r="I2888" s="482"/>
      <c r="J2888" s="485"/>
      <c r="K2888" s="482">
        <f>SUM(K2885:K2887)</f>
        <v>162.4</v>
      </c>
    </row>
    <row r="2889" spans="6:11" ht="24" customHeight="1">
      <c r="F2889" s="482"/>
      <c r="G2889" s="483"/>
      <c r="H2889" s="482"/>
      <c r="I2889" s="482"/>
      <c r="J2889" s="485"/>
      <c r="K2889" s="482"/>
    </row>
    <row r="2890" spans="6:11" ht="24" customHeight="1">
      <c r="F2890" s="482"/>
      <c r="G2890" s="483"/>
      <c r="H2890" s="487" t="s">
        <v>2873</v>
      </c>
      <c r="I2890" s="488"/>
      <c r="J2890" s="492"/>
      <c r="K2890" s="488">
        <f>K2888/2</f>
        <v>81.2</v>
      </c>
    </row>
    <row r="2891" spans="6:11" ht="24" customHeight="1">
      <c r="F2891" s="482"/>
      <c r="G2891" s="483"/>
      <c r="H2891" s="482"/>
      <c r="I2891" s="482"/>
      <c r="J2891" s="485"/>
      <c r="K2891" s="482"/>
    </row>
    <row r="2892" spans="6:11" ht="24" customHeight="1">
      <c r="F2892" s="482"/>
      <c r="G2892" s="483"/>
      <c r="H2892" s="482"/>
      <c r="I2892" s="482"/>
      <c r="J2892" s="485"/>
      <c r="K2892" s="482"/>
    </row>
    <row r="2893" spans="6:11" ht="24" customHeight="1">
      <c r="F2893" s="482"/>
      <c r="G2893" s="483"/>
      <c r="H2893" s="482"/>
      <c r="I2893" s="482"/>
      <c r="J2893" s="485"/>
      <c r="K2893" s="482"/>
    </row>
    <row r="2894" spans="6:11" ht="24" customHeight="1">
      <c r="F2894" s="482"/>
      <c r="G2894" s="483"/>
      <c r="H2894" s="482"/>
      <c r="I2894" s="482"/>
      <c r="J2894" s="485"/>
      <c r="K2894" s="482"/>
    </row>
    <row r="2895" spans="6:11" ht="24" customHeight="1">
      <c r="F2895" s="482"/>
      <c r="G2895" s="483"/>
      <c r="H2895" s="545" t="s">
        <v>2874</v>
      </c>
      <c r="I2895" s="482"/>
      <c r="J2895" s="485"/>
      <c r="K2895" s="482"/>
    </row>
    <row r="2896" spans="6:11" ht="24" customHeight="1">
      <c r="F2896" s="339"/>
      <c r="G2896" s="489" t="s">
        <v>307</v>
      </c>
      <c r="H2896" s="338" t="s">
        <v>1190</v>
      </c>
      <c r="I2896" s="482"/>
      <c r="J2896" s="485"/>
      <c r="K2896" s="482"/>
    </row>
    <row r="2897" spans="6:11" ht="24" customHeight="1">
      <c r="F2897" s="482"/>
      <c r="G2897" s="483"/>
      <c r="H2897" s="338" t="s">
        <v>974</v>
      </c>
      <c r="I2897" s="482"/>
      <c r="J2897" s="485"/>
      <c r="K2897" s="482"/>
    </row>
    <row r="2898" spans="6:11" ht="24" customHeight="1">
      <c r="F2898" s="482"/>
      <c r="G2898" s="483"/>
      <c r="H2898" s="490" t="s">
        <v>534</v>
      </c>
      <c r="I2898" s="482"/>
      <c r="J2898" s="485"/>
      <c r="K2898" s="482"/>
    </row>
    <row r="2899" spans="6:11" ht="24" customHeight="1">
      <c r="F2899" s="336">
        <v>9</v>
      </c>
      <c r="G2899" s="489" t="s">
        <v>577</v>
      </c>
      <c r="H2899" s="338" t="s">
        <v>1195</v>
      </c>
      <c r="I2899" s="336">
        <f t="shared" ref="I2899:I2904" si="262">I503</f>
        <v>846.21</v>
      </c>
      <c r="J2899" s="339" t="s">
        <v>577</v>
      </c>
      <c r="K2899" s="336">
        <f t="shared" ref="K2899:K2904" si="263">(F2899*I2899)</f>
        <v>7615.89</v>
      </c>
    </row>
    <row r="2900" spans="6:11" ht="24" customHeight="1">
      <c r="F2900" s="524">
        <v>3.2309999999999999</v>
      </c>
      <c r="G2900" s="489" t="s">
        <v>567</v>
      </c>
      <c r="H2900" s="338" t="s">
        <v>568</v>
      </c>
      <c r="I2900" s="336">
        <f t="shared" si="262"/>
        <v>5750</v>
      </c>
      <c r="J2900" s="339" t="s">
        <v>567</v>
      </c>
      <c r="K2900" s="336">
        <f t="shared" si="263"/>
        <v>18578.25</v>
      </c>
    </row>
    <row r="2901" spans="6:11" ht="24" customHeight="1">
      <c r="F2901" s="336">
        <v>4.5</v>
      </c>
      <c r="G2901" s="489" t="s">
        <v>577</v>
      </c>
      <c r="H2901" s="338" t="s">
        <v>578</v>
      </c>
      <c r="I2901" s="336">
        <f t="shared" si="262"/>
        <v>1514.4</v>
      </c>
      <c r="J2901" s="339" t="s">
        <v>577</v>
      </c>
      <c r="K2901" s="336">
        <f t="shared" si="263"/>
        <v>6814.8</v>
      </c>
    </row>
    <row r="2902" spans="6:11" ht="24" customHeight="1">
      <c r="F2902" s="336">
        <v>3.5</v>
      </c>
      <c r="G2902" s="489" t="s">
        <v>576</v>
      </c>
      <c r="H2902" s="338" t="s">
        <v>752</v>
      </c>
      <c r="I2902" s="336">
        <f t="shared" si="262"/>
        <v>669.90000000000009</v>
      </c>
      <c r="J2902" s="339" t="s">
        <v>576</v>
      </c>
      <c r="K2902" s="336">
        <f t="shared" si="263"/>
        <v>2344.6500000000005</v>
      </c>
    </row>
    <row r="2903" spans="6:11" ht="24" customHeight="1">
      <c r="F2903" s="336">
        <v>21.2</v>
      </c>
      <c r="G2903" s="489" t="s">
        <v>576</v>
      </c>
      <c r="H2903" s="338" t="s">
        <v>754</v>
      </c>
      <c r="I2903" s="336">
        <f t="shared" si="262"/>
        <v>468.6</v>
      </c>
      <c r="J2903" s="339" t="s">
        <v>576</v>
      </c>
      <c r="K2903" s="336">
        <f t="shared" si="263"/>
        <v>9934.32</v>
      </c>
    </row>
    <row r="2904" spans="6:11" ht="24" customHeight="1">
      <c r="F2904" s="336">
        <v>35.299999999999997</v>
      </c>
      <c r="G2904" s="489" t="s">
        <v>576</v>
      </c>
      <c r="H2904" s="338" t="s">
        <v>756</v>
      </c>
      <c r="I2904" s="336">
        <f t="shared" si="262"/>
        <v>404.8</v>
      </c>
      <c r="J2904" s="339" t="s">
        <v>576</v>
      </c>
      <c r="K2904" s="336">
        <f t="shared" si="263"/>
        <v>14289.439999999999</v>
      </c>
    </row>
    <row r="2905" spans="6:11" ht="24" customHeight="1">
      <c r="F2905" s="482"/>
      <c r="G2905" s="489" t="s">
        <v>589</v>
      </c>
      <c r="H2905" s="338" t="s">
        <v>590</v>
      </c>
      <c r="I2905" s="338" t="s">
        <v>22</v>
      </c>
      <c r="J2905" s="339" t="s">
        <v>589</v>
      </c>
      <c r="K2905" s="336">
        <v>0</v>
      </c>
    </row>
    <row r="2906" spans="6:11" ht="24" customHeight="1">
      <c r="F2906" s="482"/>
      <c r="G2906" s="483"/>
      <c r="H2906" s="482"/>
      <c r="I2906" s="482"/>
      <c r="J2906" s="485"/>
      <c r="K2906" s="490" t="s">
        <v>534</v>
      </c>
    </row>
    <row r="2907" spans="6:11" ht="24" customHeight="1">
      <c r="F2907" s="482"/>
      <c r="G2907" s="483"/>
      <c r="H2907" s="338" t="s">
        <v>989</v>
      </c>
      <c r="I2907" s="482"/>
      <c r="J2907" s="485"/>
      <c r="K2907" s="336">
        <f>SUM(K2899:K2905)</f>
        <v>59577.350000000006</v>
      </c>
    </row>
    <row r="2908" spans="6:11" ht="24" customHeight="1">
      <c r="F2908" s="482"/>
      <c r="G2908" s="483"/>
      <c r="H2908" s="482"/>
      <c r="I2908" s="482"/>
      <c r="J2908" s="485"/>
      <c r="K2908" s="490" t="s">
        <v>534</v>
      </c>
    </row>
    <row r="2909" spans="6:11" ht="24" customHeight="1">
      <c r="F2909" s="482"/>
      <c r="G2909" s="483"/>
      <c r="H2909" s="338" t="s">
        <v>685</v>
      </c>
      <c r="I2909" s="482"/>
      <c r="J2909" s="485"/>
      <c r="K2909" s="336">
        <f>(K2907/10)</f>
        <v>5957.7350000000006</v>
      </c>
    </row>
    <row r="2910" spans="6:11" ht="24" customHeight="1">
      <c r="F2910" s="482"/>
      <c r="G2910" s="483"/>
      <c r="H2910" s="482"/>
      <c r="I2910" s="482"/>
      <c r="J2910" s="485"/>
      <c r="K2910" s="482"/>
    </row>
    <row r="2911" spans="6:11" ht="24" customHeight="1">
      <c r="F2911" s="336">
        <v>1</v>
      </c>
      <c r="G2911" s="489" t="s">
        <v>577</v>
      </c>
      <c r="H2911" s="338" t="s">
        <v>997</v>
      </c>
      <c r="I2911" s="482"/>
      <c r="J2911" s="485"/>
      <c r="K2911" s="336"/>
    </row>
    <row r="2912" spans="6:11" ht="24" customHeight="1">
      <c r="F2912" s="482"/>
      <c r="G2912" s="483"/>
      <c r="H2912" s="482"/>
      <c r="I2912" s="482"/>
      <c r="J2912" s="485"/>
      <c r="K2912" s="490" t="s">
        <v>534</v>
      </c>
    </row>
    <row r="2913" spans="6:16" ht="24" customHeight="1">
      <c r="F2913" s="482"/>
      <c r="G2913" s="483"/>
      <c r="H2913" s="338" t="s">
        <v>2875</v>
      </c>
      <c r="I2913" s="482"/>
      <c r="J2913" s="485"/>
      <c r="K2913" s="336">
        <f>SUM(K2909:K2911)</f>
        <v>5957.7350000000006</v>
      </c>
    </row>
    <row r="2914" spans="6:16" ht="24" customHeight="1">
      <c r="F2914" s="482"/>
      <c r="G2914" s="483"/>
      <c r="H2914" s="482"/>
      <c r="I2914" s="482"/>
      <c r="J2914" s="485"/>
      <c r="K2914" s="490" t="s">
        <v>534</v>
      </c>
    </row>
    <row r="2915" spans="6:16" ht="24" customHeight="1">
      <c r="F2915" s="482"/>
      <c r="G2915" s="489" t="s">
        <v>1212</v>
      </c>
      <c r="H2915" s="338" t="s">
        <v>789</v>
      </c>
      <c r="I2915" s="482"/>
      <c r="J2915" s="485"/>
      <c r="K2915" s="336">
        <f>K2913+C22</f>
        <v>6043.755000000001</v>
      </c>
    </row>
    <row r="2916" spans="6:16" ht="24" customHeight="1">
      <c r="F2916" s="482"/>
      <c r="G2916" s="489" t="s">
        <v>1214</v>
      </c>
      <c r="H2916" s="338" t="s">
        <v>793</v>
      </c>
      <c r="I2916" s="482"/>
      <c r="J2916" s="485"/>
      <c r="K2916" s="336">
        <f>K2915+C23</f>
        <v>6213.1550000000007</v>
      </c>
    </row>
    <row r="2917" spans="6:16" ht="24" customHeight="1">
      <c r="F2917" s="482"/>
      <c r="G2917" s="489" t="s">
        <v>1216</v>
      </c>
      <c r="H2917" s="338" t="s">
        <v>796</v>
      </c>
      <c r="I2917" s="482"/>
      <c r="J2917" s="485"/>
      <c r="K2917" s="336">
        <f>K2916+C23</f>
        <v>6382.5550000000003</v>
      </c>
    </row>
    <row r="2918" spans="6:16" ht="24" customHeight="1">
      <c r="F2918" s="482"/>
      <c r="G2918" s="489" t="s">
        <v>1218</v>
      </c>
      <c r="H2918" s="338" t="s">
        <v>798</v>
      </c>
      <c r="I2918" s="482"/>
      <c r="J2918" s="485"/>
      <c r="K2918" s="336">
        <f>K2917+C23</f>
        <v>6551.9549999999999</v>
      </c>
    </row>
    <row r="2919" spans="6:16" ht="24" customHeight="1">
      <c r="F2919" s="482"/>
      <c r="G2919" s="483"/>
      <c r="H2919" s="482"/>
      <c r="I2919" s="482"/>
      <c r="J2919" s="485"/>
      <c r="K2919" s="482"/>
    </row>
    <row r="2920" spans="6:16" ht="24" customHeight="1">
      <c r="F2920" s="482"/>
      <c r="G2920" s="487"/>
      <c r="H2920" s="545"/>
      <c r="I2920" s="482"/>
      <c r="J2920" s="535"/>
      <c r="K2920" s="482"/>
    </row>
    <row r="2921" spans="6:16" ht="24" customHeight="1">
      <c r="F2921" s="482"/>
      <c r="G2921" s="483"/>
      <c r="H2921" s="488" t="s">
        <v>2876</v>
      </c>
      <c r="I2921" s="482"/>
      <c r="J2921" s="535"/>
      <c r="K2921" s="482"/>
    </row>
    <row r="2922" spans="6:16" ht="24" customHeight="1">
      <c r="F2922" s="482"/>
      <c r="G2922" s="483"/>
      <c r="H2922" s="482"/>
      <c r="I2922" s="482"/>
      <c r="J2922" s="535"/>
      <c r="K2922" s="482"/>
    </row>
    <row r="2923" spans="6:16" ht="24" customHeight="1">
      <c r="F2923" s="537"/>
      <c r="G2923" s="483"/>
      <c r="H2923" s="482" t="s">
        <v>2877</v>
      </c>
      <c r="I2923" s="482"/>
      <c r="J2923" s="483"/>
      <c r="K2923" s="482"/>
    </row>
    <row r="2924" spans="6:16" ht="24" customHeight="1">
      <c r="F2924" s="501"/>
      <c r="G2924" s="483"/>
      <c r="H2924" s="482" t="s">
        <v>2878</v>
      </c>
      <c r="I2924" s="482"/>
      <c r="J2924" s="483"/>
      <c r="K2924" s="482"/>
    </row>
    <row r="2925" spans="6:16" ht="24" customHeight="1">
      <c r="F2925" s="482"/>
      <c r="G2925" s="483"/>
      <c r="H2925" s="535" t="s">
        <v>2879</v>
      </c>
      <c r="I2925" s="482"/>
      <c r="J2925" s="486"/>
      <c r="K2925" s="482"/>
      <c r="P2925" s="76">
        <f>0.35*4</f>
        <v>1.4</v>
      </c>
    </row>
    <row r="2926" spans="6:16" ht="24" customHeight="1">
      <c r="F2926" s="482"/>
      <c r="G2926" s="483"/>
      <c r="H2926" s="492" t="s">
        <v>2880</v>
      </c>
      <c r="I2926" s="488"/>
      <c r="J2926" s="487"/>
      <c r="K2926" s="488"/>
      <c r="P2926" s="76">
        <f>0.3*4</f>
        <v>1.2</v>
      </c>
    </row>
    <row r="2927" spans="6:16" ht="24" customHeight="1">
      <c r="F2927" s="482"/>
      <c r="G2927" s="483"/>
      <c r="H2927" s="482" t="s">
        <v>2881</v>
      </c>
      <c r="I2927" s="482"/>
      <c r="J2927" s="535"/>
      <c r="K2927" s="482"/>
      <c r="P2927" s="76">
        <f>1.28*2</f>
        <v>2.56</v>
      </c>
    </row>
    <row r="2928" spans="6:16" ht="24" customHeight="1">
      <c r="F2928" s="482"/>
      <c r="G2928" s="483"/>
      <c r="H2928" s="488" t="s">
        <v>314</v>
      </c>
      <c r="I2928" s="482"/>
      <c r="J2928" s="535"/>
      <c r="K2928" s="482"/>
      <c r="P2928" s="76" t="s">
        <v>2882</v>
      </c>
    </row>
    <row r="2929" spans="6:11" ht="24" customHeight="1">
      <c r="F2929" s="537">
        <v>3.5999999999999997E-2</v>
      </c>
      <c r="G2929" s="483" t="s">
        <v>238</v>
      </c>
      <c r="H2929" s="482" t="s">
        <v>2883</v>
      </c>
      <c r="I2929" s="482">
        <f>K2915</f>
        <v>6043.755000000001</v>
      </c>
      <c r="J2929" s="483" t="s">
        <v>238</v>
      </c>
      <c r="K2929" s="482">
        <f>F2929*I2929</f>
        <v>217.57518000000002</v>
      </c>
    </row>
    <row r="2930" spans="6:11" ht="24" customHeight="1">
      <c r="F2930" s="501">
        <v>3.0649999999999999</v>
      </c>
      <c r="G2930" s="483" t="s">
        <v>31</v>
      </c>
      <c r="H2930" s="546" t="s">
        <v>2884</v>
      </c>
      <c r="I2930" s="482">
        <f>K1582/1000</f>
        <v>68.691999999999993</v>
      </c>
      <c r="J2930" s="483" t="s">
        <v>31</v>
      </c>
      <c r="K2930" s="482">
        <f>F2930*I2930</f>
        <v>210.54097999999996</v>
      </c>
    </row>
    <row r="2931" spans="6:11" ht="24" customHeight="1">
      <c r="F2931" s="501">
        <v>0.79800000000000004</v>
      </c>
      <c r="G2931" s="483" t="s">
        <v>141</v>
      </c>
      <c r="H2931" s="482" t="s">
        <v>2885</v>
      </c>
      <c r="I2931" s="482">
        <f>I2358</f>
        <v>852.177864</v>
      </c>
      <c r="J2931" s="483" t="s">
        <v>141</v>
      </c>
      <c r="K2931" s="482">
        <f>F2931*I2931</f>
        <v>680.03793547200007</v>
      </c>
    </row>
    <row r="2932" spans="6:11" ht="24" customHeight="1">
      <c r="F2932" s="482"/>
      <c r="G2932" s="483"/>
      <c r="H2932" s="487" t="s">
        <v>2886</v>
      </c>
      <c r="I2932" s="488"/>
      <c r="J2932" s="487" t="s">
        <v>2797</v>
      </c>
      <c r="K2932" s="488">
        <f>SUM(K2929:K2931)</f>
        <v>1108.1540954720001</v>
      </c>
    </row>
    <row r="2933" spans="6:11" ht="24" customHeight="1">
      <c r="F2933" s="537"/>
      <c r="G2933" s="483"/>
      <c r="H2933" s="487" t="s">
        <v>2561</v>
      </c>
      <c r="I2933" s="482"/>
      <c r="J2933" s="487" t="s">
        <v>2797</v>
      </c>
      <c r="K2933" s="488">
        <f>K2932/2.1</f>
        <v>527.69242641523817</v>
      </c>
    </row>
    <row r="2934" spans="6:11" ht="24" customHeight="1">
      <c r="F2934" s="501"/>
      <c r="G2934" s="483"/>
      <c r="H2934" s="482"/>
      <c r="I2934" s="482"/>
      <c r="J2934" s="483"/>
      <c r="K2934" s="482"/>
    </row>
    <row r="2935" spans="6:11" ht="24" customHeight="1">
      <c r="F2935" s="482"/>
      <c r="G2935" s="483"/>
      <c r="H2935" s="486"/>
      <c r="I2935" s="482"/>
      <c r="J2935" s="486"/>
      <c r="K2935" s="482"/>
    </row>
    <row r="2936" spans="6:11" ht="24" customHeight="1">
      <c r="F2936" s="482"/>
      <c r="G2936" s="483"/>
      <c r="H2936" s="487"/>
      <c r="I2936" s="488"/>
      <c r="J2936" s="487"/>
      <c r="K2936" s="488"/>
    </row>
    <row r="2937" spans="6:11" ht="24" customHeight="1">
      <c r="F2937" s="482"/>
      <c r="G2937" s="483"/>
      <c r="H2937" s="488" t="s">
        <v>315</v>
      </c>
      <c r="I2937" s="482"/>
      <c r="J2937" s="535"/>
      <c r="K2937" s="482"/>
    </row>
    <row r="2938" spans="6:11" ht="56.25" customHeight="1">
      <c r="F2938" s="537">
        <v>3.5999999999999997E-2</v>
      </c>
      <c r="G2938" s="483" t="s">
        <v>238</v>
      </c>
      <c r="H2938" s="482" t="s">
        <v>2883</v>
      </c>
      <c r="I2938" s="482">
        <f>K2916</f>
        <v>6213.1550000000007</v>
      </c>
      <c r="J2938" s="483" t="s">
        <v>238</v>
      </c>
      <c r="K2938" s="482">
        <f>F2938*I2938</f>
        <v>223.67358000000002</v>
      </c>
    </row>
    <row r="2939" spans="6:11" ht="24" customHeight="1">
      <c r="F2939" s="501">
        <v>3.0649999999999999</v>
      </c>
      <c r="G2939" s="483" t="s">
        <v>31</v>
      </c>
      <c r="H2939" s="546" t="s">
        <v>2884</v>
      </c>
      <c r="I2939" s="482">
        <f>K1582/1000</f>
        <v>68.691999999999993</v>
      </c>
      <c r="J2939" s="483" t="s">
        <v>31</v>
      </c>
      <c r="K2939" s="482">
        <f>F2939*I2939</f>
        <v>210.54097999999996</v>
      </c>
    </row>
    <row r="2940" spans="6:11" ht="24" customHeight="1">
      <c r="F2940" s="501">
        <v>0.79800000000000004</v>
      </c>
      <c r="G2940" s="483" t="s">
        <v>141</v>
      </c>
      <c r="H2940" s="482" t="s">
        <v>2885</v>
      </c>
      <c r="I2940" s="482">
        <f>I2358</f>
        <v>852.177864</v>
      </c>
      <c r="J2940" s="483" t="s">
        <v>141</v>
      </c>
      <c r="K2940" s="482">
        <f>F2940*I2940</f>
        <v>680.03793547200007</v>
      </c>
    </row>
    <row r="2941" spans="6:11" ht="24" customHeight="1">
      <c r="F2941" s="482"/>
      <c r="G2941" s="483"/>
      <c r="H2941" s="487" t="s">
        <v>2886</v>
      </c>
      <c r="I2941" s="488"/>
      <c r="J2941" s="487" t="s">
        <v>2797</v>
      </c>
      <c r="K2941" s="488">
        <f>SUM(K2938:K2940)</f>
        <v>1114.2524954720002</v>
      </c>
    </row>
    <row r="2942" spans="6:11" ht="24" customHeight="1">
      <c r="F2942" s="537"/>
      <c r="G2942" s="483"/>
      <c r="H2942" s="487" t="s">
        <v>2561</v>
      </c>
      <c r="I2942" s="482"/>
      <c r="J2942" s="487" t="s">
        <v>2797</v>
      </c>
      <c r="K2942" s="488">
        <f>K2941/2.1</f>
        <v>530.59642641523817</v>
      </c>
    </row>
    <row r="2943" spans="6:11" ht="24" customHeight="1">
      <c r="F2943" s="501"/>
      <c r="G2943" s="483"/>
      <c r="H2943" s="482"/>
      <c r="I2943" s="482"/>
      <c r="J2943" s="483"/>
      <c r="K2943" s="482"/>
    </row>
    <row r="2944" spans="6:11" ht="24" customHeight="1">
      <c r="F2944" s="482"/>
      <c r="G2944" s="483"/>
      <c r="H2944" s="482"/>
      <c r="I2944" s="482"/>
      <c r="J2944" s="535"/>
      <c r="K2944" s="482"/>
    </row>
    <row r="2945" spans="6:11" ht="24" customHeight="1">
      <c r="F2945" s="482"/>
      <c r="G2945" s="483"/>
      <c r="H2945" s="482"/>
      <c r="I2945" s="482"/>
      <c r="J2945" s="535"/>
      <c r="K2945" s="482"/>
    </row>
    <row r="2946" spans="6:11" ht="24" customHeight="1">
      <c r="F2946" s="482"/>
      <c r="G2946" s="483"/>
      <c r="H2946" s="482"/>
      <c r="I2946" s="482"/>
      <c r="J2946" s="535"/>
      <c r="K2946" s="482"/>
    </row>
    <row r="2947" spans="6:11" ht="24" customHeight="1">
      <c r="F2947" s="482"/>
      <c r="G2947" s="483"/>
      <c r="H2947" s="488" t="s">
        <v>2887</v>
      </c>
      <c r="I2947" s="482"/>
      <c r="J2947" s="535"/>
      <c r="K2947" s="482"/>
    </row>
    <row r="2948" spans="6:11" ht="24" customHeight="1">
      <c r="F2948" s="537">
        <v>3.5999999999999997E-2</v>
      </c>
      <c r="G2948" s="483" t="s">
        <v>238</v>
      </c>
      <c r="H2948" s="482" t="s">
        <v>2883</v>
      </c>
      <c r="I2948" s="482">
        <f>K2917</f>
        <v>6382.5550000000003</v>
      </c>
      <c r="J2948" s="483" t="s">
        <v>238</v>
      </c>
      <c r="K2948" s="482">
        <f>F2948*I2948</f>
        <v>229.77197999999999</v>
      </c>
    </row>
    <row r="2949" spans="6:11" ht="24" customHeight="1">
      <c r="F2949" s="501">
        <v>3.0649999999999999</v>
      </c>
      <c r="G2949" s="483" t="s">
        <v>31</v>
      </c>
      <c r="H2949" s="546" t="s">
        <v>2884</v>
      </c>
      <c r="I2949" s="482">
        <f>I2930</f>
        <v>68.691999999999993</v>
      </c>
      <c r="J2949" s="483" t="s">
        <v>31</v>
      </c>
      <c r="K2949" s="482">
        <f>F2949*I2949</f>
        <v>210.54097999999996</v>
      </c>
    </row>
    <row r="2950" spans="6:11" ht="24" customHeight="1">
      <c r="F2950" s="501">
        <v>0.79800000000000004</v>
      </c>
      <c r="G2950" s="483" t="s">
        <v>141</v>
      </c>
      <c r="H2950" s="482" t="s">
        <v>2885</v>
      </c>
      <c r="I2950" s="482">
        <f>I2931</f>
        <v>852.177864</v>
      </c>
      <c r="J2950" s="483" t="s">
        <v>141</v>
      </c>
      <c r="K2950" s="482">
        <f>F2950*I2950</f>
        <v>680.03793547200007</v>
      </c>
    </row>
    <row r="2951" spans="6:11" ht="24" customHeight="1">
      <c r="F2951" s="482"/>
      <c r="G2951" s="483"/>
      <c r="H2951" s="487" t="s">
        <v>2886</v>
      </c>
      <c r="I2951" s="488"/>
      <c r="J2951" s="487" t="s">
        <v>2797</v>
      </c>
      <c r="K2951" s="488">
        <f>SUM(K2948:K2950)</f>
        <v>1120.350895472</v>
      </c>
    </row>
    <row r="2952" spans="6:11" ht="24" customHeight="1">
      <c r="F2952" s="537"/>
      <c r="G2952" s="483"/>
      <c r="H2952" s="487" t="s">
        <v>2561</v>
      </c>
      <c r="I2952" s="482"/>
      <c r="J2952" s="487" t="s">
        <v>2797</v>
      </c>
      <c r="K2952" s="488">
        <f>K2951/2.1</f>
        <v>533.50042641523805</v>
      </c>
    </row>
    <row r="2953" spans="6:11" ht="24" customHeight="1">
      <c r="F2953" s="501"/>
      <c r="G2953" s="483"/>
      <c r="H2953" s="482"/>
      <c r="I2953" s="482"/>
      <c r="J2953" s="483"/>
      <c r="K2953" s="482"/>
    </row>
    <row r="2954" spans="6:11" ht="24" customHeight="1">
      <c r="F2954" s="482"/>
      <c r="G2954" s="483"/>
      <c r="H2954" s="482"/>
      <c r="I2954" s="482"/>
      <c r="J2954" s="535"/>
      <c r="K2954" s="482"/>
    </row>
    <row r="2955" spans="6:11" ht="24" customHeight="1">
      <c r="F2955" s="482"/>
      <c r="G2955" s="483"/>
      <c r="H2955" s="482"/>
      <c r="I2955" s="482"/>
      <c r="J2955" s="535"/>
      <c r="K2955" s="482"/>
    </row>
    <row r="2956" spans="6:11" ht="24" customHeight="1">
      <c r="F2956" s="482"/>
      <c r="G2956" s="483"/>
      <c r="H2956" s="488" t="s">
        <v>2888</v>
      </c>
      <c r="I2956" s="482"/>
      <c r="J2956" s="535"/>
      <c r="K2956" s="482"/>
    </row>
    <row r="2957" spans="6:11" ht="24" customHeight="1">
      <c r="F2957" s="537">
        <v>3.5999999999999997E-2</v>
      </c>
      <c r="G2957" s="483" t="s">
        <v>238</v>
      </c>
      <c r="H2957" s="482" t="s">
        <v>2883</v>
      </c>
      <c r="I2957" s="482">
        <f>K2918</f>
        <v>6551.9549999999999</v>
      </c>
      <c r="J2957" s="483" t="s">
        <v>238</v>
      </c>
      <c r="K2957" s="482">
        <f>F2957*I2957</f>
        <v>235.87037999999998</v>
      </c>
    </row>
    <row r="2958" spans="6:11" ht="24" customHeight="1">
      <c r="F2958" s="501">
        <v>3.0649999999999999</v>
      </c>
      <c r="G2958" s="483" t="s">
        <v>31</v>
      </c>
      <c r="H2958" s="546" t="s">
        <v>2884</v>
      </c>
      <c r="I2958" s="482">
        <f>I2949</f>
        <v>68.691999999999993</v>
      </c>
      <c r="J2958" s="483" t="s">
        <v>31</v>
      </c>
      <c r="K2958" s="482">
        <f>F2958*I2958</f>
        <v>210.54097999999996</v>
      </c>
    </row>
    <row r="2959" spans="6:11" ht="24" customHeight="1">
      <c r="F2959" s="501">
        <v>0.79800000000000004</v>
      </c>
      <c r="G2959" s="483" t="s">
        <v>141</v>
      </c>
      <c r="H2959" s="482" t="s">
        <v>2885</v>
      </c>
      <c r="I2959" s="482">
        <f>I2950</f>
        <v>852.177864</v>
      </c>
      <c r="J2959" s="483" t="s">
        <v>141</v>
      </c>
      <c r="K2959" s="482">
        <f>F2959*I2959</f>
        <v>680.03793547200007</v>
      </c>
    </row>
    <row r="2960" spans="6:11" ht="24" customHeight="1">
      <c r="F2960" s="482"/>
      <c r="G2960" s="483"/>
      <c r="H2960" s="487" t="s">
        <v>2886</v>
      </c>
      <c r="I2960" s="488"/>
      <c r="J2960" s="487" t="s">
        <v>2797</v>
      </c>
      <c r="K2960" s="488">
        <f>SUM(K2957:K2959)</f>
        <v>1126.4492954719999</v>
      </c>
    </row>
    <row r="2961" spans="6:15" ht="24" customHeight="1">
      <c r="F2961" s="537"/>
      <c r="G2961" s="483"/>
      <c r="H2961" s="487" t="s">
        <v>2561</v>
      </c>
      <c r="I2961" s="482"/>
      <c r="J2961" s="487" t="s">
        <v>2797</v>
      </c>
      <c r="K2961" s="488">
        <f>K2960/2.1</f>
        <v>536.40442641523805</v>
      </c>
    </row>
    <row r="2962" spans="6:15" ht="24" customHeight="1">
      <c r="F2962" s="501"/>
      <c r="G2962" s="483"/>
      <c r="H2962" s="482"/>
      <c r="I2962" s="482"/>
      <c r="J2962" s="483"/>
      <c r="K2962" s="482"/>
    </row>
    <row r="2963" spans="6:15" ht="24" customHeight="1">
      <c r="F2963" s="482"/>
      <c r="G2963" s="483"/>
      <c r="H2963" s="482"/>
      <c r="I2963" s="482"/>
      <c r="J2963" s="485"/>
      <c r="K2963" s="482"/>
    </row>
    <row r="2964" spans="6:15" ht="24" customHeight="1">
      <c r="F2964" s="482"/>
      <c r="G2964" s="483"/>
      <c r="H2964" s="482"/>
      <c r="I2964" s="482"/>
      <c r="J2964" s="485"/>
      <c r="K2964" s="482"/>
    </row>
    <row r="2965" spans="6:15" ht="24" customHeight="1">
      <c r="F2965" s="482"/>
      <c r="G2965" s="483"/>
      <c r="H2965" s="482"/>
      <c r="I2965" s="482">
        <f>160*10.76</f>
        <v>1721.6</v>
      </c>
      <c r="J2965" s="485"/>
      <c r="K2965" s="482"/>
    </row>
    <row r="2966" spans="6:15" ht="24" customHeight="1">
      <c r="F2966" s="339" t="s">
        <v>1772</v>
      </c>
      <c r="G2966" s="489" t="s">
        <v>307</v>
      </c>
      <c r="H2966" s="338" t="s">
        <v>2849</v>
      </c>
      <c r="I2966" s="482">
        <f>148*10.76</f>
        <v>1592.48</v>
      </c>
      <c r="J2966" s="485"/>
      <c r="K2966" s="482"/>
    </row>
    <row r="2967" spans="6:15" ht="24" customHeight="1">
      <c r="F2967" s="482"/>
      <c r="G2967" s="483"/>
      <c r="H2967" s="338" t="s">
        <v>1774</v>
      </c>
      <c r="I2967" s="482"/>
      <c r="J2967" s="485"/>
      <c r="K2967" s="482"/>
    </row>
    <row r="2968" spans="6:15" ht="24" customHeight="1">
      <c r="F2968" s="482"/>
      <c r="G2968" s="483"/>
      <c r="H2968" s="338" t="s">
        <v>1803</v>
      </c>
      <c r="I2968" s="482"/>
      <c r="J2968" s="485"/>
      <c r="K2968" s="482"/>
    </row>
    <row r="2969" spans="6:15" ht="24" customHeight="1">
      <c r="F2969" s="482"/>
      <c r="G2969" s="483"/>
      <c r="H2969" s="490" t="s">
        <v>534</v>
      </c>
      <c r="I2969" s="537">
        <f>1.4*2.025</f>
        <v>2.8349999999999995</v>
      </c>
      <c r="J2969" s="485"/>
      <c r="K2969" s="482"/>
    </row>
    <row r="2970" spans="6:15" ht="24" customHeight="1">
      <c r="F2970" s="482"/>
      <c r="G2970" s="483"/>
      <c r="H2970" s="338" t="s">
        <v>2889</v>
      </c>
      <c r="I2970" s="482"/>
      <c r="J2970" s="485"/>
      <c r="K2970" s="482"/>
    </row>
    <row r="2971" spans="6:15" ht="24" customHeight="1">
      <c r="F2971" s="482"/>
      <c r="G2971" s="483"/>
      <c r="H2971" s="482"/>
      <c r="I2971" s="482"/>
      <c r="J2971" s="485"/>
      <c r="K2971" s="482"/>
    </row>
    <row r="2972" spans="6:15" ht="44.25" customHeight="1">
      <c r="F2972" s="501">
        <v>1.64</v>
      </c>
      <c r="G2972" s="489" t="s">
        <v>916</v>
      </c>
      <c r="H2972" s="499" t="s">
        <v>2851</v>
      </c>
      <c r="I2972" s="547">
        <f>I2836</f>
        <v>2370</v>
      </c>
      <c r="J2972" s="339" t="s">
        <v>916</v>
      </c>
      <c r="K2972" s="482">
        <f>F2973*I2972</f>
        <v>3886.7999999999997</v>
      </c>
    </row>
    <row r="2973" spans="6:15" ht="24" customHeight="1">
      <c r="F2973" s="524">
        <v>1.64</v>
      </c>
      <c r="G2973" s="489" t="s">
        <v>916</v>
      </c>
      <c r="H2973" s="338" t="s">
        <v>1787</v>
      </c>
      <c r="I2973" s="482">
        <f t="shared" ref="I2973:I2979" si="264">I2837</f>
        <v>140</v>
      </c>
      <c r="J2973" s="339" t="s">
        <v>916</v>
      </c>
      <c r="K2973" s="336">
        <f t="shared" ref="K2973:K2979" si="265">(F2973*I2973)</f>
        <v>229.6</v>
      </c>
      <c r="O2973" s="338" t="s">
        <v>2849</v>
      </c>
    </row>
    <row r="2974" spans="6:15" ht="24" customHeight="1">
      <c r="F2974" s="336">
        <v>2</v>
      </c>
      <c r="G2974" s="489" t="s">
        <v>680</v>
      </c>
      <c r="H2974" s="338" t="s">
        <v>1788</v>
      </c>
      <c r="I2974" s="482">
        <f t="shared" si="264"/>
        <v>50.4</v>
      </c>
      <c r="J2974" s="339" t="s">
        <v>576</v>
      </c>
      <c r="K2974" s="336">
        <f t="shared" si="265"/>
        <v>100.8</v>
      </c>
      <c r="O2974" s="338" t="s">
        <v>1774</v>
      </c>
    </row>
    <row r="2975" spans="6:15" ht="24" customHeight="1">
      <c r="F2975" s="336">
        <v>3</v>
      </c>
      <c r="G2975" s="489" t="s">
        <v>576</v>
      </c>
      <c r="H2975" s="338" t="s">
        <v>1789</v>
      </c>
      <c r="I2975" s="482">
        <f t="shared" si="264"/>
        <v>78.400000000000006</v>
      </c>
      <c r="J2975" s="339" t="s">
        <v>576</v>
      </c>
      <c r="K2975" s="336">
        <f t="shared" si="265"/>
        <v>235.20000000000002</v>
      </c>
      <c r="O2975" s="338" t="s">
        <v>2890</v>
      </c>
    </row>
    <row r="2976" spans="6:15" ht="24" customHeight="1">
      <c r="F2976" s="336">
        <v>2</v>
      </c>
      <c r="G2976" s="489" t="s">
        <v>576</v>
      </c>
      <c r="H2976" s="338" t="s">
        <v>1791</v>
      </c>
      <c r="I2976" s="482">
        <f t="shared" si="264"/>
        <v>56.7</v>
      </c>
      <c r="J2976" s="339" t="s">
        <v>576</v>
      </c>
      <c r="K2976" s="336">
        <f t="shared" si="265"/>
        <v>113.4</v>
      </c>
      <c r="O2976" s="490" t="s">
        <v>534</v>
      </c>
    </row>
    <row r="2977" spans="6:18" ht="24" customHeight="1">
      <c r="F2977" s="336">
        <v>1</v>
      </c>
      <c r="G2977" s="489" t="s">
        <v>576</v>
      </c>
      <c r="H2977" s="338" t="s">
        <v>1793</v>
      </c>
      <c r="I2977" s="482">
        <f t="shared" si="264"/>
        <v>158.19999999999999</v>
      </c>
      <c r="J2977" s="339" t="s">
        <v>576</v>
      </c>
      <c r="K2977" s="336">
        <f t="shared" si="265"/>
        <v>158.19999999999999</v>
      </c>
      <c r="L2977" s="76" t="s">
        <v>22</v>
      </c>
      <c r="O2977" s="338" t="s">
        <v>2891</v>
      </c>
    </row>
    <row r="2978" spans="6:18" ht="24" customHeight="1">
      <c r="F2978" s="336">
        <v>1</v>
      </c>
      <c r="G2978" s="489" t="s">
        <v>576</v>
      </c>
      <c r="H2978" s="338" t="s">
        <v>1795</v>
      </c>
      <c r="I2978" s="482">
        <f t="shared" si="264"/>
        <v>7.3</v>
      </c>
      <c r="J2978" s="339" t="s">
        <v>576</v>
      </c>
      <c r="K2978" s="336">
        <f t="shared" si="265"/>
        <v>7.3</v>
      </c>
    </row>
    <row r="2979" spans="6:18" ht="39.75" customHeight="1">
      <c r="F2979" s="336">
        <v>1</v>
      </c>
      <c r="G2979" s="489" t="s">
        <v>576</v>
      </c>
      <c r="H2979" s="338" t="s">
        <v>941</v>
      </c>
      <c r="I2979" s="482">
        <f t="shared" si="264"/>
        <v>43.8</v>
      </c>
      <c r="J2979" s="339" t="s">
        <v>576</v>
      </c>
      <c r="K2979" s="336">
        <f t="shared" si="265"/>
        <v>43.8</v>
      </c>
      <c r="M2979" s="501">
        <v>2.2549999999999999</v>
      </c>
      <c r="N2979" s="489" t="s">
        <v>916</v>
      </c>
      <c r="O2979" s="499" t="s">
        <v>2851</v>
      </c>
      <c r="P2979" s="548">
        <f>I2972</f>
        <v>2370</v>
      </c>
      <c r="Q2979" s="339" t="s">
        <v>916</v>
      </c>
      <c r="R2979" s="482">
        <f>M2980*P2979</f>
        <v>5344.3499999999995</v>
      </c>
    </row>
    <row r="2980" spans="6:18" ht="24" customHeight="1">
      <c r="F2980" s="482"/>
      <c r="G2980" s="483"/>
      <c r="H2980" s="482"/>
      <c r="I2980" s="482"/>
      <c r="J2980" s="485"/>
      <c r="K2980" s="494">
        <v>0.63</v>
      </c>
      <c r="M2980" s="524">
        <v>2.2549999999999999</v>
      </c>
      <c r="N2980" s="489" t="s">
        <v>916</v>
      </c>
      <c r="O2980" s="338" t="s">
        <v>1787</v>
      </c>
      <c r="P2980" s="548">
        <f t="shared" ref="P2980:P2986" si="266">I2973</f>
        <v>140</v>
      </c>
      <c r="Q2980" s="339" t="s">
        <v>916</v>
      </c>
      <c r="R2980" s="336">
        <f t="shared" ref="R2980:R2986" si="267">(M2980*P2980)</f>
        <v>315.7</v>
      </c>
    </row>
    <row r="2981" spans="6:18" ht="24" customHeight="1">
      <c r="F2981" s="482"/>
      <c r="G2981" s="483"/>
      <c r="H2981" s="338" t="s">
        <v>2892</v>
      </c>
      <c r="I2981" s="482"/>
      <c r="J2981" s="485"/>
      <c r="K2981" s="336">
        <f>SUM(K2972:K2980)</f>
        <v>4775.7299999999996</v>
      </c>
      <c r="M2981" s="336">
        <v>2</v>
      </c>
      <c r="N2981" s="489" t="s">
        <v>680</v>
      </c>
      <c r="O2981" s="338" t="s">
        <v>1788</v>
      </c>
      <c r="P2981" s="548">
        <f t="shared" si="266"/>
        <v>50.4</v>
      </c>
      <c r="Q2981" s="339" t="s">
        <v>576</v>
      </c>
      <c r="R2981" s="336">
        <f t="shared" si="267"/>
        <v>100.8</v>
      </c>
    </row>
    <row r="2982" spans="6:18" ht="24" customHeight="1">
      <c r="F2982" s="482"/>
      <c r="G2982" s="483"/>
      <c r="H2982" s="482"/>
      <c r="I2982" s="482"/>
      <c r="J2982" s="485"/>
      <c r="K2982" s="490" t="s">
        <v>534</v>
      </c>
      <c r="M2982" s="336">
        <v>3</v>
      </c>
      <c r="N2982" s="489" t="s">
        <v>576</v>
      </c>
      <c r="O2982" s="338" t="s">
        <v>1789</v>
      </c>
      <c r="P2982" s="548">
        <f t="shared" si="266"/>
        <v>78.400000000000006</v>
      </c>
      <c r="Q2982" s="339" t="s">
        <v>576</v>
      </c>
      <c r="R2982" s="336">
        <f t="shared" si="267"/>
        <v>235.20000000000002</v>
      </c>
    </row>
    <row r="2983" spans="6:18" ht="24" customHeight="1">
      <c r="F2983" s="482"/>
      <c r="G2983" s="483"/>
      <c r="H2983" s="338" t="s">
        <v>881</v>
      </c>
      <c r="I2983" s="482"/>
      <c r="J2983" s="485"/>
      <c r="K2983" s="336">
        <f>K2981/F2973</f>
        <v>2912.0304878048778</v>
      </c>
      <c r="M2983" s="336">
        <v>2</v>
      </c>
      <c r="N2983" s="489" t="s">
        <v>576</v>
      </c>
      <c r="O2983" s="338" t="s">
        <v>1791</v>
      </c>
      <c r="P2983" s="548">
        <f t="shared" si="266"/>
        <v>56.7</v>
      </c>
      <c r="Q2983" s="339" t="s">
        <v>576</v>
      </c>
      <c r="R2983" s="336">
        <f t="shared" si="267"/>
        <v>113.4</v>
      </c>
    </row>
    <row r="2984" spans="6:18" ht="24" customHeight="1">
      <c r="F2984" s="338" t="s">
        <v>22</v>
      </c>
      <c r="G2984" s="483"/>
      <c r="H2984" s="482"/>
      <c r="I2984" s="482"/>
      <c r="J2984" s="485"/>
      <c r="K2984" s="482"/>
      <c r="M2984" s="336">
        <v>1</v>
      </c>
      <c r="N2984" s="489" t="s">
        <v>576</v>
      </c>
      <c r="O2984" s="338" t="s">
        <v>1793</v>
      </c>
      <c r="P2984" s="548">
        <f t="shared" si="266"/>
        <v>158.19999999999999</v>
      </c>
      <c r="Q2984" s="339" t="s">
        <v>576</v>
      </c>
      <c r="R2984" s="336">
        <f t="shared" si="267"/>
        <v>158.19999999999999</v>
      </c>
    </row>
    <row r="2985" spans="6:18" ht="24" customHeight="1">
      <c r="F2985" s="482"/>
      <c r="G2985" s="483"/>
      <c r="H2985" s="482"/>
      <c r="I2985" s="482"/>
      <c r="J2985" s="485"/>
      <c r="K2985" s="482"/>
      <c r="M2985" s="336">
        <v>1</v>
      </c>
      <c r="N2985" s="489" t="s">
        <v>576</v>
      </c>
      <c r="O2985" s="338" t="s">
        <v>1795</v>
      </c>
      <c r="P2985" s="548">
        <f t="shared" si="266"/>
        <v>7.3</v>
      </c>
      <c r="Q2985" s="339" t="s">
        <v>576</v>
      </c>
      <c r="R2985" s="336">
        <f t="shared" si="267"/>
        <v>7.3</v>
      </c>
    </row>
    <row r="2986" spans="6:18" ht="24" customHeight="1">
      <c r="F2986" s="507" t="s">
        <v>2893</v>
      </c>
      <c r="G2986" s="510"/>
      <c r="H2986" s="507"/>
      <c r="I2986" s="507"/>
      <c r="J2986" s="508"/>
      <c r="K2986" s="507"/>
      <c r="M2986" s="336">
        <v>1</v>
      </c>
      <c r="N2986" s="489" t="s">
        <v>576</v>
      </c>
      <c r="O2986" s="338" t="s">
        <v>941</v>
      </c>
      <c r="P2986" s="548">
        <f t="shared" si="266"/>
        <v>43.8</v>
      </c>
      <c r="Q2986" s="339" t="s">
        <v>576</v>
      </c>
      <c r="R2986" s="336">
        <f t="shared" si="267"/>
        <v>43.8</v>
      </c>
    </row>
    <row r="2987" spans="6:18" ht="24" customHeight="1">
      <c r="F2987" s="507"/>
      <c r="G2987" s="510"/>
      <c r="H2987" s="507"/>
      <c r="I2987" s="507"/>
      <c r="J2987" s="508"/>
      <c r="K2987" s="507"/>
      <c r="M2987" s="482"/>
      <c r="N2987" s="483"/>
      <c r="O2987" s="482"/>
      <c r="P2987" s="482"/>
      <c r="Q2987" s="485"/>
      <c r="R2987" s="490" t="s">
        <v>534</v>
      </c>
    </row>
    <row r="2988" spans="6:18" ht="24" customHeight="1">
      <c r="F2988" s="507" t="s">
        <v>2894</v>
      </c>
      <c r="G2988" s="510"/>
      <c r="H2988" s="507"/>
      <c r="I2988" s="507"/>
      <c r="J2988" s="508"/>
      <c r="K2988" s="507"/>
      <c r="M2988" s="482"/>
      <c r="N2988" s="483"/>
      <c r="O2988" s="338" t="s">
        <v>2895</v>
      </c>
      <c r="P2988" s="482"/>
      <c r="Q2988" s="485"/>
      <c r="R2988" s="336">
        <f>SUM(R2979:R2986)+0.17</f>
        <v>6318.9199999999992</v>
      </c>
    </row>
    <row r="2989" spans="6:18" ht="24" customHeight="1">
      <c r="F2989" s="507"/>
      <c r="G2989" s="510"/>
      <c r="H2989" s="507"/>
      <c r="I2989" s="507"/>
      <c r="J2989" s="508"/>
      <c r="K2989" s="507"/>
      <c r="M2989" s="482"/>
      <c r="N2989" s="483"/>
      <c r="O2989" s="482"/>
      <c r="P2989" s="482"/>
      <c r="Q2989" s="485"/>
      <c r="R2989" s="490" t="s">
        <v>534</v>
      </c>
    </row>
    <row r="2990" spans="6:18" ht="24" customHeight="1">
      <c r="F2990" s="507"/>
      <c r="G2990" s="549">
        <v>0.99350000000000005</v>
      </c>
      <c r="H2990" s="507" t="s">
        <v>238</v>
      </c>
      <c r="I2990" s="507"/>
      <c r="J2990" s="508"/>
      <c r="K2990" s="507"/>
      <c r="M2990" s="482"/>
      <c r="N2990" s="483"/>
      <c r="O2990" s="338" t="s">
        <v>881</v>
      </c>
      <c r="P2990" s="482"/>
      <c r="Q2990" s="485"/>
      <c r="R2990" s="336">
        <f>R2988/M2980</f>
        <v>2802.181818181818</v>
      </c>
    </row>
    <row r="2991" spans="6:18" ht="24" customHeight="1">
      <c r="F2991" s="507"/>
      <c r="G2991" s="510"/>
      <c r="H2991" s="507"/>
      <c r="I2991" s="507"/>
      <c r="J2991" s="508"/>
      <c r="K2991" s="507"/>
    </row>
    <row r="2992" spans="6:18" ht="24" customHeight="1">
      <c r="F2992" s="517" t="s">
        <v>2824</v>
      </c>
      <c r="G2992" s="510"/>
      <c r="H2992" s="507"/>
      <c r="I2992" s="507"/>
      <c r="J2992" s="508"/>
      <c r="K2992" s="507"/>
    </row>
    <row r="2993" spans="6:11" ht="24" customHeight="1">
      <c r="F2993" s="507"/>
      <c r="G2993" s="510"/>
      <c r="H2993" s="507"/>
      <c r="I2993" s="507"/>
      <c r="J2993" s="508"/>
      <c r="K2993" s="507"/>
    </row>
    <row r="2994" spans="6:11" ht="24" customHeight="1">
      <c r="F2994" s="550">
        <v>0.42</v>
      </c>
      <c r="G2994" s="510" t="s">
        <v>238</v>
      </c>
      <c r="H2994" s="507" t="s">
        <v>2896</v>
      </c>
      <c r="I2994" s="507">
        <f>K817</f>
        <v>7166.2130000000006</v>
      </c>
      <c r="J2994" s="513" t="s">
        <v>238</v>
      </c>
      <c r="K2994" s="507">
        <f>F2994*I2994</f>
        <v>3009.8094599999999</v>
      </c>
    </row>
    <row r="2995" spans="6:11" ht="24" customHeight="1">
      <c r="F2995" s="507">
        <v>0.25</v>
      </c>
      <c r="G2995" s="510" t="s">
        <v>42</v>
      </c>
      <c r="H2995" s="507" t="s">
        <v>1437</v>
      </c>
      <c r="I2995" s="507">
        <f>C11</f>
        <v>669.90000000000009</v>
      </c>
      <c r="J2995" s="513" t="s">
        <v>332</v>
      </c>
      <c r="K2995" s="507">
        <f>F2995*I2995</f>
        <v>167.47500000000002</v>
      </c>
    </row>
    <row r="2996" spans="6:11" ht="24" customHeight="1">
      <c r="F2996" s="507">
        <v>3.5</v>
      </c>
      <c r="G2996" s="510" t="s">
        <v>3</v>
      </c>
      <c r="H2996" s="507" t="s">
        <v>1912</v>
      </c>
      <c r="I2996" s="507">
        <f>C12</f>
        <v>468.6</v>
      </c>
      <c r="J2996" s="513" t="s">
        <v>332</v>
      </c>
      <c r="K2996" s="507">
        <f>F2996*I2996</f>
        <v>1640.1000000000001</v>
      </c>
    </row>
    <row r="2997" spans="6:11" ht="24" customHeight="1">
      <c r="F2997" s="551">
        <v>32.1</v>
      </c>
      <c r="G2997" s="552" t="s">
        <v>420</v>
      </c>
      <c r="H2997" s="551" t="s">
        <v>2897</v>
      </c>
      <c r="I2997" s="507"/>
      <c r="J2997" s="513"/>
      <c r="K2997" s="507">
        <f>(F2997*I2997)/1000</f>
        <v>0</v>
      </c>
    </row>
    <row r="2998" spans="6:11" ht="24" customHeight="1">
      <c r="F2998" s="507"/>
      <c r="G2998" s="507" t="s">
        <v>2829</v>
      </c>
      <c r="H2998" s="507" t="s">
        <v>2830</v>
      </c>
      <c r="I2998" s="507"/>
      <c r="J2998" s="513" t="s">
        <v>2658</v>
      </c>
      <c r="K2998" s="507">
        <f>(K2995+K2996)*10%</f>
        <v>180.75750000000005</v>
      </c>
    </row>
    <row r="2999" spans="6:11" ht="24" customHeight="1">
      <c r="F2999" s="507"/>
      <c r="G2999" s="510"/>
      <c r="H2999" s="507"/>
      <c r="I2999" s="507"/>
      <c r="J2999" s="508"/>
      <c r="K2999" s="507" t="s">
        <v>2832</v>
      </c>
    </row>
    <row r="3000" spans="6:11" ht="24" customHeight="1">
      <c r="F3000" s="507"/>
      <c r="G3000" s="510"/>
      <c r="H3000" s="507"/>
      <c r="I3000" s="507"/>
      <c r="J3000" s="508"/>
      <c r="K3000" s="507"/>
    </row>
    <row r="3001" spans="6:11" ht="24" customHeight="1">
      <c r="F3001" s="507"/>
      <c r="G3001" s="510"/>
      <c r="H3001" s="507"/>
      <c r="I3001" s="507" t="s">
        <v>2898</v>
      </c>
      <c r="J3001" s="508"/>
      <c r="K3001" s="507">
        <f>SUM(K2994:K2998)</f>
        <v>4998.1419599999999</v>
      </c>
    </row>
    <row r="3002" spans="6:11" ht="24" customHeight="1">
      <c r="F3002" s="507"/>
      <c r="G3002" s="510"/>
      <c r="H3002" s="507"/>
      <c r="I3002" s="507"/>
      <c r="J3002" s="508"/>
      <c r="K3002" s="507"/>
    </row>
    <row r="3003" spans="6:11" ht="24" customHeight="1">
      <c r="F3003" s="507"/>
      <c r="G3003" s="510"/>
      <c r="H3003" s="507"/>
      <c r="I3003" s="507" t="s">
        <v>2834</v>
      </c>
      <c r="J3003" s="508"/>
      <c r="K3003" s="507">
        <f>K3001/3.5</f>
        <v>1428.0405599999999</v>
      </c>
    </row>
    <row r="3004" spans="6:11" ht="24" customHeight="1">
      <c r="F3004" s="507"/>
      <c r="G3004" s="506" t="s">
        <v>2899</v>
      </c>
      <c r="H3004" s="507"/>
      <c r="I3004" s="507"/>
      <c r="J3004" s="508"/>
      <c r="K3004" s="507"/>
    </row>
    <row r="3005" spans="6:11" ht="24" customHeight="1">
      <c r="F3005" s="482"/>
      <c r="G3005" s="483"/>
      <c r="H3005" s="482"/>
      <c r="I3005" s="482"/>
      <c r="J3005" s="485"/>
      <c r="K3005" s="482"/>
    </row>
    <row r="3006" spans="6:11" ht="42" customHeight="1">
      <c r="F3006" s="482">
        <v>1</v>
      </c>
      <c r="G3006" s="510" t="s">
        <v>238</v>
      </c>
      <c r="H3006" s="482" t="s">
        <v>706</v>
      </c>
      <c r="I3006" s="482">
        <f>AC38</f>
        <v>346.88</v>
      </c>
      <c r="J3006" s="513" t="s">
        <v>238</v>
      </c>
      <c r="K3006" s="507">
        <f>F3006*I3006</f>
        <v>346.88</v>
      </c>
    </row>
    <row r="3007" spans="6:11" ht="24" customHeight="1">
      <c r="F3007" s="482">
        <v>1</v>
      </c>
      <c r="G3007" s="510" t="s">
        <v>238</v>
      </c>
      <c r="H3007" s="482" t="s">
        <v>2900</v>
      </c>
      <c r="I3007" s="482">
        <f>AE28</f>
        <v>28.05</v>
      </c>
      <c r="J3007" s="513" t="s">
        <v>238</v>
      </c>
      <c r="K3007" s="507">
        <f>F3007*I3007</f>
        <v>28.05</v>
      </c>
    </row>
    <row r="3008" spans="6:11" ht="24" customHeight="1">
      <c r="F3008" s="482"/>
      <c r="G3008" s="483"/>
      <c r="H3008" s="482"/>
      <c r="I3008" s="482"/>
      <c r="J3008" s="485"/>
      <c r="K3008" s="488">
        <f>SUM(K3006:K3007)</f>
        <v>374.93</v>
      </c>
    </row>
    <row r="3010" spans="8:11" ht="24" customHeight="1">
      <c r="H3010" s="156" t="s">
        <v>2901</v>
      </c>
      <c r="I3010" s="401"/>
      <c r="J3010" s="160"/>
    </row>
    <row r="3011" spans="8:11" ht="32.25" customHeight="1">
      <c r="H3011" s="401" t="s">
        <v>2902</v>
      </c>
      <c r="I3011" s="482">
        <f>C764</f>
        <v>991</v>
      </c>
      <c r="J3011" s="160" t="s">
        <v>412</v>
      </c>
      <c r="K3011" s="231">
        <f>I3011</f>
        <v>991</v>
      </c>
    </row>
    <row r="3012" spans="8:11" ht="24" customHeight="1">
      <c r="J3012" s="160"/>
      <c r="K3012" s="262"/>
    </row>
    <row r="3013" spans="8:11" ht="24" customHeight="1">
      <c r="J3013" s="160"/>
      <c r="K3013" s="262"/>
    </row>
    <row r="3014" spans="8:11" ht="24" customHeight="1">
      <c r="H3014" s="76" t="s">
        <v>2903</v>
      </c>
      <c r="I3014" s="430">
        <v>462</v>
      </c>
      <c r="J3014" s="160" t="s">
        <v>412</v>
      </c>
      <c r="K3014" s="231">
        <f>I3014</f>
        <v>462</v>
      </c>
    </row>
    <row r="3015" spans="8:11" ht="24" customHeight="1">
      <c r="I3015" s="231"/>
      <c r="J3015" s="160"/>
      <c r="K3015" s="231"/>
    </row>
    <row r="3016" spans="8:11" ht="24" customHeight="1">
      <c r="H3016" s="76" t="s">
        <v>2904</v>
      </c>
      <c r="I3016" s="430">
        <v>372</v>
      </c>
      <c r="J3016" s="160" t="s">
        <v>412</v>
      </c>
      <c r="K3016" s="231">
        <f>I3016</f>
        <v>372</v>
      </c>
    </row>
    <row r="3017" spans="8:11" ht="24" customHeight="1">
      <c r="J3017" s="160"/>
      <c r="K3017" s="231"/>
    </row>
    <row r="3018" spans="8:11" ht="24" customHeight="1">
      <c r="H3018" s="76" t="s">
        <v>2905</v>
      </c>
      <c r="J3018" s="160"/>
      <c r="K3018" s="262"/>
    </row>
    <row r="3019" spans="8:11" ht="24" customHeight="1">
      <c r="H3019" s="76" t="s">
        <v>2906</v>
      </c>
      <c r="I3019" s="430">
        <v>807</v>
      </c>
      <c r="J3019" s="160" t="s">
        <v>412</v>
      </c>
      <c r="K3019" s="231">
        <f>I3019</f>
        <v>807</v>
      </c>
    </row>
    <row r="3020" spans="8:11" ht="24" customHeight="1">
      <c r="H3020" s="154" t="s">
        <v>2907</v>
      </c>
      <c r="I3020" s="426">
        <f>K2291</f>
        <v>1640.81</v>
      </c>
      <c r="J3020" s="160"/>
      <c r="K3020" s="426">
        <f>I3020</f>
        <v>1640.81</v>
      </c>
    </row>
    <row r="3021" spans="8:11" ht="24" customHeight="1">
      <c r="J3021" s="160"/>
    </row>
    <row r="3022" spans="8:11" ht="44.25" customHeight="1">
      <c r="J3022" s="160"/>
    </row>
    <row r="3023" spans="8:11" ht="68.25" customHeight="1">
      <c r="J3023" s="160"/>
    </row>
    <row r="3024" spans="8:11" ht="24" customHeight="1">
      <c r="J3024" s="160"/>
    </row>
    <row r="3025" spans="8:11" ht="24" customHeight="1">
      <c r="I3025" s="262"/>
      <c r="J3025" s="160"/>
    </row>
    <row r="3026" spans="8:11" ht="24" customHeight="1">
      <c r="J3026" s="160"/>
    </row>
    <row r="3027" spans="8:11" ht="24" customHeight="1">
      <c r="H3027" s="242"/>
      <c r="J3027" s="160"/>
    </row>
    <row r="3028" spans="8:11" ht="24" customHeight="1">
      <c r="J3028" s="160"/>
    </row>
    <row r="3029" spans="8:11" ht="24" customHeight="1">
      <c r="H3029" s="342"/>
      <c r="I3029" s="199"/>
      <c r="J3029" s="437"/>
      <c r="K3029" s="199"/>
    </row>
    <row r="3032" spans="8:11" ht="24" customHeight="1">
      <c r="H3032" s="76" t="s">
        <v>403</v>
      </c>
    </row>
    <row r="3033" spans="8:11" ht="24" customHeight="1">
      <c r="H3033" s="76" t="s">
        <v>2908</v>
      </c>
      <c r="J3033" s="158" t="s">
        <v>332</v>
      </c>
      <c r="K3033" s="429">
        <v>130</v>
      </c>
    </row>
    <row r="3034" spans="8:11" ht="24" customHeight="1">
      <c r="K3034" s="264"/>
    </row>
    <row r="3035" spans="8:11" ht="24" customHeight="1">
      <c r="H3035" s="76" t="s">
        <v>2909</v>
      </c>
      <c r="J3035" s="158" t="s">
        <v>332</v>
      </c>
      <c r="K3035" s="429">
        <v>170</v>
      </c>
    </row>
    <row r="3036" spans="8:11" ht="24" customHeight="1">
      <c r="K3036" s="264"/>
    </row>
    <row r="3037" spans="8:11" ht="24" customHeight="1">
      <c r="K3037" s="264"/>
    </row>
    <row r="3038" spans="8:11" ht="24" customHeight="1">
      <c r="H3038" s="154" t="s">
        <v>2910</v>
      </c>
      <c r="J3038" s="158" t="s">
        <v>332</v>
      </c>
      <c r="K3038" s="332">
        <v>443</v>
      </c>
    </row>
    <row r="3039" spans="8:11" ht="24" customHeight="1">
      <c r="K3039" s="264"/>
    </row>
    <row r="3040" spans="8:11" ht="45" customHeight="1">
      <c r="H3040" s="210" t="s">
        <v>2911</v>
      </c>
      <c r="J3040" s="158" t="s">
        <v>332</v>
      </c>
      <c r="K3040" s="173">
        <f>[3]Elec.Data!K3767</f>
        <v>1272</v>
      </c>
    </row>
    <row r="3042" spans="6:11" ht="41.25" customHeight="1"/>
    <row r="3043" spans="6:11" ht="24" customHeight="1">
      <c r="H3043" s="76" t="s">
        <v>2905</v>
      </c>
      <c r="J3043" s="158" t="s">
        <v>332</v>
      </c>
      <c r="K3043" s="262">
        <f>K3019</f>
        <v>807</v>
      </c>
    </row>
    <row r="3044" spans="6:11" ht="24" customHeight="1">
      <c r="H3044" s="76" t="s">
        <v>2912</v>
      </c>
    </row>
    <row r="3046" spans="6:11" ht="24" customHeight="1">
      <c r="F3046" s="76">
        <v>0.5</v>
      </c>
      <c r="H3046" s="76" t="s">
        <v>2913</v>
      </c>
      <c r="J3046" s="158">
        <f>C15</f>
        <v>622.6</v>
      </c>
      <c r="K3046" s="76">
        <f>J3046*F3046</f>
        <v>311.3</v>
      </c>
    </row>
    <row r="3047" spans="6:11" ht="24" customHeight="1">
      <c r="F3047" s="76">
        <v>0.5</v>
      </c>
      <c r="H3047" s="76" t="s">
        <v>1912</v>
      </c>
      <c r="J3047" s="158">
        <f>C12</f>
        <v>468.6</v>
      </c>
      <c r="K3047" s="76">
        <f>J3047*F3047</f>
        <v>234.3</v>
      </c>
    </row>
    <row r="3048" spans="6:11" ht="24" customHeight="1">
      <c r="I3048" s="1005" t="s">
        <v>2914</v>
      </c>
      <c r="J3048" s="1005"/>
      <c r="K3048" s="199">
        <f>SUM(K3043:K3047)</f>
        <v>1352.6</v>
      </c>
    </row>
    <row r="3051" spans="6:11" ht="24" customHeight="1">
      <c r="F3051" s="339" t="s">
        <v>1772</v>
      </c>
      <c r="G3051" s="489" t="s">
        <v>307</v>
      </c>
      <c r="H3051" s="338" t="s">
        <v>2849</v>
      </c>
      <c r="I3051" s="482"/>
      <c r="J3051" s="485"/>
      <c r="K3051" s="482"/>
    </row>
    <row r="3052" spans="6:11" ht="24" customHeight="1">
      <c r="F3052" s="482"/>
      <c r="G3052" s="483"/>
      <c r="H3052" s="338" t="s">
        <v>1774</v>
      </c>
      <c r="I3052" s="482"/>
      <c r="J3052" s="485"/>
      <c r="K3052" s="482"/>
    </row>
    <row r="3053" spans="6:11" ht="24" customHeight="1">
      <c r="F3053" s="482"/>
      <c r="G3053" s="483"/>
      <c r="H3053" s="338" t="s">
        <v>2915</v>
      </c>
      <c r="I3053" s="482"/>
      <c r="J3053" s="485"/>
      <c r="K3053" s="482"/>
    </row>
    <row r="3054" spans="6:11" ht="24" customHeight="1">
      <c r="F3054" s="482"/>
      <c r="G3054" s="483"/>
      <c r="H3054" s="490" t="s">
        <v>534</v>
      </c>
      <c r="I3054" s="482"/>
      <c r="J3054" s="485"/>
      <c r="K3054" s="482"/>
    </row>
    <row r="3055" spans="6:11" ht="24" customHeight="1">
      <c r="F3055" s="482"/>
      <c r="G3055" s="483"/>
      <c r="H3055" s="338" t="s">
        <v>2916</v>
      </c>
      <c r="I3055" s="482"/>
      <c r="J3055" s="485"/>
      <c r="K3055" s="482"/>
    </row>
    <row r="3056" spans="6:11" ht="24" customHeight="1">
      <c r="F3056" s="482"/>
      <c r="G3056" s="483"/>
      <c r="H3056" s="482"/>
      <c r="I3056" s="482"/>
      <c r="J3056" s="485"/>
      <c r="K3056" s="482"/>
    </row>
    <row r="3057" spans="6:18" ht="38.25" customHeight="1">
      <c r="F3057" s="537">
        <v>2.2275</v>
      </c>
      <c r="G3057" s="489" t="s">
        <v>916</v>
      </c>
      <c r="H3057" s="499" t="s">
        <v>2851</v>
      </c>
      <c r="I3057" s="548">
        <f>I2836</f>
        <v>2370</v>
      </c>
      <c r="J3057" s="339" t="s">
        <v>916</v>
      </c>
      <c r="K3057" s="482">
        <f>F3058*I3057</f>
        <v>5279.1750000000002</v>
      </c>
    </row>
    <row r="3058" spans="6:18" ht="24" customHeight="1">
      <c r="F3058" s="530">
        <f>F3057</f>
        <v>2.2275</v>
      </c>
      <c r="G3058" s="489" t="s">
        <v>916</v>
      </c>
      <c r="H3058" s="491" t="s">
        <v>1787</v>
      </c>
      <c r="I3058" s="494">
        <f>I2869</f>
        <v>216</v>
      </c>
      <c r="J3058" s="339" t="s">
        <v>916</v>
      </c>
      <c r="K3058" s="336">
        <f t="shared" ref="K3058:K3064" si="268">(F3058*I3058)</f>
        <v>481.14</v>
      </c>
      <c r="M3058" s="339" t="s">
        <v>1772</v>
      </c>
      <c r="N3058" s="489" t="s">
        <v>307</v>
      </c>
      <c r="O3058" s="338" t="s">
        <v>2849</v>
      </c>
      <c r="P3058" s="482"/>
      <c r="Q3058" s="485"/>
      <c r="R3058" s="482"/>
    </row>
    <row r="3059" spans="6:18" ht="24" customHeight="1">
      <c r="F3059" s="336">
        <v>4</v>
      </c>
      <c r="G3059" s="489" t="s">
        <v>680</v>
      </c>
      <c r="H3059" s="338" t="s">
        <v>1788</v>
      </c>
      <c r="I3059" s="548">
        <f t="shared" ref="I3059:I3064" si="269">I2974</f>
        <v>50.4</v>
      </c>
      <c r="J3059" s="339" t="s">
        <v>576</v>
      </c>
      <c r="K3059" s="336">
        <f t="shared" si="268"/>
        <v>201.6</v>
      </c>
      <c r="M3059" s="482"/>
      <c r="N3059" s="483"/>
      <c r="O3059" s="338" t="s">
        <v>1774</v>
      </c>
      <c r="P3059" s="482"/>
      <c r="Q3059" s="485"/>
      <c r="R3059" s="482"/>
    </row>
    <row r="3060" spans="6:18" ht="24" customHeight="1">
      <c r="F3060" s="336">
        <v>6</v>
      </c>
      <c r="G3060" s="489" t="s">
        <v>576</v>
      </c>
      <c r="H3060" s="338" t="s">
        <v>1789</v>
      </c>
      <c r="I3060" s="548">
        <f t="shared" si="269"/>
        <v>78.400000000000006</v>
      </c>
      <c r="J3060" s="339" t="s">
        <v>576</v>
      </c>
      <c r="K3060" s="336">
        <f t="shared" si="268"/>
        <v>470.40000000000003</v>
      </c>
      <c r="M3060" s="482"/>
      <c r="N3060" s="483"/>
      <c r="O3060" s="338" t="s">
        <v>2917</v>
      </c>
      <c r="P3060" s="482"/>
      <c r="Q3060" s="485"/>
      <c r="R3060" s="482"/>
    </row>
    <row r="3061" spans="6:18" ht="24" customHeight="1">
      <c r="F3061" s="336">
        <v>4</v>
      </c>
      <c r="G3061" s="489" t="s">
        <v>576</v>
      </c>
      <c r="H3061" s="338" t="s">
        <v>1791</v>
      </c>
      <c r="I3061" s="548">
        <f t="shared" si="269"/>
        <v>56.7</v>
      </c>
      <c r="J3061" s="339" t="s">
        <v>576</v>
      </c>
      <c r="K3061" s="336">
        <f t="shared" si="268"/>
        <v>226.8</v>
      </c>
      <c r="M3061" s="482"/>
      <c r="N3061" s="483"/>
      <c r="O3061" s="490" t="s">
        <v>534</v>
      </c>
      <c r="P3061" s="482"/>
      <c r="Q3061" s="485"/>
      <c r="R3061" s="482"/>
    </row>
    <row r="3062" spans="6:18" ht="24" customHeight="1">
      <c r="F3062" s="336">
        <v>1</v>
      </c>
      <c r="G3062" s="489" t="s">
        <v>576</v>
      </c>
      <c r="H3062" s="338" t="s">
        <v>1793</v>
      </c>
      <c r="I3062" s="548">
        <f t="shared" si="269"/>
        <v>158.19999999999999</v>
      </c>
      <c r="J3062" s="339" t="s">
        <v>576</v>
      </c>
      <c r="K3062" s="336">
        <f t="shared" si="268"/>
        <v>158.19999999999999</v>
      </c>
      <c r="M3062" s="482"/>
      <c r="N3062" s="483"/>
      <c r="O3062" s="338" t="s">
        <v>2918</v>
      </c>
      <c r="P3062" s="482"/>
      <c r="Q3062" s="485"/>
      <c r="R3062" s="482"/>
    </row>
    <row r="3063" spans="6:18" ht="24" customHeight="1">
      <c r="F3063" s="336">
        <v>2</v>
      </c>
      <c r="G3063" s="489" t="s">
        <v>576</v>
      </c>
      <c r="H3063" s="338" t="s">
        <v>1795</v>
      </c>
      <c r="I3063" s="548">
        <f t="shared" si="269"/>
        <v>7.3</v>
      </c>
      <c r="J3063" s="339" t="s">
        <v>576</v>
      </c>
      <c r="K3063" s="336">
        <f t="shared" si="268"/>
        <v>14.6</v>
      </c>
      <c r="M3063" s="482"/>
      <c r="N3063" s="483"/>
      <c r="O3063" s="482"/>
      <c r="P3063" s="482"/>
      <c r="Q3063" s="485"/>
      <c r="R3063" s="482"/>
    </row>
    <row r="3064" spans="6:18" ht="33.75" customHeight="1">
      <c r="F3064" s="336">
        <v>2</v>
      </c>
      <c r="G3064" s="489" t="s">
        <v>576</v>
      </c>
      <c r="H3064" s="338" t="s">
        <v>941</v>
      </c>
      <c r="I3064" s="548">
        <f t="shared" si="269"/>
        <v>43.8</v>
      </c>
      <c r="J3064" s="339" t="s">
        <v>576</v>
      </c>
      <c r="K3064" s="336">
        <f t="shared" si="268"/>
        <v>87.6</v>
      </c>
      <c r="M3064" s="501">
        <v>3.29</v>
      </c>
      <c r="N3064" s="489" t="s">
        <v>916</v>
      </c>
      <c r="O3064" s="499" t="s">
        <v>2851</v>
      </c>
      <c r="P3064" s="548">
        <f>I3057</f>
        <v>2370</v>
      </c>
      <c r="Q3064" s="339" t="s">
        <v>916</v>
      </c>
      <c r="R3064" s="482">
        <f>M3065*P3064</f>
        <v>7797.3</v>
      </c>
    </row>
    <row r="3065" spans="6:18" ht="33.75" customHeight="1">
      <c r="F3065" s="482"/>
      <c r="G3065" s="483"/>
      <c r="H3065" s="482"/>
      <c r="I3065" s="482"/>
      <c r="J3065" s="485"/>
      <c r="K3065" s="494">
        <v>0.2</v>
      </c>
      <c r="M3065" s="524">
        <v>3.29</v>
      </c>
      <c r="N3065" s="489" t="s">
        <v>916</v>
      </c>
      <c r="O3065" s="338" t="s">
        <v>1787</v>
      </c>
      <c r="P3065" s="548">
        <f t="shared" ref="P3065:P3071" si="270">I3058</f>
        <v>216</v>
      </c>
      <c r="Q3065" s="339" t="s">
        <v>916</v>
      </c>
      <c r="R3065" s="336">
        <f t="shared" ref="R3065:R3071" si="271">(M3065*P3065)</f>
        <v>710.64</v>
      </c>
    </row>
    <row r="3066" spans="6:18" ht="24" customHeight="1">
      <c r="F3066" s="482"/>
      <c r="G3066" s="483"/>
      <c r="H3066" s="338" t="s">
        <v>2919</v>
      </c>
      <c r="I3066" s="482"/>
      <c r="J3066" s="485"/>
      <c r="K3066" s="336">
        <f>SUM(K3057:K3065)</f>
        <v>6919.7150000000011</v>
      </c>
      <c r="M3066" s="336">
        <v>4</v>
      </c>
      <c r="N3066" s="489" t="s">
        <v>680</v>
      </c>
      <c r="O3066" s="338" t="s">
        <v>1788</v>
      </c>
      <c r="P3066" s="548">
        <f t="shared" si="270"/>
        <v>50.4</v>
      </c>
      <c r="Q3066" s="339" t="s">
        <v>576</v>
      </c>
      <c r="R3066" s="336">
        <f t="shared" si="271"/>
        <v>201.6</v>
      </c>
    </row>
    <row r="3067" spans="6:18" ht="24" customHeight="1">
      <c r="F3067" s="482"/>
      <c r="G3067" s="483"/>
      <c r="H3067" s="482"/>
      <c r="I3067" s="482"/>
      <c r="J3067" s="485"/>
      <c r="K3067" s="490" t="s">
        <v>534</v>
      </c>
      <c r="M3067" s="336">
        <v>6</v>
      </c>
      <c r="N3067" s="489" t="s">
        <v>576</v>
      </c>
      <c r="O3067" s="338" t="s">
        <v>1789</v>
      </c>
      <c r="P3067" s="548">
        <f t="shared" si="270"/>
        <v>78.400000000000006</v>
      </c>
      <c r="Q3067" s="339" t="s">
        <v>576</v>
      </c>
      <c r="R3067" s="336">
        <f t="shared" si="271"/>
        <v>470.40000000000003</v>
      </c>
    </row>
    <row r="3068" spans="6:18" ht="24" customHeight="1">
      <c r="F3068" s="482"/>
      <c r="G3068" s="483"/>
      <c r="H3068" s="338" t="s">
        <v>881</v>
      </c>
      <c r="I3068" s="482"/>
      <c r="J3068" s="485"/>
      <c r="K3068" s="336">
        <f>K3066/F3058</f>
        <v>3106.4938271604942</v>
      </c>
      <c r="M3068" s="336">
        <v>4</v>
      </c>
      <c r="N3068" s="489" t="s">
        <v>576</v>
      </c>
      <c r="O3068" s="338" t="s">
        <v>1791</v>
      </c>
      <c r="P3068" s="548">
        <f t="shared" si="270"/>
        <v>56.7</v>
      </c>
      <c r="Q3068" s="339" t="s">
        <v>576</v>
      </c>
      <c r="R3068" s="336">
        <f t="shared" si="271"/>
        <v>226.8</v>
      </c>
    </row>
    <row r="3069" spans="6:18" ht="24" customHeight="1">
      <c r="M3069" s="336">
        <v>1</v>
      </c>
      <c r="N3069" s="489" t="s">
        <v>576</v>
      </c>
      <c r="O3069" s="338" t="s">
        <v>1793</v>
      </c>
      <c r="P3069" s="548">
        <f t="shared" si="270"/>
        <v>158.19999999999999</v>
      </c>
      <c r="Q3069" s="339" t="s">
        <v>576</v>
      </c>
      <c r="R3069" s="336">
        <f t="shared" si="271"/>
        <v>158.19999999999999</v>
      </c>
    </row>
    <row r="3070" spans="6:18" ht="24" customHeight="1">
      <c r="F3070" s="339" t="s">
        <v>1772</v>
      </c>
      <c r="G3070" s="489" t="s">
        <v>307</v>
      </c>
      <c r="H3070" s="338" t="s">
        <v>2849</v>
      </c>
      <c r="I3070" s="482"/>
      <c r="J3070" s="485"/>
      <c r="K3070" s="482"/>
      <c r="M3070" s="336">
        <v>2</v>
      </c>
      <c r="N3070" s="489" t="s">
        <v>576</v>
      </c>
      <c r="O3070" s="338" t="s">
        <v>1795</v>
      </c>
      <c r="P3070" s="548">
        <f t="shared" si="270"/>
        <v>7.3</v>
      </c>
      <c r="Q3070" s="339" t="s">
        <v>576</v>
      </c>
      <c r="R3070" s="336">
        <f t="shared" si="271"/>
        <v>14.6</v>
      </c>
    </row>
    <row r="3071" spans="6:18" ht="24" customHeight="1">
      <c r="F3071" s="482"/>
      <c r="G3071" s="483"/>
      <c r="H3071" s="338" t="s">
        <v>1774</v>
      </c>
      <c r="I3071" s="482"/>
      <c r="J3071" s="485"/>
      <c r="K3071" s="482"/>
      <c r="M3071" s="336">
        <v>2</v>
      </c>
      <c r="N3071" s="489" t="s">
        <v>576</v>
      </c>
      <c r="O3071" s="338" t="s">
        <v>941</v>
      </c>
      <c r="P3071" s="548">
        <f t="shared" si="270"/>
        <v>43.8</v>
      </c>
      <c r="Q3071" s="339" t="s">
        <v>576</v>
      </c>
      <c r="R3071" s="336">
        <f t="shared" si="271"/>
        <v>87.6</v>
      </c>
    </row>
    <row r="3072" spans="6:18" ht="24" customHeight="1">
      <c r="F3072" s="482"/>
      <c r="G3072" s="483"/>
      <c r="H3072" s="338" t="s">
        <v>2920</v>
      </c>
      <c r="I3072" s="482"/>
      <c r="J3072" s="485"/>
      <c r="K3072" s="482"/>
      <c r="M3072" s="482"/>
      <c r="N3072" s="483"/>
      <c r="O3072" s="482"/>
      <c r="P3072" s="482"/>
      <c r="Q3072" s="485"/>
      <c r="R3072" s="490" t="s">
        <v>534</v>
      </c>
    </row>
    <row r="3073" spans="6:18" ht="24" customHeight="1">
      <c r="F3073" s="482"/>
      <c r="G3073" s="483"/>
      <c r="H3073" s="490" t="s">
        <v>534</v>
      </c>
      <c r="I3073" s="482"/>
      <c r="J3073" s="485"/>
      <c r="K3073" s="482"/>
      <c r="M3073" s="482"/>
      <c r="N3073" s="483"/>
      <c r="O3073" s="338" t="s">
        <v>2921</v>
      </c>
      <c r="P3073" s="482"/>
      <c r="Q3073" s="485"/>
      <c r="R3073" s="336">
        <f>SUM(R3064:R3072)+0.5</f>
        <v>9667.6400000000012</v>
      </c>
    </row>
    <row r="3074" spans="6:18" ht="24" customHeight="1">
      <c r="F3074" s="482"/>
      <c r="G3074" s="483"/>
      <c r="H3074" s="338" t="s">
        <v>2922</v>
      </c>
      <c r="I3074" s="482"/>
      <c r="J3074" s="485"/>
      <c r="K3074" s="482"/>
      <c r="M3074" s="482"/>
      <c r="N3074" s="483"/>
      <c r="O3074" s="482"/>
      <c r="P3074" s="482"/>
      <c r="Q3074" s="485"/>
      <c r="R3074" s="490" t="s">
        <v>534</v>
      </c>
    </row>
    <row r="3075" spans="6:18" ht="24" customHeight="1">
      <c r="F3075" s="482"/>
      <c r="G3075" s="483"/>
      <c r="H3075" s="482"/>
      <c r="I3075" s="482"/>
      <c r="J3075" s="485"/>
      <c r="K3075" s="482"/>
      <c r="M3075" s="482"/>
      <c r="N3075" s="483"/>
      <c r="O3075" s="338" t="s">
        <v>881</v>
      </c>
      <c r="P3075" s="482"/>
      <c r="Q3075" s="485"/>
      <c r="R3075" s="336">
        <f>R3073/M3064</f>
        <v>2938.4924012158058</v>
      </c>
    </row>
    <row r="3076" spans="6:18" ht="24" customHeight="1">
      <c r="F3076" s="501">
        <v>2.87</v>
      </c>
      <c r="G3076" s="489" t="s">
        <v>916</v>
      </c>
      <c r="H3076" s="499" t="s">
        <v>2851</v>
      </c>
      <c r="I3076" s="548">
        <f>I3057</f>
        <v>2370</v>
      </c>
      <c r="J3076" s="339" t="s">
        <v>916</v>
      </c>
      <c r="K3076" s="482">
        <f>F3077*I3076</f>
        <v>6801.9000000000005</v>
      </c>
      <c r="N3076" s="156"/>
      <c r="Q3076" s="158"/>
    </row>
    <row r="3077" spans="6:18" ht="24" customHeight="1">
      <c r="F3077" s="524">
        <f>F3076</f>
        <v>2.87</v>
      </c>
      <c r="G3077" s="489" t="s">
        <v>916</v>
      </c>
      <c r="H3077" s="491" t="s">
        <v>1787</v>
      </c>
      <c r="I3077" s="494">
        <f t="shared" ref="I3077:I3083" si="272">I3058</f>
        <v>216</v>
      </c>
      <c r="J3077" s="339" t="s">
        <v>916</v>
      </c>
      <c r="K3077" s="336">
        <f t="shared" ref="K3077:K3083" si="273">(F3077*I3077)</f>
        <v>619.92000000000007</v>
      </c>
    </row>
    <row r="3078" spans="6:18" ht="24" customHeight="1">
      <c r="F3078" s="336">
        <v>4</v>
      </c>
      <c r="G3078" s="489" t="s">
        <v>680</v>
      </c>
      <c r="H3078" s="338" t="s">
        <v>1788</v>
      </c>
      <c r="I3078" s="548">
        <f t="shared" si="272"/>
        <v>50.4</v>
      </c>
      <c r="J3078" s="339" t="s">
        <v>576</v>
      </c>
      <c r="K3078" s="336">
        <f t="shared" si="273"/>
        <v>201.6</v>
      </c>
    </row>
    <row r="3079" spans="6:18" ht="24" customHeight="1">
      <c r="F3079" s="336">
        <v>6</v>
      </c>
      <c r="G3079" s="489" t="s">
        <v>576</v>
      </c>
      <c r="H3079" s="338" t="s">
        <v>1789</v>
      </c>
      <c r="I3079" s="548">
        <f t="shared" si="272"/>
        <v>78.400000000000006</v>
      </c>
      <c r="J3079" s="339" t="s">
        <v>576</v>
      </c>
      <c r="K3079" s="336">
        <f t="shared" si="273"/>
        <v>470.40000000000003</v>
      </c>
    </row>
    <row r="3080" spans="6:18" ht="24" customHeight="1">
      <c r="F3080" s="336">
        <v>4</v>
      </c>
      <c r="G3080" s="489" t="s">
        <v>576</v>
      </c>
      <c r="H3080" s="338" t="s">
        <v>1791</v>
      </c>
      <c r="I3080" s="548">
        <f t="shared" si="272"/>
        <v>56.7</v>
      </c>
      <c r="J3080" s="339" t="s">
        <v>576</v>
      </c>
      <c r="K3080" s="336">
        <f t="shared" si="273"/>
        <v>226.8</v>
      </c>
    </row>
    <row r="3081" spans="6:18" ht="24" customHeight="1">
      <c r="F3081" s="336">
        <v>1</v>
      </c>
      <c r="G3081" s="489" t="s">
        <v>576</v>
      </c>
      <c r="H3081" s="338" t="s">
        <v>1793</v>
      </c>
      <c r="I3081" s="548">
        <f t="shared" si="272"/>
        <v>158.19999999999999</v>
      </c>
      <c r="J3081" s="339" t="s">
        <v>576</v>
      </c>
      <c r="K3081" s="336">
        <f t="shared" si="273"/>
        <v>158.19999999999999</v>
      </c>
    </row>
    <row r="3082" spans="6:18" ht="24" customHeight="1">
      <c r="F3082" s="336">
        <v>2</v>
      </c>
      <c r="G3082" s="489" t="s">
        <v>576</v>
      </c>
      <c r="H3082" s="338" t="s">
        <v>1795</v>
      </c>
      <c r="I3082" s="548">
        <f t="shared" si="272"/>
        <v>7.3</v>
      </c>
      <c r="J3082" s="339" t="s">
        <v>576</v>
      </c>
      <c r="K3082" s="336">
        <f t="shared" si="273"/>
        <v>14.6</v>
      </c>
    </row>
    <row r="3083" spans="6:18" ht="24" customHeight="1">
      <c r="F3083" s="336">
        <v>2</v>
      </c>
      <c r="G3083" s="489" t="s">
        <v>576</v>
      </c>
      <c r="H3083" s="338" t="s">
        <v>941</v>
      </c>
      <c r="I3083" s="548">
        <f t="shared" si="272"/>
        <v>43.8</v>
      </c>
      <c r="J3083" s="339" t="s">
        <v>576</v>
      </c>
      <c r="K3083" s="336">
        <f t="shared" si="273"/>
        <v>87.6</v>
      </c>
    </row>
    <row r="3084" spans="6:18" ht="24" customHeight="1">
      <c r="F3084" s="482"/>
      <c r="G3084" s="483"/>
      <c r="H3084" s="482"/>
      <c r="I3084" s="482"/>
      <c r="J3084" s="485"/>
      <c r="K3084" s="494">
        <f>1.19+0.16</f>
        <v>1.3499999999999999</v>
      </c>
    </row>
    <row r="3085" spans="6:18" ht="24" customHeight="1">
      <c r="F3085" s="482"/>
      <c r="G3085" s="483"/>
      <c r="H3085" s="338" t="s">
        <v>2923</v>
      </c>
      <c r="I3085" s="482"/>
      <c r="J3085" s="485"/>
      <c r="K3085" s="336">
        <f>SUM(K3076:K3084)</f>
        <v>8582.3700000000026</v>
      </c>
    </row>
    <row r="3086" spans="6:18" ht="24" customHeight="1">
      <c r="F3086" s="482"/>
      <c r="G3086" s="483"/>
      <c r="H3086" s="482"/>
      <c r="I3086" s="482"/>
      <c r="J3086" s="485"/>
      <c r="K3086" s="490" t="s">
        <v>534</v>
      </c>
    </row>
    <row r="3087" spans="6:18" ht="24" customHeight="1">
      <c r="F3087" s="482"/>
      <c r="G3087" s="483"/>
      <c r="H3087" s="338" t="s">
        <v>881</v>
      </c>
      <c r="I3087" s="482"/>
      <c r="J3087" s="485"/>
      <c r="K3087" s="336">
        <f>K3085/F3077</f>
        <v>2990.3728222996524</v>
      </c>
    </row>
    <row r="3089" spans="6:42" ht="24" customHeight="1">
      <c r="F3089" s="458" t="s">
        <v>2771</v>
      </c>
      <c r="G3089" s="459"/>
      <c r="H3089" s="182" t="s">
        <v>2924</v>
      </c>
      <c r="I3089" s="460"/>
      <c r="J3089" s="461"/>
      <c r="K3089" s="460"/>
    </row>
    <row r="3090" spans="6:42" ht="24" customHeight="1">
      <c r="F3090" s="460"/>
      <c r="G3090" s="459"/>
      <c r="H3090" s="462" t="s">
        <v>534</v>
      </c>
      <c r="I3090" s="462" t="s">
        <v>534</v>
      </c>
      <c r="J3090" s="182" t="s">
        <v>534</v>
      </c>
      <c r="K3090" s="460"/>
    </row>
    <row r="3091" spans="6:42" ht="24" customHeight="1">
      <c r="F3091" s="460"/>
      <c r="G3091" s="459"/>
      <c r="H3091" s="460"/>
      <c r="I3091" s="460"/>
      <c r="J3091" s="461"/>
      <c r="K3091" s="460"/>
    </row>
    <row r="3092" spans="6:42" ht="24" customHeight="1">
      <c r="F3092" s="460"/>
      <c r="G3092" s="459"/>
      <c r="H3092" s="182" t="s">
        <v>1886</v>
      </c>
      <c r="I3092" s="460"/>
      <c r="J3092" s="461"/>
      <c r="K3092" s="460"/>
    </row>
    <row r="3093" spans="6:42" ht="24" customHeight="1">
      <c r="F3093" s="460"/>
      <c r="G3093" s="459"/>
      <c r="H3093" s="182"/>
      <c r="I3093" s="460"/>
      <c r="J3093" s="461"/>
      <c r="K3093" s="460"/>
    </row>
    <row r="3094" spans="6:42" ht="24" customHeight="1">
      <c r="F3094" s="460"/>
      <c r="G3094" s="459"/>
      <c r="H3094" s="182" t="s">
        <v>1888</v>
      </c>
      <c r="I3094" s="460"/>
      <c r="J3094" s="461"/>
      <c r="K3094" s="460"/>
    </row>
    <row r="3095" spans="6:42" ht="24" customHeight="1">
      <c r="F3095" s="460"/>
      <c r="G3095" s="459"/>
      <c r="H3095" s="182" t="s">
        <v>1889</v>
      </c>
      <c r="I3095" s="460"/>
      <c r="J3095" s="461"/>
      <c r="K3095" s="460"/>
    </row>
    <row r="3096" spans="6:42" ht="24" customHeight="1">
      <c r="F3096" s="460"/>
      <c r="G3096" s="459"/>
      <c r="H3096" s="182" t="s">
        <v>1890</v>
      </c>
      <c r="I3096" s="460"/>
      <c r="J3096" s="461"/>
      <c r="K3096" s="460"/>
      <c r="S3096" s="155"/>
      <c r="T3096" s="165"/>
      <c r="U3096" s="154"/>
      <c r="W3096" s="158"/>
    </row>
    <row r="3097" spans="6:42" ht="24" customHeight="1">
      <c r="F3097" s="460"/>
      <c r="G3097" s="459"/>
      <c r="H3097" s="182" t="s">
        <v>1891</v>
      </c>
      <c r="I3097" s="460"/>
      <c r="J3097" s="461"/>
      <c r="K3097" s="460"/>
      <c r="S3097" s="76"/>
      <c r="U3097" s="154"/>
      <c r="W3097" s="158"/>
    </row>
    <row r="3098" spans="6:42" ht="24" customHeight="1">
      <c r="F3098" s="460"/>
      <c r="G3098" s="459"/>
      <c r="H3098" s="182" t="s">
        <v>2773</v>
      </c>
      <c r="I3098" s="460"/>
      <c r="J3098" s="182" t="s">
        <v>22</v>
      </c>
      <c r="K3098" s="465">
        <v>3.7699999999999997E-2</v>
      </c>
      <c r="S3098" s="76"/>
      <c r="T3098" s="156"/>
      <c r="U3098" s="154"/>
      <c r="W3098" s="158"/>
    </row>
    <row r="3099" spans="6:42" ht="24" customHeight="1">
      <c r="F3099" s="460"/>
      <c r="G3099" s="459"/>
      <c r="H3099" s="553" t="s">
        <v>2925</v>
      </c>
      <c r="I3099" s="460"/>
      <c r="J3099" s="466" t="s">
        <v>22</v>
      </c>
      <c r="K3099" s="466" t="s">
        <v>22</v>
      </c>
      <c r="S3099" s="76"/>
      <c r="T3099" s="156"/>
      <c r="U3099" s="154"/>
      <c r="W3099" s="158"/>
    </row>
    <row r="3100" spans="6:42" ht="24" customHeight="1">
      <c r="F3100" s="460"/>
      <c r="G3100" s="459"/>
      <c r="H3100" s="182" t="s">
        <v>1896</v>
      </c>
      <c r="I3100" s="460"/>
      <c r="J3100" s="461"/>
      <c r="K3100" s="466" t="s">
        <v>22</v>
      </c>
      <c r="S3100" s="76"/>
      <c r="T3100" s="156"/>
      <c r="U3100" s="154"/>
      <c r="W3100" s="158"/>
    </row>
    <row r="3101" spans="6:42" ht="31.5" customHeight="1">
      <c r="F3101" s="460"/>
      <c r="G3101" s="459"/>
      <c r="H3101" s="460"/>
      <c r="I3101" s="460"/>
      <c r="J3101" s="461"/>
      <c r="K3101" s="460"/>
      <c r="S3101" s="76"/>
      <c r="T3101" s="156"/>
      <c r="U3101" s="156" t="s">
        <v>2926</v>
      </c>
      <c r="W3101" s="158"/>
    </row>
    <row r="3102" spans="6:42" ht="24.75" customHeight="1">
      <c r="F3102" s="467">
        <v>1.18E-2</v>
      </c>
      <c r="G3102" s="468" t="s">
        <v>577</v>
      </c>
      <c r="H3102" s="182" t="s">
        <v>932</v>
      </c>
      <c r="I3102" s="469">
        <f>I2662</f>
        <v>111600</v>
      </c>
      <c r="J3102" s="182" t="s">
        <v>577</v>
      </c>
      <c r="K3102" s="469">
        <f t="shared" ref="K3102:K3110" si="274">(F3102*I3102)</f>
        <v>1316.8799999999999</v>
      </c>
      <c r="S3102" s="76"/>
      <c r="T3102" s="156"/>
      <c r="U3102" s="164"/>
      <c r="W3102" s="158"/>
    </row>
    <row r="3103" spans="6:42" ht="36" customHeight="1">
      <c r="F3103" s="467">
        <v>3.7699999999999997E-2</v>
      </c>
      <c r="G3103" s="468" t="s">
        <v>577</v>
      </c>
      <c r="H3103" s="182" t="s">
        <v>933</v>
      </c>
      <c r="I3103" s="469">
        <f t="shared" ref="I3103:I3110" si="275">I2663</f>
        <v>99400</v>
      </c>
      <c r="J3103" s="182" t="s">
        <v>577</v>
      </c>
      <c r="K3103" s="469">
        <f t="shared" si="274"/>
        <v>3747.3799999999997</v>
      </c>
      <c r="S3103" s="76"/>
      <c r="T3103" s="156"/>
      <c r="U3103" s="154" t="s">
        <v>2927</v>
      </c>
      <c r="V3103" s="252">
        <f xml:space="preserve"> 3.08*2.1</f>
        <v>6.4680000000000009</v>
      </c>
      <c r="W3103" s="158" t="s">
        <v>141</v>
      </c>
      <c r="X3103" s="76" t="s">
        <v>141</v>
      </c>
    </row>
    <row r="3104" spans="6:42" ht="45" customHeight="1">
      <c r="F3104" s="467">
        <v>1.8550000000000001E-2</v>
      </c>
      <c r="G3104" s="468" t="s">
        <v>577</v>
      </c>
      <c r="H3104" s="182" t="s">
        <v>1897</v>
      </c>
      <c r="I3104" s="469">
        <f t="shared" si="275"/>
        <v>9828.5</v>
      </c>
      <c r="J3104" s="182" t="s">
        <v>577</v>
      </c>
      <c r="K3104" s="469">
        <f t="shared" si="274"/>
        <v>182.31867500000001</v>
      </c>
      <c r="S3104" s="76"/>
      <c r="T3104" s="554"/>
      <c r="U3104" s="555" t="s">
        <v>2928</v>
      </c>
      <c r="V3104" s="556">
        <f>4*2.05*0.075*0.0375</f>
        <v>2.3062499999999996E-2</v>
      </c>
      <c r="W3104" s="557" t="s">
        <v>421</v>
      </c>
      <c r="X3104" s="558"/>
      <c r="AE3104" s="199" t="s">
        <v>2929</v>
      </c>
      <c r="AP3104" s="199" t="s">
        <v>2930</v>
      </c>
    </row>
    <row r="3105" spans="6:47" ht="31.5" customHeight="1">
      <c r="F3105" s="467">
        <v>1.36</v>
      </c>
      <c r="G3105" s="468" t="s">
        <v>916</v>
      </c>
      <c r="H3105" s="182" t="s">
        <v>2931</v>
      </c>
      <c r="I3105" s="469">
        <f>I1055</f>
        <v>387.4</v>
      </c>
      <c r="J3105" s="182" t="s">
        <v>916</v>
      </c>
      <c r="K3105" s="469">
        <f t="shared" si="274"/>
        <v>526.86400000000003</v>
      </c>
      <c r="S3105" s="76"/>
      <c r="T3105" s="554"/>
      <c r="U3105" s="558"/>
      <c r="V3105" s="558"/>
      <c r="W3105" s="555" t="s">
        <v>534</v>
      </c>
      <c r="X3105" s="558"/>
      <c r="AE3105" s="76" t="s">
        <v>2932</v>
      </c>
      <c r="AP3105" s="76" t="s">
        <v>2932</v>
      </c>
    </row>
    <row r="3106" spans="6:47" ht="31.5" customHeight="1">
      <c r="F3106" s="467">
        <v>2.0499999999999998</v>
      </c>
      <c r="G3106" s="468" t="s">
        <v>916</v>
      </c>
      <c r="H3106" s="182" t="s">
        <v>1899</v>
      </c>
      <c r="I3106" s="469">
        <f t="shared" si="275"/>
        <v>921.80000000000007</v>
      </c>
      <c r="J3106" s="182" t="s">
        <v>916</v>
      </c>
      <c r="K3106" s="469">
        <f t="shared" si="274"/>
        <v>1889.69</v>
      </c>
      <c r="S3106" s="76"/>
      <c r="T3106" s="554"/>
      <c r="U3106" s="555" t="s">
        <v>2933</v>
      </c>
      <c r="V3106" s="556">
        <f>2*3*0.55*0.15*0.0375</f>
        <v>1.8562499999999999E-2</v>
      </c>
      <c r="W3106" s="557" t="s">
        <v>421</v>
      </c>
      <c r="X3106" s="558"/>
      <c r="AE3106" s="76" t="s">
        <v>2934</v>
      </c>
      <c r="AP3106" s="76" t="s">
        <v>2934</v>
      </c>
    </row>
    <row r="3107" spans="6:47" ht="36" customHeight="1">
      <c r="F3107" s="469">
        <v>2</v>
      </c>
      <c r="G3107" s="468" t="s">
        <v>576</v>
      </c>
      <c r="H3107" s="182" t="s">
        <v>2935</v>
      </c>
      <c r="I3107" s="559">
        <v>49.8</v>
      </c>
      <c r="J3107" s="182" t="s">
        <v>576</v>
      </c>
      <c r="K3107" s="469">
        <f t="shared" si="274"/>
        <v>99.6</v>
      </c>
      <c r="S3107" s="76"/>
      <c r="T3107" s="554"/>
      <c r="U3107" s="555" t="s">
        <v>22</v>
      </c>
      <c r="V3107" s="555" t="s">
        <v>22</v>
      </c>
      <c r="W3107" s="557"/>
      <c r="X3107" s="560" t="s">
        <v>22</v>
      </c>
      <c r="AC3107" s="76">
        <v>0.1</v>
      </c>
      <c r="AD3107" s="76" t="s">
        <v>3</v>
      </c>
      <c r="AE3107" s="76" t="s">
        <v>2552</v>
      </c>
      <c r="AF3107" s="76">
        <f>AE17</f>
        <v>633.6</v>
      </c>
      <c r="AG3107" s="76" t="s">
        <v>332</v>
      </c>
      <c r="AH3107" s="76">
        <f>AC3107*AF3107</f>
        <v>63.360000000000007</v>
      </c>
      <c r="AM3107" s="76">
        <v>0.1</v>
      </c>
      <c r="AN3107" s="76" t="s">
        <v>3</v>
      </c>
      <c r="AP3107" s="76" t="s">
        <v>2552</v>
      </c>
      <c r="AQ3107" s="76">
        <f>AF3107</f>
        <v>633.6</v>
      </c>
      <c r="AR3107" s="76" t="s">
        <v>332</v>
      </c>
      <c r="AS3107" s="76">
        <f>AQ3107*AM3107</f>
        <v>63.360000000000007</v>
      </c>
    </row>
    <row r="3108" spans="6:47" ht="24.75" customHeight="1">
      <c r="F3108" s="469">
        <v>6</v>
      </c>
      <c r="G3108" s="468" t="s">
        <v>576</v>
      </c>
      <c r="H3108" s="182" t="s">
        <v>1858</v>
      </c>
      <c r="I3108" s="469">
        <f t="shared" si="275"/>
        <v>43.2</v>
      </c>
      <c r="J3108" s="182" t="s">
        <v>576</v>
      </c>
      <c r="K3108" s="469">
        <f t="shared" si="274"/>
        <v>259.20000000000005</v>
      </c>
      <c r="S3108" s="76"/>
      <c r="T3108" s="554"/>
      <c r="U3108" s="558"/>
      <c r="V3108" s="558"/>
      <c r="W3108" s="555" t="s">
        <v>22</v>
      </c>
      <c r="X3108" s="555" t="s">
        <v>22</v>
      </c>
      <c r="AC3108" s="76">
        <v>0.1</v>
      </c>
      <c r="AD3108" s="76" t="s">
        <v>2936</v>
      </c>
      <c r="AE3108" s="76" t="s">
        <v>1912</v>
      </c>
      <c r="AF3108" s="76">
        <f>AE11</f>
        <v>468.6</v>
      </c>
      <c r="AG3108" s="76" t="s">
        <v>332</v>
      </c>
      <c r="AH3108" s="76">
        <f>AC3108*AF3108</f>
        <v>46.860000000000007</v>
      </c>
      <c r="AM3108" s="76">
        <v>0.1</v>
      </c>
      <c r="AN3108" s="76" t="s">
        <v>2936</v>
      </c>
      <c r="AP3108" s="76" t="s">
        <v>1912</v>
      </c>
      <c r="AQ3108" s="76">
        <f>AF3108</f>
        <v>468.6</v>
      </c>
      <c r="AR3108" s="76" t="s">
        <v>332</v>
      </c>
      <c r="AS3108" s="76">
        <f>AQ3108*AM3108</f>
        <v>46.860000000000007</v>
      </c>
    </row>
    <row r="3109" spans="6:47" ht="29.25" customHeight="1">
      <c r="F3109" s="469">
        <v>2</v>
      </c>
      <c r="G3109" s="468" t="s">
        <v>576</v>
      </c>
      <c r="H3109" s="182" t="s">
        <v>2778</v>
      </c>
      <c r="I3109" s="469">
        <f t="shared" si="275"/>
        <v>53.3</v>
      </c>
      <c r="J3109" s="182" t="s">
        <v>576</v>
      </c>
      <c r="K3109" s="469">
        <f t="shared" si="274"/>
        <v>106.6</v>
      </c>
      <c r="S3109" s="76"/>
      <c r="T3109" s="554"/>
      <c r="U3109" s="555" t="s">
        <v>2937</v>
      </c>
      <c r="V3109" s="558">
        <f>2*0.625*0.425</f>
        <v>0.53125</v>
      </c>
      <c r="W3109" s="560" t="s">
        <v>22</v>
      </c>
      <c r="X3109" s="560" t="s">
        <v>22</v>
      </c>
      <c r="AC3109" s="76">
        <v>10</v>
      </c>
      <c r="AD3109" s="76" t="s">
        <v>2938</v>
      </c>
      <c r="AE3109" s="76" t="s">
        <v>2939</v>
      </c>
      <c r="AF3109" s="231">
        <v>18</v>
      </c>
      <c r="AG3109" s="76" t="s">
        <v>2940</v>
      </c>
      <c r="AH3109" s="76">
        <f>(AC3109*AF3109)/100</f>
        <v>1.8</v>
      </c>
      <c r="AM3109" s="76">
        <v>10</v>
      </c>
      <c r="AN3109" s="76" t="s">
        <v>2938</v>
      </c>
      <c r="AP3109" s="76" t="s">
        <v>2941</v>
      </c>
      <c r="AQ3109" s="264">
        <f>AF3109</f>
        <v>18</v>
      </c>
      <c r="AR3109" s="76" t="s">
        <v>2940</v>
      </c>
      <c r="AS3109" s="76">
        <f>(AQ3109*AM3109)/100</f>
        <v>1.8</v>
      </c>
    </row>
    <row r="3110" spans="6:47" ht="24" customHeight="1">
      <c r="F3110" s="469">
        <v>1</v>
      </c>
      <c r="G3110" s="468" t="s">
        <v>576</v>
      </c>
      <c r="H3110" s="182" t="s">
        <v>2777</v>
      </c>
      <c r="I3110" s="561">
        <f t="shared" si="275"/>
        <v>63.2</v>
      </c>
      <c r="J3110" s="182" t="s">
        <v>576</v>
      </c>
      <c r="K3110" s="469">
        <f t="shared" si="274"/>
        <v>63.2</v>
      </c>
      <c r="S3110" s="76"/>
      <c r="T3110" s="554"/>
      <c r="U3110" s="555" t="s">
        <v>2942</v>
      </c>
      <c r="V3110" s="558">
        <f>2*0.425*1.025</f>
        <v>0.87124999999999986</v>
      </c>
      <c r="W3110" s="557"/>
      <c r="X3110" s="560">
        <v>1.26</v>
      </c>
      <c r="AC3110" s="76">
        <v>0.25</v>
      </c>
      <c r="AD3110" s="76" t="s">
        <v>3</v>
      </c>
      <c r="AE3110" s="76" t="s">
        <v>2943</v>
      </c>
      <c r="AF3110" s="231">
        <v>3.5</v>
      </c>
      <c r="AG3110" s="76" t="s">
        <v>332</v>
      </c>
      <c r="AH3110" s="76">
        <v>1</v>
      </c>
      <c r="AM3110" s="76">
        <v>0.25</v>
      </c>
      <c r="AN3110" s="76" t="s">
        <v>3</v>
      </c>
      <c r="AP3110" s="76" t="s">
        <v>2944</v>
      </c>
      <c r="AQ3110" s="264">
        <f>AF3110</f>
        <v>3.5</v>
      </c>
      <c r="AR3110" s="76" t="s">
        <v>332</v>
      </c>
      <c r="AS3110" s="76">
        <f>AQ3110*AM3110</f>
        <v>0.875</v>
      </c>
      <c r="AU3110" s="76">
        <f>3.09/0.25</f>
        <v>12.36</v>
      </c>
    </row>
    <row r="3111" spans="6:47" ht="27.75" customHeight="1">
      <c r="F3111" s="469">
        <v>6.55</v>
      </c>
      <c r="G3111" s="468" t="s">
        <v>916</v>
      </c>
      <c r="H3111" s="182" t="s">
        <v>2945</v>
      </c>
      <c r="I3111" s="469">
        <f>K1540</f>
        <v>189.04319999999998</v>
      </c>
      <c r="J3111" s="182" t="s">
        <v>916</v>
      </c>
      <c r="K3111" s="469">
        <f>(F3111*I3111)</f>
        <v>1238.2329599999998</v>
      </c>
      <c r="S3111" s="76"/>
      <c r="T3111" s="554"/>
      <c r="U3111" s="558"/>
      <c r="V3111" s="562">
        <f>SUM(V3109:V3110)</f>
        <v>1.4024999999999999</v>
      </c>
      <c r="W3111" s="557" t="s">
        <v>141</v>
      </c>
      <c r="X3111" s="555" t="s">
        <v>22</v>
      </c>
      <c r="AF3111" s="76" t="s">
        <v>2946</v>
      </c>
      <c r="AH3111" s="76">
        <f>SUM(AH3107:AH3110)</f>
        <v>113.02000000000001</v>
      </c>
      <c r="AQ3111" s="76" t="s">
        <v>2946</v>
      </c>
      <c r="AS3111" s="76">
        <f>SUM(AS3107:AS3110)</f>
        <v>112.89500000000001</v>
      </c>
    </row>
    <row r="3112" spans="6:47" ht="24" customHeight="1">
      <c r="F3112" s="460">
        <v>50</v>
      </c>
      <c r="G3112" s="459" t="s">
        <v>3</v>
      </c>
      <c r="H3112" s="182" t="s">
        <v>2947</v>
      </c>
      <c r="I3112" s="563">
        <f>I961</f>
        <v>2.35</v>
      </c>
      <c r="J3112" s="461"/>
      <c r="K3112" s="469">
        <f>(F3112*I3112)</f>
        <v>117.5</v>
      </c>
      <c r="S3112" s="76"/>
      <c r="T3112" s="156"/>
      <c r="W3112" s="158"/>
      <c r="X3112" s="281" t="s">
        <v>22</v>
      </c>
    </row>
    <row r="3113" spans="6:47" ht="26.25" customHeight="1">
      <c r="F3113" s="460"/>
      <c r="G3113" s="459"/>
      <c r="H3113" s="474"/>
      <c r="I3113" s="474"/>
      <c r="J3113" s="475"/>
      <c r="K3113" s="476" t="s">
        <v>534</v>
      </c>
      <c r="S3113" s="76"/>
      <c r="T3113" s="156"/>
      <c r="W3113" s="158"/>
      <c r="X3113" s="154" t="s">
        <v>22</v>
      </c>
      <c r="AE3113" s="564" t="s">
        <v>2824</v>
      </c>
      <c r="AF3113" s="76" t="s">
        <v>2948</v>
      </c>
      <c r="AG3113" s="564" t="s">
        <v>2948</v>
      </c>
      <c r="AH3113" s="564" t="s">
        <v>2949</v>
      </c>
      <c r="AP3113" s="564" t="s">
        <v>2824</v>
      </c>
      <c r="AQ3113" s="199" t="s">
        <v>2948</v>
      </c>
      <c r="AR3113" s="565" t="s">
        <v>2949</v>
      </c>
    </row>
    <row r="3114" spans="6:47" ht="24" customHeight="1">
      <c r="F3114" s="460"/>
      <c r="G3114" s="459"/>
      <c r="H3114" s="477" t="s">
        <v>1905</v>
      </c>
      <c r="I3114" s="474"/>
      <c r="J3114" s="475"/>
      <c r="K3114" s="478">
        <f>SUM(K3102:K3112)</f>
        <v>9547.4656350000005</v>
      </c>
      <c r="S3114" s="155" t="s">
        <v>1811</v>
      </c>
      <c r="T3114" s="165"/>
      <c r="U3114" s="157" t="s">
        <v>2950</v>
      </c>
      <c r="W3114" s="158"/>
      <c r="X3114" s="154" t="s">
        <v>22</v>
      </c>
      <c r="AE3114" s="564"/>
      <c r="AF3114" s="76">
        <v>331</v>
      </c>
      <c r="AG3114" s="564">
        <v>331</v>
      </c>
      <c r="AH3114" s="564">
        <v>283</v>
      </c>
      <c r="AP3114" s="564"/>
      <c r="AR3114" s="564"/>
      <c r="AS3114" s="564"/>
    </row>
    <row r="3115" spans="6:47" ht="24" customHeight="1">
      <c r="F3115" s="460"/>
      <c r="G3115" s="468" t="s">
        <v>22</v>
      </c>
      <c r="H3115" s="474"/>
      <c r="I3115" s="474"/>
      <c r="J3115" s="475"/>
      <c r="K3115" s="476" t="s">
        <v>534</v>
      </c>
      <c r="S3115" s="76"/>
      <c r="T3115" s="156"/>
      <c r="U3115" s="162" t="s">
        <v>534</v>
      </c>
      <c r="W3115" s="158"/>
      <c r="AE3115" s="564" t="s">
        <v>2951</v>
      </c>
      <c r="AF3115" s="76">
        <f>AH3111</f>
        <v>113.02000000000001</v>
      </c>
      <c r="AG3115" s="564">
        <f>AH3111</f>
        <v>113.02000000000001</v>
      </c>
      <c r="AH3115" s="564">
        <f>AH3111</f>
        <v>113.02000000000001</v>
      </c>
      <c r="AP3115" s="564" t="s">
        <v>2951</v>
      </c>
      <c r="AQ3115" s="199">
        <v>96</v>
      </c>
      <c r="AR3115" s="199">
        <v>85</v>
      </c>
      <c r="AS3115" s="199">
        <v>85</v>
      </c>
    </row>
    <row r="3116" spans="6:47" ht="21" customHeight="1">
      <c r="F3116" s="460"/>
      <c r="G3116" s="459"/>
      <c r="H3116" s="477" t="s">
        <v>881</v>
      </c>
      <c r="I3116" s="474"/>
      <c r="J3116" s="475"/>
      <c r="K3116" s="478">
        <f>K3114/2.52</f>
        <v>3788.6768392857143</v>
      </c>
      <c r="S3116" s="232">
        <v>7.0699999999999999E-2</v>
      </c>
      <c r="T3116" s="165" t="s">
        <v>577</v>
      </c>
      <c r="U3116" s="154" t="s">
        <v>2952</v>
      </c>
      <c r="V3116" s="167">
        <f>P3156</f>
        <v>99400</v>
      </c>
      <c r="W3116" s="154" t="s">
        <v>577</v>
      </c>
      <c r="X3116" s="167">
        <f>V3116*S3116</f>
        <v>7027.58</v>
      </c>
      <c r="AE3116" s="564" t="s">
        <v>2559</v>
      </c>
      <c r="AF3116" s="76">
        <f>SUM(AF3114:AF3115)</f>
        <v>444.02</v>
      </c>
      <c r="AG3116" s="564">
        <f>SUM(AG3114:AG3115)</f>
        <v>444.02</v>
      </c>
      <c r="AH3116" s="564">
        <f>SUM(AH3114:AH3115)</f>
        <v>396.02</v>
      </c>
      <c r="AP3116" s="564" t="s">
        <v>2559</v>
      </c>
      <c r="AQ3116" s="76">
        <f>AS3111</f>
        <v>112.89500000000001</v>
      </c>
      <c r="AR3116" s="564">
        <f>AS3111</f>
        <v>112.89500000000001</v>
      </c>
      <c r="AS3116" s="564"/>
    </row>
    <row r="3117" spans="6:47" ht="23.25" customHeight="1">
      <c r="F3117" s="460"/>
      <c r="G3117" s="459"/>
      <c r="H3117" s="474"/>
      <c r="I3117" s="474"/>
      <c r="J3117" s="475"/>
      <c r="K3117" s="476" t="s">
        <v>528</v>
      </c>
      <c r="S3117" s="232">
        <v>3.6659999999999999</v>
      </c>
      <c r="T3117" s="165" t="s">
        <v>916</v>
      </c>
      <c r="U3117" s="154" t="s">
        <v>2953</v>
      </c>
      <c r="V3117" s="167">
        <f>I1176</f>
        <v>208.8</v>
      </c>
      <c r="W3117" s="154" t="s">
        <v>577</v>
      </c>
      <c r="X3117" s="167">
        <f t="shared" ref="X3117:X3124" si="276">V3117*S3117</f>
        <v>765.46080000000006</v>
      </c>
      <c r="AE3117" s="564"/>
      <c r="AF3117" s="76">
        <f>ROUNDUP(AF3116,0)</f>
        <v>445</v>
      </c>
      <c r="AG3117" s="76">
        <f>ROUNDUP(AG3116,0)</f>
        <v>445</v>
      </c>
      <c r="AH3117" s="76">
        <f>ROUNDUP(AH3116,0)</f>
        <v>397</v>
      </c>
      <c r="AP3117" s="564"/>
      <c r="AQ3117" s="199">
        <f>SUM(AQ3114:AQ3116)</f>
        <v>208.89500000000001</v>
      </c>
      <c r="AR3117" s="199">
        <f>SUM(AR3114:AR3116)</f>
        <v>197.89500000000001</v>
      </c>
    </row>
    <row r="3118" spans="6:47" ht="39" customHeight="1">
      <c r="S3118" s="233">
        <v>5.16</v>
      </c>
      <c r="T3118" s="165" t="s">
        <v>916</v>
      </c>
      <c r="U3118" s="154" t="s">
        <v>935</v>
      </c>
      <c r="V3118" s="167">
        <f>AE32</f>
        <v>1031.8000000000002</v>
      </c>
      <c r="W3118" s="154" t="s">
        <v>916</v>
      </c>
      <c r="X3118" s="167">
        <f t="shared" si="276"/>
        <v>5324.0880000000006</v>
      </c>
      <c r="AE3118" s="564"/>
      <c r="AF3118" s="564"/>
      <c r="AG3118" s="564"/>
      <c r="AH3118" s="564"/>
      <c r="AQ3118" s="76">
        <f>ROUNDUP(AQ3117,0)</f>
        <v>209</v>
      </c>
      <c r="AR3118" s="76">
        <f>ROUNDUP(AR3117,0)</f>
        <v>198</v>
      </c>
    </row>
    <row r="3119" spans="6:47" ht="39" customHeight="1">
      <c r="S3119" s="233">
        <v>22.66</v>
      </c>
      <c r="T3119" s="165" t="s">
        <v>2954</v>
      </c>
      <c r="U3119" s="154" t="s">
        <v>2955</v>
      </c>
      <c r="V3119" s="167">
        <v>45.7</v>
      </c>
      <c r="W3119" s="154" t="s">
        <v>916</v>
      </c>
      <c r="X3119" s="167">
        <f t="shared" si="276"/>
        <v>1035.5620000000001</v>
      </c>
    </row>
    <row r="3120" spans="6:47" ht="39" customHeight="1">
      <c r="H3120" s="199" t="s">
        <v>2956</v>
      </c>
      <c r="N3120" s="156"/>
      <c r="O3120" s="199" t="s">
        <v>2957</v>
      </c>
      <c r="Q3120" s="158"/>
      <c r="S3120" s="167">
        <v>15</v>
      </c>
      <c r="T3120" s="165" t="s">
        <v>576</v>
      </c>
      <c r="U3120" s="154" t="s">
        <v>1813</v>
      </c>
      <c r="V3120" s="167">
        <f>C279</f>
        <v>78.400000000000006</v>
      </c>
      <c r="W3120" s="154" t="s">
        <v>576</v>
      </c>
      <c r="X3120" s="167">
        <f t="shared" si="276"/>
        <v>1176</v>
      </c>
    </row>
    <row r="3121" spans="6:24" ht="39" customHeight="1">
      <c r="F3121" s="76">
        <v>1</v>
      </c>
      <c r="H3121" s="76" t="s">
        <v>2958</v>
      </c>
      <c r="I3121" s="566">
        <v>143.97999999999999</v>
      </c>
      <c r="J3121" s="158" t="s">
        <v>332</v>
      </c>
      <c r="K3121" s="76">
        <f>I3121</f>
        <v>143.97999999999999</v>
      </c>
      <c r="M3121" s="76">
        <v>1</v>
      </c>
      <c r="N3121" s="156"/>
      <c r="O3121" s="76" t="s">
        <v>2959</v>
      </c>
      <c r="P3121" s="231">
        <v>14.7</v>
      </c>
      <c r="Q3121" s="158" t="s">
        <v>332</v>
      </c>
      <c r="R3121" s="76">
        <f>P3121</f>
        <v>14.7</v>
      </c>
      <c r="S3121" s="167">
        <v>10</v>
      </c>
      <c r="T3121" s="165" t="s">
        <v>576</v>
      </c>
      <c r="U3121" s="154" t="s">
        <v>2960</v>
      </c>
      <c r="V3121" s="174">
        <v>68.5</v>
      </c>
      <c r="W3121" s="154" t="s">
        <v>576</v>
      </c>
      <c r="X3121" s="167">
        <f t="shared" si="276"/>
        <v>685</v>
      </c>
    </row>
    <row r="3122" spans="6:24" ht="39" customHeight="1">
      <c r="F3122" s="76">
        <v>1</v>
      </c>
      <c r="H3122" s="264" t="s">
        <v>2961</v>
      </c>
      <c r="I3122" s="566">
        <v>41.65</v>
      </c>
      <c r="J3122" s="158" t="s">
        <v>332</v>
      </c>
      <c r="K3122" s="76">
        <f>I3122</f>
        <v>41.65</v>
      </c>
      <c r="M3122" s="76">
        <v>1</v>
      </c>
      <c r="N3122" s="156"/>
      <c r="O3122" s="76" t="s">
        <v>2962</v>
      </c>
      <c r="P3122" s="231">
        <v>7.3</v>
      </c>
      <c r="Q3122" s="158" t="s">
        <v>332</v>
      </c>
      <c r="R3122" s="76">
        <f>P3122</f>
        <v>7.3</v>
      </c>
      <c r="S3122" s="167">
        <v>5</v>
      </c>
      <c r="T3122" s="165" t="s">
        <v>576</v>
      </c>
      <c r="U3122" s="154" t="s">
        <v>2963</v>
      </c>
      <c r="V3122" s="167">
        <f>P3163</f>
        <v>50.4</v>
      </c>
      <c r="W3122" s="154" t="s">
        <v>576</v>
      </c>
      <c r="X3122" s="167">
        <f t="shared" si="276"/>
        <v>252</v>
      </c>
    </row>
    <row r="3123" spans="6:24" ht="39" customHeight="1">
      <c r="F3123" s="159">
        <v>0.125</v>
      </c>
      <c r="H3123" s="264" t="s">
        <v>2964</v>
      </c>
      <c r="I3123" s="76">
        <f>C15</f>
        <v>622.6</v>
      </c>
      <c r="J3123" s="158" t="s">
        <v>332</v>
      </c>
      <c r="K3123" s="76">
        <f>F3123*I3123</f>
        <v>77.825000000000003</v>
      </c>
      <c r="M3123" s="159">
        <v>0.125</v>
      </c>
      <c r="N3123" s="156"/>
      <c r="O3123" s="264" t="s">
        <v>2964</v>
      </c>
      <c r="P3123" s="264">
        <f>I3123</f>
        <v>622.6</v>
      </c>
      <c r="Q3123" s="158" t="s">
        <v>332</v>
      </c>
      <c r="R3123" s="76">
        <f>M3123*P3123</f>
        <v>77.825000000000003</v>
      </c>
      <c r="S3123" s="167">
        <v>5</v>
      </c>
      <c r="T3123" s="165" t="s">
        <v>576</v>
      </c>
      <c r="U3123" s="154" t="s">
        <v>939</v>
      </c>
      <c r="V3123" s="167">
        <f>P3162</f>
        <v>7.3</v>
      </c>
      <c r="W3123" s="154" t="s">
        <v>576</v>
      </c>
      <c r="X3123" s="167">
        <f t="shared" si="276"/>
        <v>36.5</v>
      </c>
    </row>
    <row r="3124" spans="6:24" ht="39" customHeight="1">
      <c r="F3124" s="159"/>
      <c r="H3124" s="264" t="s">
        <v>1699</v>
      </c>
      <c r="K3124" s="76">
        <v>2.11</v>
      </c>
      <c r="M3124" s="159"/>
      <c r="N3124" s="156"/>
      <c r="O3124" s="264" t="s">
        <v>1699</v>
      </c>
      <c r="Q3124" s="158"/>
      <c r="R3124" s="76">
        <v>4.37</v>
      </c>
      <c r="S3124" s="167">
        <v>10</v>
      </c>
      <c r="T3124" s="165" t="s">
        <v>576</v>
      </c>
      <c r="U3124" s="154" t="s">
        <v>2965</v>
      </c>
      <c r="V3124" s="167">
        <f>I3112</f>
        <v>2.35</v>
      </c>
      <c r="W3124" s="154" t="s">
        <v>576</v>
      </c>
      <c r="X3124" s="167">
        <f t="shared" si="276"/>
        <v>23.5</v>
      </c>
    </row>
    <row r="3125" spans="6:24" ht="24" customHeight="1">
      <c r="H3125" s="342" t="s">
        <v>2685</v>
      </c>
      <c r="I3125" s="199"/>
      <c r="J3125" s="207"/>
      <c r="K3125" s="199">
        <f>SUM(K3121:K3124)</f>
        <v>265.565</v>
      </c>
      <c r="N3125" s="156"/>
      <c r="O3125" s="342" t="s">
        <v>2685</v>
      </c>
      <c r="P3125" s="199"/>
      <c r="Q3125" s="207"/>
      <c r="R3125" s="199">
        <f>SUM(R3121:R3124)</f>
        <v>104.19500000000001</v>
      </c>
      <c r="S3125" s="167"/>
      <c r="T3125" s="165">
        <f>R3125-90</f>
        <v>14.195000000000007</v>
      </c>
      <c r="U3125" s="154"/>
      <c r="V3125" s="167"/>
      <c r="W3125" s="154" t="s">
        <v>576</v>
      </c>
      <c r="X3125" s="162" t="s">
        <v>534</v>
      </c>
    </row>
    <row r="3126" spans="6:24" ht="24" customHeight="1">
      <c r="R3126" s="76">
        <f>R3125-87</f>
        <v>17.195000000000007</v>
      </c>
      <c r="S3126" s="167"/>
      <c r="T3126" s="156"/>
      <c r="U3126" s="155" t="s">
        <v>2966</v>
      </c>
      <c r="W3126" s="158"/>
      <c r="X3126" s="167">
        <f>SUM(X3116:X3124)</f>
        <v>16325.6908</v>
      </c>
    </row>
    <row r="3127" spans="6:24" ht="24" customHeight="1">
      <c r="S3127" s="76"/>
      <c r="T3127" s="156"/>
      <c r="W3127" s="158"/>
      <c r="X3127" s="162" t="s">
        <v>534</v>
      </c>
    </row>
    <row r="3128" spans="6:24" ht="24" customHeight="1">
      <c r="F3128" s="155" t="s">
        <v>1824</v>
      </c>
      <c r="G3128" s="165" t="s">
        <v>307</v>
      </c>
      <c r="H3128" s="154" t="s">
        <v>1825</v>
      </c>
      <c r="S3128" s="76"/>
      <c r="T3128" s="165" t="s">
        <v>22</v>
      </c>
      <c r="U3128" s="169" t="s">
        <v>881</v>
      </c>
      <c r="W3128" s="158"/>
      <c r="X3128" s="166">
        <f>X3126/S3118</f>
        <v>3163.8935658914729</v>
      </c>
    </row>
    <row r="3129" spans="6:24" ht="24" customHeight="1">
      <c r="H3129" s="154" t="s">
        <v>1826</v>
      </c>
      <c r="S3129" s="76"/>
      <c r="T3129" s="156"/>
      <c r="W3129" s="158"/>
      <c r="X3129" s="162" t="s">
        <v>528</v>
      </c>
    </row>
    <row r="3130" spans="6:24" ht="24" customHeight="1">
      <c r="H3130" s="154" t="s">
        <v>1828</v>
      </c>
      <c r="S3130" s="76"/>
      <c r="T3130" s="156"/>
    </row>
    <row r="3131" spans="6:24" ht="24" customHeight="1">
      <c r="H3131" s="154" t="s">
        <v>1829</v>
      </c>
      <c r="S3131" s="155"/>
      <c r="T3131" s="165"/>
      <c r="U3131" s="154" t="s">
        <v>2967</v>
      </c>
      <c r="W3131" s="158"/>
      <c r="X3131" s="154" t="s">
        <v>22</v>
      </c>
    </row>
    <row r="3132" spans="6:24" ht="24" customHeight="1">
      <c r="H3132" s="154" t="s">
        <v>1830</v>
      </c>
      <c r="S3132" s="76"/>
      <c r="T3132" s="156"/>
      <c r="U3132" s="162" t="s">
        <v>534</v>
      </c>
      <c r="W3132" s="158"/>
    </row>
    <row r="3133" spans="6:24" ht="24" customHeight="1">
      <c r="H3133" s="154" t="s">
        <v>1831</v>
      </c>
      <c r="S3133" s="232">
        <v>2.7400000000000001E-2</v>
      </c>
      <c r="T3133" s="165" t="s">
        <v>577</v>
      </c>
      <c r="U3133" s="154" t="s">
        <v>2952</v>
      </c>
      <c r="V3133" s="167">
        <f>V3116</f>
        <v>99400</v>
      </c>
      <c r="W3133" s="154" t="s">
        <v>577</v>
      </c>
      <c r="X3133" s="167">
        <f>V3133*S3133</f>
        <v>2723.56</v>
      </c>
    </row>
    <row r="3134" spans="6:24" ht="24" customHeight="1">
      <c r="H3134" s="162" t="s">
        <v>534</v>
      </c>
      <c r="S3134" s="232">
        <v>1.1599999999999999</v>
      </c>
      <c r="T3134" s="165" t="s">
        <v>916</v>
      </c>
      <c r="U3134" s="154" t="s">
        <v>2953</v>
      </c>
      <c r="V3134" s="167">
        <f t="shared" ref="V3134:V3141" si="277">V3117</f>
        <v>208.8</v>
      </c>
      <c r="W3134" s="154" t="s">
        <v>577</v>
      </c>
      <c r="X3134" s="167">
        <f t="shared" ref="X3134:X3141" si="278">V3134*S3134</f>
        <v>242.208</v>
      </c>
    </row>
    <row r="3135" spans="6:24" ht="24" customHeight="1">
      <c r="H3135" s="154" t="s">
        <v>2968</v>
      </c>
      <c r="M3135" s="155" t="s">
        <v>1824</v>
      </c>
      <c r="N3135" s="165" t="s">
        <v>307</v>
      </c>
      <c r="O3135" s="154" t="s">
        <v>1825</v>
      </c>
      <c r="Q3135" s="158"/>
      <c r="S3135" s="233">
        <v>1.74</v>
      </c>
      <c r="T3135" s="165" t="s">
        <v>916</v>
      </c>
      <c r="U3135" s="154" t="s">
        <v>935</v>
      </c>
      <c r="V3135" s="167">
        <f t="shared" si="277"/>
        <v>1031.8000000000002</v>
      </c>
      <c r="W3135" s="154" t="s">
        <v>916</v>
      </c>
      <c r="X3135" s="167">
        <f t="shared" si="278"/>
        <v>1795.3320000000003</v>
      </c>
    </row>
    <row r="3136" spans="6:24" ht="24" customHeight="1">
      <c r="H3136" s="154" t="s">
        <v>1833</v>
      </c>
      <c r="N3136" s="156"/>
      <c r="O3136" s="154" t="s">
        <v>1826</v>
      </c>
      <c r="Q3136" s="158"/>
      <c r="S3136" s="233">
        <v>8.74</v>
      </c>
      <c r="T3136" s="165" t="s">
        <v>2954</v>
      </c>
      <c r="U3136" s="154" t="s">
        <v>2955</v>
      </c>
      <c r="V3136" s="167">
        <f t="shared" si="277"/>
        <v>45.7</v>
      </c>
      <c r="W3136" s="154" t="s">
        <v>916</v>
      </c>
      <c r="X3136" s="167">
        <f t="shared" si="278"/>
        <v>399.41800000000001</v>
      </c>
    </row>
    <row r="3137" spans="6:24" ht="24" customHeight="1">
      <c r="J3137" s="154" t="s">
        <v>534</v>
      </c>
      <c r="N3137" s="156"/>
      <c r="O3137" s="154" t="s">
        <v>1828</v>
      </c>
      <c r="Q3137" s="158"/>
      <c r="S3137" s="167">
        <v>6</v>
      </c>
      <c r="T3137" s="165" t="s">
        <v>576</v>
      </c>
      <c r="U3137" s="154" t="s">
        <v>1813</v>
      </c>
      <c r="V3137" s="167">
        <f t="shared" si="277"/>
        <v>78.400000000000006</v>
      </c>
      <c r="W3137" s="154" t="s">
        <v>576</v>
      </c>
      <c r="X3137" s="167">
        <f t="shared" si="278"/>
        <v>470.40000000000003</v>
      </c>
    </row>
    <row r="3138" spans="6:24" ht="24" customHeight="1">
      <c r="H3138" s="154" t="s">
        <v>2969</v>
      </c>
      <c r="N3138" s="156"/>
      <c r="O3138" s="154" t="s">
        <v>1829</v>
      </c>
      <c r="Q3138" s="158"/>
      <c r="S3138" s="167">
        <v>4</v>
      </c>
      <c r="T3138" s="165" t="s">
        <v>576</v>
      </c>
      <c r="U3138" s="154" t="s">
        <v>2960</v>
      </c>
      <c r="V3138" s="167">
        <f t="shared" si="277"/>
        <v>68.5</v>
      </c>
      <c r="W3138" s="154" t="s">
        <v>576</v>
      </c>
      <c r="X3138" s="167">
        <f t="shared" si="278"/>
        <v>274</v>
      </c>
    </row>
    <row r="3139" spans="6:24" ht="24" customHeight="1">
      <c r="H3139" s="154" t="s">
        <v>22</v>
      </c>
      <c r="I3139" s="154" t="s">
        <v>22</v>
      </c>
      <c r="K3139" s="281" t="s">
        <v>22</v>
      </c>
      <c r="N3139" s="156"/>
      <c r="O3139" s="154" t="s">
        <v>1830</v>
      </c>
      <c r="Q3139" s="158"/>
      <c r="S3139" s="167">
        <v>2</v>
      </c>
      <c r="T3139" s="165" t="s">
        <v>576</v>
      </c>
      <c r="U3139" s="154" t="s">
        <v>2963</v>
      </c>
      <c r="V3139" s="167">
        <f t="shared" si="277"/>
        <v>50.4</v>
      </c>
      <c r="W3139" s="154" t="s">
        <v>576</v>
      </c>
      <c r="X3139" s="167">
        <f t="shared" si="278"/>
        <v>100.8</v>
      </c>
    </row>
    <row r="3140" spans="6:24" ht="24" customHeight="1">
      <c r="J3140" s="154" t="s">
        <v>22</v>
      </c>
      <c r="K3140" s="154" t="s">
        <v>22</v>
      </c>
      <c r="N3140" s="156"/>
      <c r="O3140" s="154" t="s">
        <v>1831</v>
      </c>
      <c r="Q3140" s="158"/>
      <c r="S3140" s="167">
        <v>2</v>
      </c>
      <c r="T3140" s="165" t="s">
        <v>576</v>
      </c>
      <c r="U3140" s="154" t="s">
        <v>939</v>
      </c>
      <c r="V3140" s="167">
        <f t="shared" si="277"/>
        <v>7.3</v>
      </c>
      <c r="W3140" s="154" t="s">
        <v>576</v>
      </c>
      <c r="X3140" s="167">
        <f t="shared" si="278"/>
        <v>14.6</v>
      </c>
    </row>
    <row r="3141" spans="6:24" ht="24" customHeight="1">
      <c r="H3141" s="154" t="s">
        <v>2970</v>
      </c>
      <c r="J3141" s="281" t="s">
        <v>22</v>
      </c>
      <c r="K3141" s="281" t="s">
        <v>22</v>
      </c>
      <c r="N3141" s="156"/>
      <c r="O3141" s="164" t="s">
        <v>2971</v>
      </c>
      <c r="Q3141" s="158"/>
      <c r="S3141" s="167">
        <v>10</v>
      </c>
      <c r="T3141" s="165" t="s">
        <v>576</v>
      </c>
      <c r="U3141" s="154" t="s">
        <v>2965</v>
      </c>
      <c r="V3141" s="167">
        <f t="shared" si="277"/>
        <v>2.35</v>
      </c>
      <c r="W3141" s="154" t="s">
        <v>576</v>
      </c>
      <c r="X3141" s="167">
        <f t="shared" si="278"/>
        <v>23.5</v>
      </c>
    </row>
    <row r="3142" spans="6:24" ht="24" customHeight="1">
      <c r="H3142" s="154" t="s">
        <v>2972</v>
      </c>
      <c r="K3142" s="281">
        <v>1.26</v>
      </c>
      <c r="N3142" s="156"/>
      <c r="O3142" s="154" t="s">
        <v>2973</v>
      </c>
      <c r="P3142" s="252">
        <f>1.1*2.05</f>
        <v>2.2549999999999999</v>
      </c>
      <c r="Q3142" s="158" t="s">
        <v>141</v>
      </c>
      <c r="S3142" s="167"/>
      <c r="T3142" s="165"/>
      <c r="U3142" s="154"/>
      <c r="V3142" s="167"/>
      <c r="W3142" s="154" t="s">
        <v>576</v>
      </c>
      <c r="X3142" s="162" t="s">
        <v>534</v>
      </c>
    </row>
    <row r="3143" spans="6:24" ht="24" customHeight="1">
      <c r="K3143" s="154" t="s">
        <v>22</v>
      </c>
      <c r="N3143" s="156"/>
      <c r="O3143" s="154" t="s">
        <v>2974</v>
      </c>
      <c r="P3143" s="516">
        <f>2*2.05*0.075*0.0375</f>
        <v>1.1531249999999998E-2</v>
      </c>
      <c r="Q3143" s="158" t="s">
        <v>421</v>
      </c>
      <c r="S3143" s="167"/>
      <c r="T3143" s="156"/>
      <c r="U3143" s="155" t="s">
        <v>2975</v>
      </c>
      <c r="W3143" s="158"/>
      <c r="X3143" s="167">
        <f>SUM(X3133:X3141)</f>
        <v>6043.8180000000002</v>
      </c>
    </row>
    <row r="3144" spans="6:24" ht="24" customHeight="1">
      <c r="K3144" s="281" t="s">
        <v>22</v>
      </c>
      <c r="N3144" s="156"/>
      <c r="Q3144" s="154" t="s">
        <v>534</v>
      </c>
      <c r="S3144" s="76"/>
      <c r="T3144" s="156"/>
      <c r="W3144" s="158"/>
      <c r="X3144" s="162" t="s">
        <v>534</v>
      </c>
    </row>
    <row r="3145" spans="6:24" ht="24" customHeight="1">
      <c r="K3145" s="154" t="s">
        <v>22</v>
      </c>
      <c r="N3145" s="156"/>
      <c r="O3145" s="154" t="s">
        <v>2976</v>
      </c>
      <c r="P3145" s="516">
        <f>1*3*1.1*0.15*0.0375</f>
        <v>1.8562499999999999E-2</v>
      </c>
      <c r="Q3145" s="158" t="s">
        <v>421</v>
      </c>
      <c r="S3145" s="76"/>
      <c r="T3145" s="165" t="s">
        <v>22</v>
      </c>
      <c r="U3145" s="169" t="s">
        <v>881</v>
      </c>
      <c r="W3145" s="158"/>
      <c r="X3145" s="166">
        <f>X3143/S3135</f>
        <v>3473.4586206896552</v>
      </c>
    </row>
    <row r="3146" spans="6:24" ht="24" customHeight="1">
      <c r="F3146" s="155" t="s">
        <v>1811</v>
      </c>
      <c r="G3146" s="165"/>
      <c r="H3146" s="154" t="s">
        <v>1851</v>
      </c>
      <c r="K3146" s="154" t="s">
        <v>22</v>
      </c>
      <c r="N3146" s="156"/>
      <c r="O3146" s="154" t="s">
        <v>22</v>
      </c>
      <c r="P3146" s="154" t="s">
        <v>22</v>
      </c>
      <c r="Q3146" s="158"/>
      <c r="R3146" s="281" t="s">
        <v>22</v>
      </c>
      <c r="S3146" s="76"/>
      <c r="T3146" s="156"/>
      <c r="W3146" s="158"/>
      <c r="X3146" s="162" t="s">
        <v>528</v>
      </c>
    </row>
    <row r="3147" spans="6:24" ht="24" customHeight="1">
      <c r="H3147" s="162" t="s">
        <v>534</v>
      </c>
      <c r="N3147" s="156"/>
      <c r="Q3147" s="154" t="s">
        <v>22</v>
      </c>
      <c r="R3147" s="154" t="s">
        <v>22</v>
      </c>
    </row>
    <row r="3148" spans="6:24" ht="24" customHeight="1">
      <c r="F3148" s="232">
        <v>1.153E-2</v>
      </c>
      <c r="G3148" s="165" t="s">
        <v>577</v>
      </c>
      <c r="H3148" s="154" t="s">
        <v>932</v>
      </c>
      <c r="I3148" s="167">
        <f>AC26</f>
        <v>111600</v>
      </c>
      <c r="J3148" s="154" t="s">
        <v>577</v>
      </c>
      <c r="K3148" s="167">
        <f>I3148*F3148</f>
        <v>1286.748</v>
      </c>
      <c r="N3148" s="156"/>
      <c r="O3148" s="154" t="s">
        <v>2977</v>
      </c>
      <c r="P3148" s="76">
        <f>1*0.625*0.975</f>
        <v>0.609375</v>
      </c>
      <c r="Q3148" s="281" t="s">
        <v>22</v>
      </c>
      <c r="R3148" s="281" t="s">
        <v>22</v>
      </c>
    </row>
    <row r="3149" spans="6:24" ht="24" customHeight="1">
      <c r="F3149" s="233">
        <v>1.52E-2</v>
      </c>
      <c r="G3149" s="165" t="s">
        <v>577</v>
      </c>
      <c r="H3149" s="154" t="s">
        <v>933</v>
      </c>
      <c r="I3149" s="167">
        <f>AC27</f>
        <v>99400</v>
      </c>
      <c r="J3149" s="154" t="s">
        <v>577</v>
      </c>
      <c r="K3149" s="167">
        <f t="shared" ref="K3149:K3157" si="279">I3149*F3149</f>
        <v>1510.88</v>
      </c>
      <c r="N3149" s="156"/>
      <c r="O3149" s="154" t="s">
        <v>2942</v>
      </c>
      <c r="P3149" s="76">
        <f>1*0.975*1.025</f>
        <v>0.9993749999999999</v>
      </c>
      <c r="Q3149" s="158"/>
      <c r="R3149" s="281">
        <v>1.26</v>
      </c>
      <c r="U3149" s="157" t="s">
        <v>2978</v>
      </c>
    </row>
    <row r="3150" spans="6:24" ht="24" customHeight="1">
      <c r="F3150" s="233">
        <f>K3142</f>
        <v>1.26</v>
      </c>
      <c r="G3150" s="165" t="s">
        <v>916</v>
      </c>
      <c r="H3150" s="154" t="s">
        <v>934</v>
      </c>
      <c r="I3150" s="167">
        <f>C783</f>
        <v>387.4</v>
      </c>
      <c r="J3150" s="154" t="s">
        <v>916</v>
      </c>
      <c r="K3150" s="167">
        <f t="shared" si="279"/>
        <v>488.12399999999997</v>
      </c>
      <c r="N3150" s="156"/>
      <c r="P3150" s="199">
        <f>SUM(P3148:P3149)</f>
        <v>1.6087499999999999</v>
      </c>
      <c r="Q3150" s="158" t="s">
        <v>141</v>
      </c>
      <c r="R3150" s="154" t="s">
        <v>22</v>
      </c>
      <c r="S3150" s="1023" t="s">
        <v>2979</v>
      </c>
      <c r="T3150" s="1023"/>
      <c r="U3150" s="159">
        <f>2*2*0.075*0.0375*1.95</f>
        <v>2.1937499999999999E-2</v>
      </c>
    </row>
    <row r="3151" spans="6:24" ht="24" customHeight="1">
      <c r="F3151" s="233">
        <v>1.845</v>
      </c>
      <c r="G3151" s="165" t="s">
        <v>916</v>
      </c>
      <c r="H3151" s="154" t="s">
        <v>935</v>
      </c>
      <c r="I3151" s="167">
        <f>D30</f>
        <v>921.80000000000007</v>
      </c>
      <c r="J3151" s="154" t="s">
        <v>916</v>
      </c>
      <c r="K3151" s="167">
        <f t="shared" si="279"/>
        <v>1700.721</v>
      </c>
      <c r="N3151" s="156"/>
      <c r="Q3151" s="158"/>
      <c r="R3151" s="281" t="s">
        <v>22</v>
      </c>
      <c r="S3151" s="567" t="s">
        <v>2980</v>
      </c>
      <c r="T3151" s="156"/>
      <c r="U3151" s="516">
        <f>2*2*0.065*0.075*0.375</f>
        <v>7.3124999999999996E-3</v>
      </c>
    </row>
    <row r="3152" spans="6:24" ht="24" customHeight="1">
      <c r="F3152" s="167">
        <v>2</v>
      </c>
      <c r="G3152" s="165" t="s">
        <v>576</v>
      </c>
      <c r="H3152" s="154" t="s">
        <v>936</v>
      </c>
      <c r="I3152" s="167">
        <f>C284</f>
        <v>56.7</v>
      </c>
      <c r="J3152" s="154" t="s">
        <v>576</v>
      </c>
      <c r="K3152" s="167">
        <f t="shared" si="279"/>
        <v>113.4</v>
      </c>
      <c r="N3152" s="156"/>
      <c r="Q3152" s="158"/>
      <c r="R3152" s="154" t="s">
        <v>22</v>
      </c>
      <c r="S3152" s="567"/>
      <c r="T3152" s="156"/>
      <c r="U3152" s="454">
        <f>SUM(U3150:U3151)</f>
        <v>2.9249999999999998E-2</v>
      </c>
      <c r="V3152" s="76" t="s">
        <v>2981</v>
      </c>
    </row>
    <row r="3153" spans="6:24" ht="24" customHeight="1">
      <c r="F3153" s="167">
        <v>3</v>
      </c>
      <c r="G3153" s="165" t="s">
        <v>576</v>
      </c>
      <c r="H3153" s="154" t="s">
        <v>1813</v>
      </c>
      <c r="I3153" s="167">
        <f>C279</f>
        <v>78.400000000000006</v>
      </c>
      <c r="J3153" s="154" t="s">
        <v>576</v>
      </c>
      <c r="K3153" s="167">
        <f t="shared" si="279"/>
        <v>235.20000000000002</v>
      </c>
      <c r="M3153" s="155" t="s">
        <v>1811</v>
      </c>
      <c r="N3153" s="165"/>
      <c r="O3153" s="154" t="s">
        <v>2982</v>
      </c>
      <c r="Q3153" s="158"/>
      <c r="R3153" s="154" t="s">
        <v>22</v>
      </c>
      <c r="S3153" s="567" t="s">
        <v>2983</v>
      </c>
      <c r="T3153" s="156"/>
      <c r="U3153" s="159">
        <f>2*0.65*1.95</f>
        <v>2.5350000000000001</v>
      </c>
      <c r="V3153" s="76" t="s">
        <v>964</v>
      </c>
    </row>
    <row r="3154" spans="6:24" ht="24" customHeight="1">
      <c r="F3154" s="167">
        <v>1</v>
      </c>
      <c r="G3154" s="165" t="s">
        <v>576</v>
      </c>
      <c r="H3154" s="154" t="s">
        <v>938</v>
      </c>
      <c r="I3154" s="167">
        <f>C286</f>
        <v>158.19999999999999</v>
      </c>
      <c r="J3154" s="154" t="s">
        <v>576</v>
      </c>
      <c r="K3154" s="167">
        <f t="shared" si="279"/>
        <v>158.19999999999999</v>
      </c>
      <c r="N3154" s="156"/>
      <c r="O3154" s="162" t="s">
        <v>534</v>
      </c>
      <c r="Q3154" s="158"/>
      <c r="S3154" s="567" t="s">
        <v>2984</v>
      </c>
      <c r="T3154" s="156"/>
      <c r="U3154" s="159">
        <f>1*2*0.525*1.825</f>
        <v>1.91625</v>
      </c>
      <c r="V3154" s="76" t="s">
        <v>2985</v>
      </c>
    </row>
    <row r="3155" spans="6:24" ht="24" customHeight="1">
      <c r="F3155" s="167">
        <v>1</v>
      </c>
      <c r="G3155" s="165" t="s">
        <v>576</v>
      </c>
      <c r="H3155" s="154" t="s">
        <v>939</v>
      </c>
      <c r="I3155" s="167">
        <f>C288</f>
        <v>7.3</v>
      </c>
      <c r="J3155" s="154" t="s">
        <v>576</v>
      </c>
      <c r="K3155" s="167">
        <f t="shared" si="279"/>
        <v>7.3</v>
      </c>
      <c r="M3155" s="232">
        <f>P3143</f>
        <v>1.1531249999999998E-2</v>
      </c>
      <c r="N3155" s="165" t="s">
        <v>577</v>
      </c>
      <c r="O3155" s="154" t="s">
        <v>932</v>
      </c>
      <c r="P3155" s="167">
        <f>I3148</f>
        <v>111600</v>
      </c>
      <c r="Q3155" s="154" t="s">
        <v>577</v>
      </c>
      <c r="R3155" s="167">
        <f>P3155*M3155</f>
        <v>1286.8874999999998</v>
      </c>
      <c r="S3155" s="567" t="s">
        <v>2986</v>
      </c>
      <c r="T3155" s="156"/>
      <c r="U3155" s="159">
        <f>2*2*(0.525+1.825)</f>
        <v>9.4</v>
      </c>
      <c r="V3155" s="76" t="s">
        <v>2987</v>
      </c>
    </row>
    <row r="3156" spans="6:24" ht="24" customHeight="1">
      <c r="F3156" s="167">
        <v>1</v>
      </c>
      <c r="G3156" s="165" t="s">
        <v>576</v>
      </c>
      <c r="H3156" s="154" t="s">
        <v>1845</v>
      </c>
      <c r="I3156" s="167">
        <f>C598</f>
        <v>50.4</v>
      </c>
      <c r="J3156" s="154" t="s">
        <v>576</v>
      </c>
      <c r="K3156" s="167">
        <f t="shared" si="279"/>
        <v>50.4</v>
      </c>
      <c r="M3156" s="232">
        <f>P3145</f>
        <v>1.8562499999999999E-2</v>
      </c>
      <c r="N3156" s="165" t="s">
        <v>577</v>
      </c>
      <c r="O3156" s="154" t="s">
        <v>933</v>
      </c>
      <c r="P3156" s="167">
        <f t="shared" ref="P3156:P3164" si="280">I3149</f>
        <v>99400</v>
      </c>
      <c r="Q3156" s="154" t="s">
        <v>577</v>
      </c>
      <c r="R3156" s="167">
        <f t="shared" ref="R3156:R3165" si="281">P3156*M3156</f>
        <v>1845.1125</v>
      </c>
      <c r="S3156" s="155"/>
      <c r="T3156" s="165"/>
      <c r="W3156" s="158"/>
      <c r="X3156" s="154" t="s">
        <v>22</v>
      </c>
    </row>
    <row r="3157" spans="6:24" ht="24" customHeight="1">
      <c r="F3157" s="167">
        <v>1</v>
      </c>
      <c r="G3157" s="165" t="s">
        <v>576</v>
      </c>
      <c r="H3157" s="154" t="s">
        <v>941</v>
      </c>
      <c r="I3157" s="167">
        <f>D598</f>
        <v>43.8</v>
      </c>
      <c r="J3157" s="154" t="s">
        <v>576</v>
      </c>
      <c r="K3157" s="167">
        <f t="shared" si="279"/>
        <v>43.8</v>
      </c>
      <c r="M3157" s="233">
        <f>P3150</f>
        <v>1.6087499999999999</v>
      </c>
      <c r="N3157" s="165" t="s">
        <v>916</v>
      </c>
      <c r="O3157" s="154" t="s">
        <v>934</v>
      </c>
      <c r="P3157" s="167">
        <f t="shared" si="280"/>
        <v>387.4</v>
      </c>
      <c r="Q3157" s="154" t="s">
        <v>916</v>
      </c>
      <c r="R3157" s="167">
        <f t="shared" si="281"/>
        <v>623.22974999999997</v>
      </c>
      <c r="S3157" s="76"/>
      <c r="T3157" s="156"/>
      <c r="U3157" s="162" t="s">
        <v>534</v>
      </c>
      <c r="W3157" s="158"/>
    </row>
    <row r="3158" spans="6:24" ht="24" customHeight="1">
      <c r="H3158" s="482" t="s">
        <v>2965</v>
      </c>
      <c r="K3158" s="263">
        <f>10*2.18</f>
        <v>21.8</v>
      </c>
      <c r="M3158" s="233">
        <f>P3142</f>
        <v>2.2549999999999999</v>
      </c>
      <c r="N3158" s="165" t="s">
        <v>916</v>
      </c>
      <c r="O3158" s="154" t="s">
        <v>935</v>
      </c>
      <c r="P3158" s="167">
        <f t="shared" si="280"/>
        <v>921.80000000000007</v>
      </c>
      <c r="Q3158" s="154" t="s">
        <v>916</v>
      </c>
      <c r="R3158" s="167">
        <f t="shared" si="281"/>
        <v>2078.6590000000001</v>
      </c>
      <c r="S3158" s="232">
        <v>9.2099999999999994E-3</v>
      </c>
      <c r="T3158" s="165" t="s">
        <v>577</v>
      </c>
      <c r="U3158" s="154" t="s">
        <v>2952</v>
      </c>
      <c r="V3158" s="167">
        <f>V3133</f>
        <v>99400</v>
      </c>
      <c r="W3158" s="154" t="s">
        <v>577</v>
      </c>
      <c r="X3158" s="167">
        <f>V3158*S3158</f>
        <v>915.47399999999993</v>
      </c>
    </row>
    <row r="3159" spans="6:24" ht="24" customHeight="1">
      <c r="H3159" s="155" t="s">
        <v>2988</v>
      </c>
      <c r="K3159" s="167">
        <f>SUM(K3148:K3158)</f>
        <v>5616.5729999999994</v>
      </c>
      <c r="M3159" s="167">
        <v>2</v>
      </c>
      <c r="N3159" s="165" t="s">
        <v>576</v>
      </c>
      <c r="O3159" s="154" t="s">
        <v>936</v>
      </c>
      <c r="P3159" s="167">
        <f t="shared" si="280"/>
        <v>56.7</v>
      </c>
      <c r="Q3159" s="154" t="s">
        <v>576</v>
      </c>
      <c r="R3159" s="167">
        <f t="shared" si="281"/>
        <v>113.4</v>
      </c>
      <c r="S3159" s="232">
        <v>0.65249999999999997</v>
      </c>
      <c r="T3159" s="165" t="s">
        <v>916</v>
      </c>
      <c r="U3159" s="154" t="s">
        <v>2953</v>
      </c>
      <c r="V3159" s="167">
        <f>V3134</f>
        <v>208.8</v>
      </c>
      <c r="W3159" s="154" t="s">
        <v>577</v>
      </c>
      <c r="X3159" s="167">
        <f t="shared" ref="X3159:X3166" si="282">V3159*S3159</f>
        <v>136.24199999999999</v>
      </c>
    </row>
    <row r="3160" spans="6:24" ht="24" customHeight="1">
      <c r="G3160" s="165" t="s">
        <v>22</v>
      </c>
      <c r="K3160" s="162" t="s">
        <v>534</v>
      </c>
      <c r="M3160" s="167">
        <v>3</v>
      </c>
      <c r="N3160" s="165" t="s">
        <v>576</v>
      </c>
      <c r="O3160" s="154" t="s">
        <v>1813</v>
      </c>
      <c r="P3160" s="167">
        <f t="shared" si="280"/>
        <v>78.400000000000006</v>
      </c>
      <c r="Q3160" s="154" t="s">
        <v>576</v>
      </c>
      <c r="R3160" s="167">
        <f t="shared" si="281"/>
        <v>235.20000000000002</v>
      </c>
      <c r="S3160" s="233">
        <v>0.879</v>
      </c>
      <c r="T3160" s="165" t="s">
        <v>916</v>
      </c>
      <c r="U3160" s="154" t="s">
        <v>935</v>
      </c>
      <c r="V3160" s="167">
        <f t="shared" ref="V3160:V3165" si="283">V3135</f>
        <v>1031.8000000000002</v>
      </c>
      <c r="W3160" s="154" t="s">
        <v>916</v>
      </c>
      <c r="X3160" s="167">
        <f t="shared" si="282"/>
        <v>906.95220000000018</v>
      </c>
    </row>
    <row r="3161" spans="6:24" ht="24" customHeight="1">
      <c r="H3161" s="169" t="s">
        <v>881</v>
      </c>
      <c r="K3161" s="166">
        <f>K3159/F3151</f>
        <v>3044.2130081300811</v>
      </c>
      <c r="M3161" s="167">
        <v>1</v>
      </c>
      <c r="N3161" s="165" t="s">
        <v>576</v>
      </c>
      <c r="O3161" s="154" t="s">
        <v>938</v>
      </c>
      <c r="P3161" s="167">
        <f t="shared" si="280"/>
        <v>158.19999999999999</v>
      </c>
      <c r="Q3161" s="154" t="s">
        <v>576</v>
      </c>
      <c r="R3161" s="167">
        <f t="shared" si="281"/>
        <v>158.19999999999999</v>
      </c>
      <c r="S3161" s="233">
        <v>4.3250000000000002</v>
      </c>
      <c r="T3161" s="165" t="s">
        <v>2954</v>
      </c>
      <c r="U3161" s="154" t="s">
        <v>2955</v>
      </c>
      <c r="V3161" s="167">
        <f t="shared" si="283"/>
        <v>45.7</v>
      </c>
      <c r="W3161" s="154" t="s">
        <v>916</v>
      </c>
      <c r="X3161" s="167">
        <f t="shared" si="282"/>
        <v>197.65250000000003</v>
      </c>
    </row>
    <row r="3162" spans="6:24" ht="24" customHeight="1">
      <c r="K3162" s="162" t="s">
        <v>528</v>
      </c>
      <c r="M3162" s="167">
        <v>1</v>
      </c>
      <c r="N3162" s="165" t="s">
        <v>576</v>
      </c>
      <c r="O3162" s="154" t="s">
        <v>939</v>
      </c>
      <c r="P3162" s="167">
        <f t="shared" si="280"/>
        <v>7.3</v>
      </c>
      <c r="Q3162" s="154" t="s">
        <v>576</v>
      </c>
      <c r="R3162" s="167">
        <f t="shared" si="281"/>
        <v>7.3</v>
      </c>
      <c r="S3162" s="167">
        <v>3</v>
      </c>
      <c r="T3162" s="165" t="s">
        <v>576</v>
      </c>
      <c r="U3162" s="154" t="s">
        <v>1813</v>
      </c>
      <c r="V3162" s="167">
        <f t="shared" si="283"/>
        <v>78.400000000000006</v>
      </c>
      <c r="W3162" s="154" t="s">
        <v>576</v>
      </c>
      <c r="X3162" s="167">
        <f t="shared" si="282"/>
        <v>235.20000000000002</v>
      </c>
    </row>
    <row r="3163" spans="6:24" ht="24" customHeight="1">
      <c r="M3163" s="167">
        <v>1</v>
      </c>
      <c r="N3163" s="165" t="s">
        <v>576</v>
      </c>
      <c r="O3163" s="154" t="s">
        <v>1845</v>
      </c>
      <c r="P3163" s="167">
        <f t="shared" si="280"/>
        <v>50.4</v>
      </c>
      <c r="Q3163" s="154" t="s">
        <v>576</v>
      </c>
      <c r="R3163" s="167">
        <f t="shared" si="281"/>
        <v>50.4</v>
      </c>
      <c r="S3163" s="167">
        <v>2</v>
      </c>
      <c r="T3163" s="165" t="s">
        <v>576</v>
      </c>
      <c r="U3163" s="154" t="s">
        <v>2960</v>
      </c>
      <c r="V3163" s="167">
        <f t="shared" si="283"/>
        <v>68.5</v>
      </c>
      <c r="W3163" s="154" t="s">
        <v>576</v>
      </c>
      <c r="X3163" s="167">
        <f t="shared" si="282"/>
        <v>137</v>
      </c>
    </row>
    <row r="3164" spans="6:24" ht="24" customHeight="1">
      <c r="M3164" s="167">
        <v>1</v>
      </c>
      <c r="N3164" s="165" t="s">
        <v>576</v>
      </c>
      <c r="O3164" s="154" t="s">
        <v>941</v>
      </c>
      <c r="P3164" s="167">
        <f t="shared" si="280"/>
        <v>43.8</v>
      </c>
      <c r="Q3164" s="154" t="s">
        <v>576</v>
      </c>
      <c r="R3164" s="167">
        <f t="shared" si="281"/>
        <v>43.8</v>
      </c>
      <c r="S3164" s="167">
        <v>1</v>
      </c>
      <c r="T3164" s="165" t="s">
        <v>576</v>
      </c>
      <c r="U3164" s="154" t="s">
        <v>2963</v>
      </c>
      <c r="V3164" s="167">
        <f t="shared" si="283"/>
        <v>50.4</v>
      </c>
      <c r="W3164" s="154" t="s">
        <v>576</v>
      </c>
      <c r="X3164" s="167">
        <f t="shared" si="282"/>
        <v>50.4</v>
      </c>
    </row>
    <row r="3165" spans="6:24" ht="24" customHeight="1">
      <c r="M3165" s="167">
        <v>58</v>
      </c>
      <c r="N3165" s="156"/>
      <c r="O3165" s="482" t="s">
        <v>2965</v>
      </c>
      <c r="P3165" s="76">
        <f>P2866</f>
        <v>2.35</v>
      </c>
      <c r="Q3165" s="158"/>
      <c r="R3165" s="167">
        <f t="shared" si="281"/>
        <v>136.30000000000001</v>
      </c>
      <c r="S3165" s="167">
        <v>1</v>
      </c>
      <c r="T3165" s="165" t="s">
        <v>576</v>
      </c>
      <c r="U3165" s="154" t="s">
        <v>939</v>
      </c>
      <c r="V3165" s="167">
        <f t="shared" si="283"/>
        <v>7.3</v>
      </c>
      <c r="W3165" s="154" t="s">
        <v>576</v>
      </c>
      <c r="X3165" s="167">
        <f t="shared" si="282"/>
        <v>7.3</v>
      </c>
    </row>
    <row r="3166" spans="6:24" ht="24" customHeight="1">
      <c r="N3166" s="156"/>
      <c r="O3166" s="155" t="s">
        <v>2863</v>
      </c>
      <c r="Q3166" s="158"/>
      <c r="R3166" s="167">
        <f>SUM(R3155:R3165)</f>
        <v>6578.4887499999995</v>
      </c>
      <c r="S3166" s="167">
        <v>36</v>
      </c>
      <c r="T3166" s="165" t="s">
        <v>576</v>
      </c>
      <c r="U3166" s="154" t="s">
        <v>2965</v>
      </c>
      <c r="V3166" s="167">
        <f>V3141</f>
        <v>2.35</v>
      </c>
      <c r="W3166" s="154" t="s">
        <v>576</v>
      </c>
      <c r="X3166" s="167">
        <f t="shared" si="282"/>
        <v>84.600000000000009</v>
      </c>
    </row>
    <row r="3167" spans="6:24" ht="24" customHeight="1">
      <c r="N3167" s="165" t="s">
        <v>22</v>
      </c>
      <c r="Q3167" s="158"/>
      <c r="R3167" s="162" t="s">
        <v>534</v>
      </c>
      <c r="S3167" s="167"/>
      <c r="T3167" s="165"/>
      <c r="U3167" s="154"/>
      <c r="V3167" s="167"/>
      <c r="W3167" s="154" t="s">
        <v>576</v>
      </c>
      <c r="X3167" s="162" t="s">
        <v>534</v>
      </c>
    </row>
    <row r="3168" spans="6:24" ht="24" customHeight="1">
      <c r="H3168" s="76" t="s">
        <v>2989</v>
      </c>
      <c r="J3168" s="76"/>
      <c r="N3168" s="156"/>
      <c r="O3168" s="169" t="s">
        <v>881</v>
      </c>
      <c r="Q3168" s="158"/>
      <c r="R3168" s="166">
        <f>R3166/M3158</f>
        <v>2917.289911308204</v>
      </c>
      <c r="S3168" s="167"/>
      <c r="T3168" s="156"/>
      <c r="U3168" s="169" t="s">
        <v>2990</v>
      </c>
      <c r="W3168" s="158"/>
      <c r="X3168" s="167">
        <f>SUM(X3158:X3166)</f>
        <v>2670.8207000000002</v>
      </c>
    </row>
    <row r="3169" spans="6:24" ht="24" customHeight="1">
      <c r="J3169" s="76"/>
      <c r="N3169" s="156"/>
      <c r="Q3169" s="158"/>
      <c r="R3169" s="162" t="s">
        <v>528</v>
      </c>
      <c r="S3169" s="76"/>
      <c r="T3169" s="156"/>
      <c r="W3169" s="158"/>
      <c r="X3169" s="162" t="s">
        <v>534</v>
      </c>
    </row>
    <row r="3170" spans="6:24" ht="24" customHeight="1">
      <c r="F3170" s="76">
        <v>3.23</v>
      </c>
      <c r="G3170" s="156" t="s">
        <v>31</v>
      </c>
      <c r="H3170" s="76" t="s">
        <v>2991</v>
      </c>
      <c r="I3170" s="76">
        <f>I1505</f>
        <v>48.5</v>
      </c>
      <c r="J3170" s="156" t="s">
        <v>31</v>
      </c>
      <c r="K3170" s="76">
        <f>I3170*F3170</f>
        <v>156.655</v>
      </c>
      <c r="S3170" s="76"/>
      <c r="T3170" s="165" t="s">
        <v>22</v>
      </c>
      <c r="U3170" s="169" t="s">
        <v>881</v>
      </c>
      <c r="W3170" s="158"/>
      <c r="X3170" s="166">
        <f>X3168/S3160</f>
        <v>3038.4763367463029</v>
      </c>
    </row>
    <row r="3171" spans="6:24" ht="24" customHeight="1">
      <c r="F3171" s="76">
        <v>0.5</v>
      </c>
      <c r="G3171" s="156" t="s">
        <v>2280</v>
      </c>
      <c r="H3171" s="76" t="s">
        <v>2992</v>
      </c>
      <c r="I3171" s="76">
        <f>I1506</f>
        <v>574.20000000000005</v>
      </c>
      <c r="J3171" s="156" t="s">
        <v>2280</v>
      </c>
      <c r="K3171" s="76">
        <f>I3171*F3171</f>
        <v>287.10000000000002</v>
      </c>
      <c r="S3171" s="76"/>
      <c r="T3171" s="156"/>
      <c r="W3171" s="158"/>
      <c r="X3171" s="162" t="s">
        <v>528</v>
      </c>
    </row>
    <row r="3172" spans="6:24" ht="24" customHeight="1">
      <c r="F3172" s="76">
        <v>0.5</v>
      </c>
      <c r="G3172" s="156" t="s">
        <v>2280</v>
      </c>
      <c r="H3172" s="154" t="s">
        <v>754</v>
      </c>
      <c r="I3172" s="76">
        <f>I1507</f>
        <v>468.6</v>
      </c>
      <c r="J3172" s="156" t="s">
        <v>2280</v>
      </c>
      <c r="K3172" s="76">
        <f>I3172*F3172</f>
        <v>234.3</v>
      </c>
      <c r="M3172" s="339"/>
      <c r="N3172" s="489" t="s">
        <v>307</v>
      </c>
      <c r="O3172" s="338" t="s">
        <v>2993</v>
      </c>
      <c r="P3172" s="482"/>
      <c r="Q3172" s="485"/>
      <c r="R3172" s="482"/>
    </row>
    <row r="3173" spans="6:24" ht="24" customHeight="1">
      <c r="F3173" s="76">
        <v>0.8</v>
      </c>
      <c r="G3173" s="156" t="s">
        <v>2280</v>
      </c>
      <c r="H3173" s="154" t="s">
        <v>756</v>
      </c>
      <c r="I3173" s="76">
        <f>I1508</f>
        <v>404.8</v>
      </c>
      <c r="J3173" s="156" t="s">
        <v>2280</v>
      </c>
      <c r="K3173" s="76">
        <f>I3173*F3173</f>
        <v>323.84000000000003</v>
      </c>
      <c r="M3173" s="482"/>
      <c r="N3173" s="483"/>
      <c r="O3173" s="338" t="s">
        <v>1774</v>
      </c>
      <c r="P3173" s="482"/>
      <c r="Q3173" s="485"/>
      <c r="R3173" s="482"/>
    </row>
    <row r="3174" spans="6:24" ht="24" customHeight="1">
      <c r="F3174" s="76">
        <v>10</v>
      </c>
      <c r="G3174" s="156" t="s">
        <v>250</v>
      </c>
      <c r="H3174" s="154" t="s">
        <v>2994</v>
      </c>
      <c r="I3174" s="76">
        <f>C460</f>
        <v>2.8</v>
      </c>
      <c r="J3174" s="156" t="s">
        <v>250</v>
      </c>
      <c r="K3174" s="76">
        <f>I3174*F3174</f>
        <v>28</v>
      </c>
      <c r="M3174" s="482"/>
      <c r="N3174" s="483"/>
      <c r="O3174" s="568" t="s">
        <v>2995</v>
      </c>
      <c r="P3174" s="482"/>
      <c r="Q3174" s="485"/>
      <c r="R3174" s="482"/>
    </row>
    <row r="3175" spans="6:24" ht="24" customHeight="1">
      <c r="H3175" s="154" t="s">
        <v>2996</v>
      </c>
      <c r="I3175" s="242" t="s">
        <v>519</v>
      </c>
      <c r="J3175" s="160"/>
      <c r="K3175" s="76">
        <v>1.75</v>
      </c>
      <c r="M3175" s="482"/>
      <c r="N3175" s="483"/>
      <c r="O3175" s="490" t="s">
        <v>534</v>
      </c>
      <c r="P3175" s="482"/>
      <c r="Q3175" s="485"/>
      <c r="R3175" s="482"/>
    </row>
    <row r="3176" spans="6:24" ht="24" customHeight="1">
      <c r="J3176" s="160"/>
      <c r="K3176" s="76">
        <f>SUM(K3170:K3175)</f>
        <v>1031.645</v>
      </c>
      <c r="M3176" s="482"/>
      <c r="N3176" s="483"/>
      <c r="O3176" s="338" t="s">
        <v>2997</v>
      </c>
      <c r="P3176" s="486" t="s">
        <v>528</v>
      </c>
      <c r="Q3176" s="569">
        <v>3.1219999999999999</v>
      </c>
      <c r="R3176" s="482" t="s">
        <v>250</v>
      </c>
    </row>
    <row r="3177" spans="6:24" ht="24" customHeight="1">
      <c r="J3177" s="160"/>
      <c r="K3177" s="76">
        <f>K3176/10</f>
        <v>103.1645</v>
      </c>
      <c r="M3177" s="482"/>
      <c r="N3177" s="483"/>
      <c r="O3177" s="338"/>
      <c r="P3177" s="486"/>
      <c r="Q3177" s="569"/>
      <c r="R3177" s="482"/>
    </row>
    <row r="3178" spans="6:24" ht="24" customHeight="1">
      <c r="G3178" s="76"/>
      <c r="J3178" s="76"/>
      <c r="L3178" s="76">
        <f>K3212</f>
        <v>308.56</v>
      </c>
      <c r="M3178" s="482"/>
      <c r="N3178" s="483"/>
      <c r="O3178" s="338" t="s">
        <v>2998</v>
      </c>
      <c r="P3178" s="486" t="s">
        <v>528</v>
      </c>
      <c r="Q3178" s="570">
        <v>5.1999999999999998E-2</v>
      </c>
      <c r="R3178" s="482" t="s">
        <v>238</v>
      </c>
    </row>
    <row r="3179" spans="6:24" ht="24" customHeight="1">
      <c r="G3179" s="76"/>
      <c r="J3179" s="76"/>
      <c r="L3179" s="76">
        <f>K3213</f>
        <v>401.94</v>
      </c>
      <c r="M3179" s="482"/>
      <c r="N3179" s="483"/>
      <c r="O3179" s="338" t="s">
        <v>2999</v>
      </c>
      <c r="Q3179" s="571"/>
      <c r="R3179" s="482"/>
    </row>
    <row r="3180" spans="6:24" ht="24" customHeight="1">
      <c r="G3180" s="76"/>
      <c r="J3180" s="76"/>
      <c r="M3180" s="482"/>
      <c r="N3180" s="483"/>
      <c r="O3180" s="338" t="s">
        <v>3000</v>
      </c>
      <c r="P3180" s="486" t="s">
        <v>528</v>
      </c>
      <c r="Q3180" s="572">
        <v>2.2780000000000002E-2</v>
      </c>
      <c r="R3180" s="482"/>
    </row>
    <row r="3181" spans="6:24" ht="24" customHeight="1">
      <c r="H3181" s="76" t="s">
        <v>3001</v>
      </c>
      <c r="J3181" s="76"/>
      <c r="L3181" s="76">
        <v>1.5</v>
      </c>
      <c r="M3181" s="482"/>
      <c r="N3181" s="483"/>
      <c r="O3181" s="338" t="s">
        <v>3002</v>
      </c>
      <c r="P3181" s="486" t="s">
        <v>528</v>
      </c>
      <c r="Q3181" s="572">
        <v>1.013E-2</v>
      </c>
      <c r="R3181" s="514"/>
    </row>
    <row r="3182" spans="6:24" ht="24" customHeight="1">
      <c r="J3182" s="76"/>
      <c r="L3182" s="76">
        <f>SUM(L3178:L3181)</f>
        <v>712</v>
      </c>
      <c r="M3182" s="482"/>
      <c r="N3182" s="483"/>
      <c r="O3182" s="482"/>
      <c r="P3182" s="482"/>
      <c r="Q3182" s="490" t="s">
        <v>534</v>
      </c>
    </row>
    <row r="3183" spans="6:24" ht="24" customHeight="1">
      <c r="F3183" s="76">
        <v>1.8</v>
      </c>
      <c r="G3183" s="156" t="s">
        <v>31</v>
      </c>
      <c r="H3183" s="76" t="s">
        <v>2991</v>
      </c>
      <c r="I3183" s="76">
        <f>I3170</f>
        <v>48.5</v>
      </c>
      <c r="J3183" s="156" t="s">
        <v>31</v>
      </c>
      <c r="K3183" s="76">
        <f>I3183*F3183</f>
        <v>87.3</v>
      </c>
      <c r="M3183" s="482"/>
      <c r="N3183" s="483"/>
      <c r="O3183" s="482"/>
      <c r="P3183" s="482"/>
      <c r="Q3183" s="573">
        <v>3.2910000000000002E-2</v>
      </c>
      <c r="R3183" s="76" t="s">
        <v>238</v>
      </c>
    </row>
    <row r="3184" spans="6:24" ht="24" customHeight="1">
      <c r="F3184" s="76">
        <v>0.25</v>
      </c>
      <c r="G3184" s="156" t="s">
        <v>2280</v>
      </c>
      <c r="H3184" s="76" t="s">
        <v>2992</v>
      </c>
      <c r="I3184" s="76">
        <f>I3171</f>
        <v>574.20000000000005</v>
      </c>
      <c r="J3184" s="156" t="s">
        <v>2280</v>
      </c>
      <c r="K3184" s="76">
        <f>I3184*F3184</f>
        <v>143.55000000000001</v>
      </c>
      <c r="L3184" s="76">
        <f>L3182/10</f>
        <v>71.2</v>
      </c>
      <c r="M3184" s="482"/>
      <c r="N3184" s="483"/>
      <c r="O3184" s="482"/>
      <c r="P3184" s="482"/>
      <c r="Q3184" s="490" t="s">
        <v>534</v>
      </c>
    </row>
    <row r="3185" spans="6:20" ht="24" customHeight="1">
      <c r="F3185" s="76">
        <v>0.25</v>
      </c>
      <c r="G3185" s="156" t="s">
        <v>2280</v>
      </c>
      <c r="H3185" s="154" t="s">
        <v>754</v>
      </c>
      <c r="I3185" s="76">
        <f>I3172</f>
        <v>468.6</v>
      </c>
      <c r="J3185" s="156" t="s">
        <v>2280</v>
      </c>
      <c r="K3185" s="76">
        <f>I3185*F3185</f>
        <v>117.15</v>
      </c>
      <c r="M3185" s="482"/>
      <c r="N3185" s="483"/>
      <c r="O3185" s="338" t="s">
        <v>3003</v>
      </c>
      <c r="P3185" s="482"/>
      <c r="Q3185" s="574">
        <v>1.7600000000000001E-2</v>
      </c>
      <c r="R3185" s="514"/>
    </row>
    <row r="3186" spans="6:20" ht="24" customHeight="1">
      <c r="F3186" s="76">
        <v>0.4</v>
      </c>
      <c r="G3186" s="156" t="s">
        <v>2280</v>
      </c>
      <c r="H3186" s="154" t="s">
        <v>756</v>
      </c>
      <c r="I3186" s="76">
        <f>I3173</f>
        <v>404.8</v>
      </c>
      <c r="J3186" s="156" t="s">
        <v>2280</v>
      </c>
      <c r="K3186" s="76">
        <f>I3186*F3186</f>
        <v>161.92000000000002</v>
      </c>
      <c r="M3186" s="482"/>
      <c r="N3186" s="483"/>
      <c r="O3186" s="338" t="s">
        <v>3004</v>
      </c>
      <c r="P3186" s="482"/>
      <c r="Q3186" s="575">
        <v>8.3999999999999995E-3</v>
      </c>
      <c r="R3186" s="514"/>
    </row>
    <row r="3187" spans="6:20" ht="24" customHeight="1">
      <c r="F3187" s="76">
        <v>10</v>
      </c>
      <c r="G3187" s="156" t="s">
        <v>250</v>
      </c>
      <c r="H3187" s="154" t="s">
        <v>3005</v>
      </c>
      <c r="I3187" s="76">
        <f>I3174</f>
        <v>2.8</v>
      </c>
      <c r="J3187" s="156" t="s">
        <v>250</v>
      </c>
      <c r="K3187" s="76">
        <f>I3187*F3187</f>
        <v>28</v>
      </c>
      <c r="M3187" s="482"/>
      <c r="N3187" s="483"/>
      <c r="O3187" s="338"/>
      <c r="P3187" s="482"/>
      <c r="Q3187" s="490" t="s">
        <v>534</v>
      </c>
      <c r="R3187" s="514"/>
    </row>
    <row r="3188" spans="6:20" ht="24" customHeight="1">
      <c r="H3188" s="154" t="s">
        <v>2996</v>
      </c>
      <c r="I3188" s="242" t="s">
        <v>3006</v>
      </c>
      <c r="J3188" s="160"/>
      <c r="K3188" s="76">
        <v>1.6</v>
      </c>
      <c r="M3188" s="482"/>
      <c r="N3188" s="483"/>
      <c r="O3188" s="338"/>
      <c r="P3188" s="482"/>
      <c r="Q3188" s="576">
        <v>2.5999999999999999E-2</v>
      </c>
      <c r="R3188" s="514" t="s">
        <v>238</v>
      </c>
    </row>
    <row r="3189" spans="6:20" ht="24" customHeight="1">
      <c r="J3189" s="160"/>
      <c r="K3189" s="76">
        <f>SUM(K3183:K3188)</f>
        <v>539.5200000000001</v>
      </c>
      <c r="M3189" s="482"/>
      <c r="N3189" s="483"/>
      <c r="O3189" s="482"/>
      <c r="P3189" s="482"/>
      <c r="Q3189" s="490" t="s">
        <v>534</v>
      </c>
      <c r="R3189" s="490"/>
    </row>
    <row r="3190" spans="6:20" ht="24" customHeight="1">
      <c r="J3190" s="160"/>
      <c r="K3190" s="76">
        <f>K3189/10</f>
        <v>53.952000000000012</v>
      </c>
      <c r="M3190" s="514">
        <v>5.1999999999999998E-2</v>
      </c>
      <c r="N3190" s="489" t="s">
        <v>577</v>
      </c>
      <c r="O3190" s="338" t="s">
        <v>1790</v>
      </c>
      <c r="P3190" s="336">
        <f>AC26</f>
        <v>111600</v>
      </c>
      <c r="Q3190" s="339" t="s">
        <v>577</v>
      </c>
      <c r="R3190" s="336">
        <f>P3190*M3190</f>
        <v>5803.2</v>
      </c>
    </row>
    <row r="3191" spans="6:20" ht="24" customHeight="1">
      <c r="G3191" s="76"/>
      <c r="J3191" s="76"/>
      <c r="M3191" s="514">
        <v>3.2910000000000002E-2</v>
      </c>
      <c r="N3191" s="489" t="s">
        <v>577</v>
      </c>
      <c r="O3191" s="338" t="s">
        <v>1792</v>
      </c>
      <c r="P3191" s="336">
        <f>AC27</f>
        <v>99400</v>
      </c>
      <c r="Q3191" s="339" t="s">
        <v>577</v>
      </c>
      <c r="R3191" s="336">
        <f t="shared" ref="R3191:R3201" si="284">P3191*M3191</f>
        <v>3271.2540000000004</v>
      </c>
    </row>
    <row r="3192" spans="6:20" ht="24" customHeight="1">
      <c r="G3192" s="76"/>
      <c r="J3192" s="76"/>
      <c r="M3192" s="514">
        <v>2.5999999999999999E-2</v>
      </c>
      <c r="N3192" s="489" t="s">
        <v>577</v>
      </c>
      <c r="O3192" s="338" t="s">
        <v>3007</v>
      </c>
      <c r="P3192" s="336">
        <v>101921.4</v>
      </c>
      <c r="Q3192" s="339" t="s">
        <v>577</v>
      </c>
      <c r="R3192" s="336">
        <f t="shared" si="284"/>
        <v>2649.9563999999996</v>
      </c>
    </row>
    <row r="3193" spans="6:20" ht="24" customHeight="1">
      <c r="G3193" s="76"/>
      <c r="J3193" s="76"/>
      <c r="L3193" s="76">
        <f>K3227</f>
        <v>515.04000000000008</v>
      </c>
      <c r="M3193" s="530"/>
      <c r="N3193" s="483"/>
      <c r="O3193" s="338" t="s">
        <v>3008</v>
      </c>
      <c r="P3193" s="336"/>
      <c r="Q3193" s="485"/>
      <c r="R3193" s="336">
        <f t="shared" si="284"/>
        <v>0</v>
      </c>
    </row>
    <row r="3194" spans="6:20" ht="24" customHeight="1">
      <c r="H3194" s="76" t="s">
        <v>3009</v>
      </c>
      <c r="J3194" s="76"/>
      <c r="L3194" s="76">
        <f>K3228</f>
        <v>689.04000000000008</v>
      </c>
      <c r="M3194" s="530">
        <v>3.1219999999999999</v>
      </c>
      <c r="N3194" s="489" t="s">
        <v>916</v>
      </c>
      <c r="O3194" s="338" t="s">
        <v>1787</v>
      </c>
      <c r="P3194" s="336">
        <f>I954</f>
        <v>1105.5</v>
      </c>
      <c r="Q3194" s="339" t="s">
        <v>916</v>
      </c>
      <c r="R3194" s="336">
        <f t="shared" si="284"/>
        <v>3451.3710000000001</v>
      </c>
    </row>
    <row r="3195" spans="6:20" ht="24" customHeight="1">
      <c r="H3195" s="76" t="s">
        <v>2161</v>
      </c>
      <c r="J3195" s="76"/>
      <c r="M3195" s="336">
        <v>4</v>
      </c>
      <c r="N3195" s="489" t="s">
        <v>680</v>
      </c>
      <c r="O3195" s="338" t="s">
        <v>3010</v>
      </c>
      <c r="P3195" s="336">
        <f>I2637</f>
        <v>450</v>
      </c>
      <c r="Q3195" s="339" t="s">
        <v>576</v>
      </c>
      <c r="R3195" s="336">
        <f t="shared" si="284"/>
        <v>1800</v>
      </c>
    </row>
    <row r="3196" spans="6:20" ht="24" customHeight="1">
      <c r="H3196" s="76" t="s">
        <v>2162</v>
      </c>
      <c r="J3196" s="76"/>
      <c r="L3196" s="76">
        <f>K3230</f>
        <v>1.5</v>
      </c>
      <c r="M3196" s="336">
        <v>8</v>
      </c>
      <c r="N3196" s="489" t="s">
        <v>576</v>
      </c>
      <c r="O3196" s="338" t="s">
        <v>1789</v>
      </c>
      <c r="P3196" s="336">
        <f>P3160</f>
        <v>78.400000000000006</v>
      </c>
      <c r="Q3196" s="339" t="s">
        <v>576</v>
      </c>
      <c r="R3196" s="336">
        <f t="shared" si="284"/>
        <v>627.20000000000005</v>
      </c>
    </row>
    <row r="3197" spans="6:20" ht="24" customHeight="1">
      <c r="J3197" s="76"/>
      <c r="L3197" s="76">
        <f>SUM(L3193:L3196)</f>
        <v>1205.5800000000002</v>
      </c>
      <c r="M3197" s="336">
        <v>4</v>
      </c>
      <c r="N3197" s="489" t="s">
        <v>576</v>
      </c>
      <c r="O3197" s="577" t="s">
        <v>3011</v>
      </c>
      <c r="P3197" s="578">
        <v>85.5</v>
      </c>
      <c r="Q3197" s="339" t="s">
        <v>576</v>
      </c>
      <c r="R3197" s="336">
        <f t="shared" si="284"/>
        <v>342</v>
      </c>
    </row>
    <row r="3198" spans="6:20" ht="24" customHeight="1">
      <c r="F3198" s="76">
        <v>1.1100000000000001</v>
      </c>
      <c r="G3198" s="156" t="s">
        <v>3012</v>
      </c>
      <c r="H3198" s="76" t="s">
        <v>2150</v>
      </c>
      <c r="I3198" s="76">
        <f>I1547</f>
        <v>221</v>
      </c>
      <c r="J3198" s="156" t="s">
        <v>3012</v>
      </c>
      <c r="K3198" s="76">
        <f>I3198*F3198</f>
        <v>245.31000000000003</v>
      </c>
      <c r="M3198" s="336">
        <v>1</v>
      </c>
      <c r="N3198" s="489" t="s">
        <v>576</v>
      </c>
      <c r="O3198" s="577" t="s">
        <v>3013</v>
      </c>
      <c r="P3198" s="578">
        <v>183.4</v>
      </c>
      <c r="Q3198" s="339" t="s">
        <v>576</v>
      </c>
      <c r="R3198" s="336">
        <f t="shared" si="284"/>
        <v>183.4</v>
      </c>
    </row>
    <row r="3199" spans="6:20" ht="24" customHeight="1">
      <c r="F3199" s="76">
        <v>0.7</v>
      </c>
      <c r="G3199" s="156" t="s">
        <v>2280</v>
      </c>
      <c r="H3199" s="76" t="s">
        <v>2008</v>
      </c>
      <c r="I3199" s="76">
        <f>I3184</f>
        <v>574.20000000000005</v>
      </c>
      <c r="J3199" s="156" t="s">
        <v>2280</v>
      </c>
      <c r="K3199" s="76">
        <f>I3199*F3199</f>
        <v>401.94</v>
      </c>
      <c r="L3199" s="76">
        <f>L3197/10</f>
        <v>120.55800000000002</v>
      </c>
      <c r="M3199" s="336">
        <v>2</v>
      </c>
      <c r="N3199" s="489" t="s">
        <v>576</v>
      </c>
      <c r="O3199" s="577" t="s">
        <v>3014</v>
      </c>
      <c r="P3199" s="578">
        <v>22.5</v>
      </c>
      <c r="Q3199" s="339" t="s">
        <v>576</v>
      </c>
      <c r="R3199" s="336">
        <f t="shared" si="284"/>
        <v>45</v>
      </c>
    </row>
    <row r="3200" spans="6:20" ht="24" customHeight="1">
      <c r="F3200" s="76">
        <v>10</v>
      </c>
      <c r="G3200" s="156" t="s">
        <v>250</v>
      </c>
      <c r="H3200" s="444" t="s">
        <v>3015</v>
      </c>
      <c r="I3200" s="192">
        <v>6</v>
      </c>
      <c r="J3200" s="156" t="s">
        <v>250</v>
      </c>
      <c r="K3200" s="76">
        <f>I3200*F3200</f>
        <v>60</v>
      </c>
      <c r="M3200" s="336">
        <v>2</v>
      </c>
      <c r="N3200" s="489" t="s">
        <v>576</v>
      </c>
      <c r="O3200" s="577" t="s">
        <v>3016</v>
      </c>
      <c r="P3200" s="578">
        <v>43.8</v>
      </c>
      <c r="Q3200" s="339" t="s">
        <v>576</v>
      </c>
      <c r="R3200" s="336">
        <f t="shared" si="284"/>
        <v>87.6</v>
      </c>
      <c r="S3200" s="159">
        <f>0.42*3.122</f>
        <v>1.31124</v>
      </c>
      <c r="T3200" s="76">
        <f>S3200+19.79</f>
        <v>21.101240000000001</v>
      </c>
    </row>
    <row r="3201" spans="6:18" ht="24" customHeight="1">
      <c r="H3201" s="154" t="s">
        <v>2996</v>
      </c>
      <c r="I3201" s="76" t="s">
        <v>519</v>
      </c>
      <c r="J3201" s="160"/>
      <c r="K3201" s="76">
        <v>1.9</v>
      </c>
      <c r="M3201" s="336">
        <v>118</v>
      </c>
      <c r="N3201" s="489" t="s">
        <v>576</v>
      </c>
      <c r="O3201" s="482" t="s">
        <v>2965</v>
      </c>
      <c r="P3201" s="482">
        <f>I961</f>
        <v>2.35</v>
      </c>
      <c r="Q3201" s="339" t="s">
        <v>576</v>
      </c>
      <c r="R3201" s="336">
        <f t="shared" si="284"/>
        <v>277.3</v>
      </c>
    </row>
    <row r="3202" spans="6:18" ht="24" customHeight="1">
      <c r="H3202" s="76" t="s">
        <v>879</v>
      </c>
      <c r="J3202" s="160"/>
      <c r="K3202" s="76">
        <f>SUM(K3198:K3201)</f>
        <v>709.15</v>
      </c>
      <c r="M3202" s="482"/>
      <c r="N3202" s="483"/>
      <c r="O3202" s="482"/>
      <c r="P3202" s="482"/>
      <c r="Q3202" s="485"/>
      <c r="R3202" s="490" t="s">
        <v>534</v>
      </c>
    </row>
    <row r="3203" spans="6:18" ht="24" customHeight="1">
      <c r="J3203" s="160"/>
      <c r="M3203" s="482"/>
      <c r="N3203" s="483"/>
      <c r="O3203" s="338" t="s">
        <v>3017</v>
      </c>
      <c r="P3203" s="482"/>
      <c r="Q3203" s="485"/>
      <c r="R3203" s="336">
        <f>SUM(R3190:R3201)</f>
        <v>18538.2814</v>
      </c>
    </row>
    <row r="3204" spans="6:18" ht="24" customHeight="1">
      <c r="H3204" s="76" t="s">
        <v>881</v>
      </c>
      <c r="J3204" s="160"/>
      <c r="K3204" s="76">
        <f>K3202/10</f>
        <v>70.914999999999992</v>
      </c>
      <c r="M3204" s="482"/>
      <c r="N3204" s="483"/>
      <c r="O3204" s="482"/>
      <c r="P3204" s="482"/>
      <c r="Q3204" s="485"/>
      <c r="R3204" s="490" t="s">
        <v>534</v>
      </c>
    </row>
    <row r="3205" spans="6:18" ht="24" customHeight="1">
      <c r="J3205" s="160"/>
      <c r="M3205" s="482"/>
      <c r="N3205" s="483"/>
      <c r="O3205" s="496" t="s">
        <v>881</v>
      </c>
      <c r="P3205" s="482"/>
      <c r="Q3205" s="487" t="s">
        <v>2797</v>
      </c>
      <c r="R3205" s="497">
        <f>R3203/M3194</f>
        <v>5937.9504804612434</v>
      </c>
    </row>
    <row r="3206" spans="6:18" ht="24" customHeight="1">
      <c r="J3206" s="160"/>
      <c r="M3206" s="339"/>
      <c r="N3206" s="489" t="s">
        <v>307</v>
      </c>
      <c r="O3206" s="338" t="s">
        <v>3018</v>
      </c>
      <c r="P3206" s="482"/>
      <c r="Q3206" s="485"/>
      <c r="R3206" s="482"/>
    </row>
    <row r="3207" spans="6:18" ht="24" customHeight="1">
      <c r="J3207" s="160"/>
      <c r="M3207" s="482"/>
      <c r="N3207" s="483"/>
      <c r="O3207" s="338" t="s">
        <v>1774</v>
      </c>
      <c r="P3207" s="482"/>
      <c r="Q3207" s="485"/>
      <c r="R3207" s="482"/>
    </row>
    <row r="3208" spans="6:18" ht="24" customHeight="1">
      <c r="H3208" s="76" t="s">
        <v>3009</v>
      </c>
      <c r="J3208" s="160"/>
      <c r="M3208" s="482"/>
      <c r="N3208" s="483"/>
      <c r="O3208" s="568" t="s">
        <v>2995</v>
      </c>
      <c r="P3208" s="482"/>
      <c r="Q3208" s="485"/>
      <c r="R3208" s="482"/>
    </row>
    <row r="3209" spans="6:18" ht="24" customHeight="1">
      <c r="H3209" s="76" t="s">
        <v>2145</v>
      </c>
      <c r="J3209" s="160"/>
      <c r="L3209" s="76">
        <f>K3243</f>
        <v>417.69</v>
      </c>
      <c r="M3209" s="482"/>
      <c r="N3209" s="483"/>
      <c r="O3209" s="490" t="s">
        <v>534</v>
      </c>
      <c r="P3209" s="482"/>
      <c r="Q3209" s="485"/>
      <c r="R3209" s="482"/>
    </row>
    <row r="3210" spans="6:18" ht="24" customHeight="1">
      <c r="H3210" s="76" t="s">
        <v>2162</v>
      </c>
      <c r="J3210" s="160"/>
      <c r="L3210" s="76">
        <f>K3244</f>
        <v>631.62000000000012</v>
      </c>
      <c r="M3210" s="482"/>
      <c r="N3210" s="483"/>
      <c r="O3210" s="338" t="s">
        <v>2997</v>
      </c>
      <c r="P3210" s="486" t="s">
        <v>528</v>
      </c>
      <c r="Q3210" s="569">
        <v>3.1219999999999999</v>
      </c>
      <c r="R3210" s="535" t="s">
        <v>250</v>
      </c>
    </row>
    <row r="3211" spans="6:18" ht="24" customHeight="1">
      <c r="J3211" s="160"/>
      <c r="M3211" s="482"/>
      <c r="N3211" s="483"/>
      <c r="O3211" s="338"/>
      <c r="P3211" s="486"/>
      <c r="Q3211" s="569"/>
      <c r="R3211" s="535"/>
    </row>
    <row r="3212" spans="6:18" ht="24" customHeight="1">
      <c r="F3212" s="76">
        <v>1.33</v>
      </c>
      <c r="G3212" s="156" t="s">
        <v>3012</v>
      </c>
      <c r="H3212" s="76" t="s">
        <v>2150</v>
      </c>
      <c r="I3212" s="76">
        <f>I1534</f>
        <v>232</v>
      </c>
      <c r="J3212" s="156" t="s">
        <v>3012</v>
      </c>
      <c r="K3212" s="76">
        <f>I3212*F3212</f>
        <v>308.56</v>
      </c>
      <c r="L3212" s="76">
        <f>K3246</f>
        <v>1.9</v>
      </c>
      <c r="M3212" s="482"/>
      <c r="N3212" s="483"/>
      <c r="O3212" s="338" t="s">
        <v>2998</v>
      </c>
      <c r="P3212" s="486" t="s">
        <v>528</v>
      </c>
      <c r="Q3212" s="570">
        <v>5.1999999999999998E-2</v>
      </c>
      <c r="R3212" s="535" t="s">
        <v>238</v>
      </c>
    </row>
    <row r="3213" spans="6:18" ht="24" customHeight="1">
      <c r="F3213" s="76">
        <v>0.7</v>
      </c>
      <c r="G3213" s="156" t="s">
        <v>2280</v>
      </c>
      <c r="H3213" s="76" t="s">
        <v>2008</v>
      </c>
      <c r="I3213" s="76">
        <f>I3199</f>
        <v>574.20000000000005</v>
      </c>
      <c r="J3213" s="156" t="s">
        <v>2280</v>
      </c>
      <c r="K3213" s="76">
        <f>I3213*F3213</f>
        <v>401.94</v>
      </c>
      <c r="L3213" s="76">
        <f>SUM(L3209:L3212)</f>
        <v>1051.2100000000003</v>
      </c>
      <c r="M3213" s="482"/>
      <c r="N3213" s="483"/>
      <c r="O3213" s="338" t="s">
        <v>2999</v>
      </c>
      <c r="Q3213" s="571"/>
      <c r="R3213" s="535"/>
    </row>
    <row r="3214" spans="6:18" ht="24" customHeight="1">
      <c r="F3214" s="76">
        <v>10</v>
      </c>
      <c r="G3214" s="156" t="s">
        <v>250</v>
      </c>
      <c r="H3214" s="260" t="s">
        <v>3019</v>
      </c>
      <c r="I3214" s="192">
        <v>6.5</v>
      </c>
      <c r="J3214" s="156" t="s">
        <v>250</v>
      </c>
      <c r="K3214" s="76">
        <f>I3214*F3214</f>
        <v>65</v>
      </c>
      <c r="M3214" s="482"/>
      <c r="N3214" s="483"/>
      <c r="O3214" s="338" t="s">
        <v>3020</v>
      </c>
      <c r="P3214" s="486" t="s">
        <v>528</v>
      </c>
      <c r="Q3214" s="572">
        <v>2.2780000000000002E-2</v>
      </c>
      <c r="R3214" s="535"/>
    </row>
    <row r="3215" spans="6:18" ht="24" customHeight="1">
      <c r="H3215" s="76" t="s">
        <v>2996</v>
      </c>
      <c r="I3215" s="76" t="s">
        <v>519</v>
      </c>
      <c r="J3215" s="160"/>
      <c r="K3215" s="76">
        <v>1.5</v>
      </c>
      <c r="M3215" s="482"/>
      <c r="N3215" s="483"/>
      <c r="O3215" s="338" t="s">
        <v>3002</v>
      </c>
      <c r="P3215" s="486" t="s">
        <v>528</v>
      </c>
      <c r="Q3215" s="572">
        <v>1.013E-2</v>
      </c>
      <c r="R3215" s="536"/>
    </row>
    <row r="3216" spans="6:18" ht="24" customHeight="1">
      <c r="H3216" s="76" t="s">
        <v>879</v>
      </c>
      <c r="J3216" s="160"/>
      <c r="K3216" s="76">
        <f>SUM(K3212:K3215)</f>
        <v>777</v>
      </c>
      <c r="M3216" s="482"/>
      <c r="N3216" s="483"/>
      <c r="O3216" s="482"/>
      <c r="P3216" s="482"/>
      <c r="Q3216" s="579" t="s">
        <v>3021</v>
      </c>
      <c r="R3216" s="158"/>
    </row>
    <row r="3217" spans="6:18" ht="24" customHeight="1">
      <c r="J3217" s="160"/>
      <c r="M3217" s="482"/>
      <c r="N3217" s="483"/>
      <c r="O3217" s="482"/>
      <c r="P3217" s="482"/>
      <c r="Q3217" s="573">
        <v>3.2910000000000002E-2</v>
      </c>
      <c r="R3217" s="158" t="s">
        <v>238</v>
      </c>
    </row>
    <row r="3218" spans="6:18" ht="24" customHeight="1">
      <c r="H3218" s="76" t="s">
        <v>881</v>
      </c>
      <c r="J3218" s="160"/>
      <c r="K3218" s="76">
        <f>K3216/10</f>
        <v>77.7</v>
      </c>
      <c r="M3218" s="482"/>
      <c r="N3218" s="483"/>
      <c r="O3218" s="482"/>
      <c r="P3218" s="482"/>
      <c r="Q3218" s="579" t="s">
        <v>3021</v>
      </c>
      <c r="R3218" s="158"/>
    </row>
    <row r="3219" spans="6:18" ht="24" customHeight="1">
      <c r="J3219" s="160"/>
      <c r="M3219" s="482"/>
      <c r="N3219" s="483"/>
      <c r="O3219" s="338" t="s">
        <v>3022</v>
      </c>
      <c r="P3219" s="482"/>
      <c r="Q3219" s="455">
        <v>0.94</v>
      </c>
      <c r="R3219" s="536" t="s">
        <v>250</v>
      </c>
    </row>
    <row r="3220" spans="6:18" ht="24" customHeight="1">
      <c r="J3220" s="160"/>
      <c r="M3220" s="482"/>
      <c r="N3220" s="483"/>
      <c r="O3220" s="338" t="s">
        <v>3023</v>
      </c>
      <c r="P3220" s="482"/>
      <c r="Q3220" s="576">
        <v>8.3999999999999995E-3</v>
      </c>
      <c r="R3220" s="536" t="s">
        <v>238</v>
      </c>
    </row>
    <row r="3221" spans="6:18" ht="24" customHeight="1">
      <c r="J3221" s="160"/>
      <c r="M3221" s="482"/>
      <c r="N3221" s="483"/>
      <c r="O3221" s="338" t="s">
        <v>3024</v>
      </c>
      <c r="P3221" s="482"/>
      <c r="Q3221" s="576">
        <v>7.9</v>
      </c>
      <c r="R3221" s="536" t="s">
        <v>41</v>
      </c>
    </row>
    <row r="3222" spans="6:18" ht="24" customHeight="1">
      <c r="J3222" s="160"/>
      <c r="M3222" s="482"/>
      <c r="N3222" s="483"/>
      <c r="O3222" s="482"/>
      <c r="P3222" s="482"/>
      <c r="Q3222" s="490"/>
      <c r="R3222" s="490"/>
    </row>
    <row r="3223" spans="6:18" ht="24" customHeight="1">
      <c r="H3223" s="76" t="s">
        <v>3025</v>
      </c>
      <c r="J3223" s="160"/>
      <c r="M3223" s="514">
        <v>5.1999999999999998E-2</v>
      </c>
      <c r="N3223" s="489" t="s">
        <v>577</v>
      </c>
      <c r="O3223" s="338" t="s">
        <v>1790</v>
      </c>
      <c r="P3223" s="336">
        <f>P3190</f>
        <v>111600</v>
      </c>
      <c r="Q3223" s="339" t="s">
        <v>577</v>
      </c>
      <c r="R3223" s="336">
        <f>P3223*M3223</f>
        <v>5803.2</v>
      </c>
    </row>
    <row r="3224" spans="6:18" ht="24" customHeight="1">
      <c r="H3224" s="76" t="s">
        <v>2145</v>
      </c>
      <c r="J3224" s="160"/>
      <c r="M3224" s="514">
        <v>3.2910000000000002E-2</v>
      </c>
      <c r="N3224" s="489" t="s">
        <v>577</v>
      </c>
      <c r="O3224" s="338" t="s">
        <v>1792</v>
      </c>
      <c r="P3224" s="336">
        <f>P3191</f>
        <v>99400</v>
      </c>
      <c r="Q3224" s="339" t="s">
        <v>577</v>
      </c>
      <c r="R3224" s="336">
        <f t="shared" ref="R3224:R3236" si="285">P3224*M3224</f>
        <v>3271.2540000000004</v>
      </c>
    </row>
    <row r="3225" spans="6:18" ht="24" customHeight="1">
      <c r="H3225" s="76" t="s">
        <v>2162</v>
      </c>
      <c r="J3225" s="160"/>
      <c r="M3225" s="514">
        <v>8.3999999999999995E-3</v>
      </c>
      <c r="N3225" s="489" t="s">
        <v>577</v>
      </c>
      <c r="O3225" s="580" t="s">
        <v>3007</v>
      </c>
      <c r="P3225" s="336">
        <f>P3192</f>
        <v>101921.4</v>
      </c>
      <c r="Q3225" s="339" t="s">
        <v>577</v>
      </c>
      <c r="R3225" s="336">
        <f t="shared" si="285"/>
        <v>856.13975999999991</v>
      </c>
    </row>
    <row r="3226" spans="6:18" ht="24" customHeight="1">
      <c r="J3226" s="160"/>
      <c r="M3226" s="530"/>
      <c r="N3226" s="483"/>
      <c r="O3226" s="338" t="s">
        <v>3026</v>
      </c>
      <c r="P3226" s="336"/>
      <c r="Q3226" s="485"/>
      <c r="R3226" s="336">
        <f t="shared" si="285"/>
        <v>0</v>
      </c>
    </row>
    <row r="3227" spans="6:18" ht="24" customHeight="1">
      <c r="F3227" s="76">
        <v>2.2200000000000002</v>
      </c>
      <c r="G3227" s="156" t="s">
        <v>3012</v>
      </c>
      <c r="H3227" s="76" t="s">
        <v>2150</v>
      </c>
      <c r="I3227" s="76">
        <f>I3212</f>
        <v>232</v>
      </c>
      <c r="J3227" s="156" t="s">
        <v>3012</v>
      </c>
      <c r="K3227" s="76">
        <f>I3227*F3227</f>
        <v>515.04000000000008</v>
      </c>
      <c r="M3227" s="530">
        <v>0.94</v>
      </c>
      <c r="N3227" s="489" t="s">
        <v>916</v>
      </c>
      <c r="O3227" s="580" t="s">
        <v>3027</v>
      </c>
      <c r="P3227" s="578">
        <v>352</v>
      </c>
      <c r="Q3227" s="485" t="s">
        <v>916</v>
      </c>
      <c r="R3227" s="336">
        <f t="shared" si="285"/>
        <v>330.88</v>
      </c>
    </row>
    <row r="3228" spans="6:18" ht="24" customHeight="1">
      <c r="F3228" s="76">
        <v>1.2</v>
      </c>
      <c r="G3228" s="156" t="s">
        <v>2280</v>
      </c>
      <c r="H3228" s="76" t="s">
        <v>2008</v>
      </c>
      <c r="I3228" s="76">
        <f>I3213</f>
        <v>574.20000000000005</v>
      </c>
      <c r="J3228" s="156" t="s">
        <v>2280</v>
      </c>
      <c r="K3228" s="76">
        <f>I3228*F3228</f>
        <v>689.04000000000008</v>
      </c>
      <c r="M3228" s="530">
        <v>7.9</v>
      </c>
      <c r="N3228" s="489" t="s">
        <v>410</v>
      </c>
      <c r="O3228" s="580" t="s">
        <v>3028</v>
      </c>
      <c r="P3228" s="578">
        <v>15</v>
      </c>
      <c r="Q3228" s="485" t="s">
        <v>41</v>
      </c>
      <c r="R3228" s="336">
        <f t="shared" si="285"/>
        <v>118.5</v>
      </c>
    </row>
    <row r="3229" spans="6:18" ht="24" customHeight="1">
      <c r="F3229" s="76">
        <v>10</v>
      </c>
      <c r="G3229" s="156" t="s">
        <v>250</v>
      </c>
      <c r="H3229" s="76" t="s">
        <v>3005</v>
      </c>
      <c r="I3229" s="76">
        <f>I3214</f>
        <v>6.5</v>
      </c>
      <c r="J3229" s="156" t="s">
        <v>250</v>
      </c>
      <c r="K3229" s="76">
        <f>I3229*F3229</f>
        <v>65</v>
      </c>
      <c r="M3229" s="530">
        <v>3.1219999999999999</v>
      </c>
      <c r="N3229" s="489" t="s">
        <v>916</v>
      </c>
      <c r="O3229" s="580" t="s">
        <v>3029</v>
      </c>
      <c r="P3229" s="578">
        <v>938</v>
      </c>
      <c r="Q3229" s="339" t="s">
        <v>916</v>
      </c>
      <c r="R3229" s="336">
        <f t="shared" si="285"/>
        <v>2928.4359999999997</v>
      </c>
    </row>
    <row r="3230" spans="6:18" ht="24" customHeight="1">
      <c r="H3230" s="76" t="s">
        <v>2996</v>
      </c>
      <c r="I3230" s="76" t="s">
        <v>519</v>
      </c>
      <c r="J3230" s="160"/>
      <c r="K3230" s="76">
        <v>1.5</v>
      </c>
      <c r="M3230" s="336">
        <v>4</v>
      </c>
      <c r="N3230" s="489" t="s">
        <v>680</v>
      </c>
      <c r="O3230" s="338" t="s">
        <v>3030</v>
      </c>
      <c r="P3230" s="336">
        <f>C598</f>
        <v>50.4</v>
      </c>
      <c r="Q3230" s="339" t="s">
        <v>576</v>
      </c>
      <c r="R3230" s="336">
        <f t="shared" si="285"/>
        <v>201.6</v>
      </c>
    </row>
    <row r="3231" spans="6:18" ht="24" customHeight="1">
      <c r="H3231" s="76" t="s">
        <v>879</v>
      </c>
      <c r="J3231" s="160"/>
      <c r="K3231" s="76">
        <f>SUM(K3227:K3230)</f>
        <v>1270.5800000000002</v>
      </c>
      <c r="M3231" s="336">
        <v>8</v>
      </c>
      <c r="N3231" s="489" t="s">
        <v>576</v>
      </c>
      <c r="O3231" s="338" t="s">
        <v>3031</v>
      </c>
      <c r="P3231" s="336">
        <f>C279</f>
        <v>78.400000000000006</v>
      </c>
      <c r="Q3231" s="339" t="s">
        <v>576</v>
      </c>
      <c r="R3231" s="336">
        <f t="shared" si="285"/>
        <v>627.20000000000005</v>
      </c>
    </row>
    <row r="3232" spans="6:18" ht="24" customHeight="1">
      <c r="J3232" s="160"/>
      <c r="M3232" s="336">
        <v>4</v>
      </c>
      <c r="N3232" s="489" t="s">
        <v>576</v>
      </c>
      <c r="O3232" s="338" t="s">
        <v>3032</v>
      </c>
      <c r="P3232" s="336">
        <f>P3197</f>
        <v>85.5</v>
      </c>
      <c r="Q3232" s="339" t="s">
        <v>576</v>
      </c>
      <c r="R3232" s="336">
        <f t="shared" si="285"/>
        <v>342</v>
      </c>
    </row>
    <row r="3233" spans="6:20" ht="24" customHeight="1">
      <c r="H3233" s="76" t="s">
        <v>881</v>
      </c>
      <c r="J3233" s="160"/>
      <c r="K3233" s="76">
        <f>K3231/10</f>
        <v>127.05800000000002</v>
      </c>
      <c r="M3233" s="336">
        <v>1</v>
      </c>
      <c r="N3233" s="489" t="s">
        <v>576</v>
      </c>
      <c r="O3233" s="338" t="s">
        <v>3033</v>
      </c>
      <c r="P3233" s="336">
        <f>P3198</f>
        <v>183.4</v>
      </c>
      <c r="Q3233" s="339" t="s">
        <v>576</v>
      </c>
      <c r="R3233" s="336">
        <f t="shared" si="285"/>
        <v>183.4</v>
      </c>
    </row>
    <row r="3234" spans="6:20" ht="24" customHeight="1">
      <c r="J3234" s="160"/>
      <c r="L3234" s="76">
        <f>K3268</f>
        <v>277.2</v>
      </c>
      <c r="M3234" s="336">
        <v>2</v>
      </c>
      <c r="N3234" s="489" t="s">
        <v>576</v>
      </c>
      <c r="O3234" s="338" t="s">
        <v>3034</v>
      </c>
      <c r="P3234" s="336">
        <f>P3199</f>
        <v>22.5</v>
      </c>
      <c r="Q3234" s="339" t="s">
        <v>576</v>
      </c>
      <c r="R3234" s="336">
        <f t="shared" si="285"/>
        <v>45</v>
      </c>
    </row>
    <row r="3235" spans="6:20" ht="24" customHeight="1">
      <c r="J3235" s="160"/>
      <c r="L3235" s="76">
        <f>K3269</f>
        <v>143.55000000000001</v>
      </c>
      <c r="M3235" s="336">
        <v>2</v>
      </c>
      <c r="N3235" s="489" t="s">
        <v>576</v>
      </c>
      <c r="O3235" s="338" t="s">
        <v>3035</v>
      </c>
      <c r="P3235" s="336">
        <f>P3200</f>
        <v>43.8</v>
      </c>
      <c r="Q3235" s="339" t="s">
        <v>576</v>
      </c>
      <c r="R3235" s="336">
        <f t="shared" si="285"/>
        <v>87.6</v>
      </c>
    </row>
    <row r="3236" spans="6:20" ht="24" customHeight="1">
      <c r="J3236" s="160"/>
      <c r="L3236" s="76">
        <f>K3270</f>
        <v>117.15</v>
      </c>
      <c r="M3236" s="336">
        <v>118</v>
      </c>
      <c r="N3236" s="489" t="s">
        <v>576</v>
      </c>
      <c r="O3236" s="482" t="s">
        <v>2965</v>
      </c>
      <c r="P3236" s="482">
        <f>P3201</f>
        <v>2.35</v>
      </c>
      <c r="Q3236" s="339" t="s">
        <v>576</v>
      </c>
      <c r="R3236" s="336">
        <f t="shared" si="285"/>
        <v>277.3</v>
      </c>
    </row>
    <row r="3237" spans="6:20" ht="24" customHeight="1">
      <c r="J3237" s="160"/>
      <c r="L3237" s="76">
        <f>K3271</f>
        <v>161.92000000000002</v>
      </c>
      <c r="M3237" s="482"/>
      <c r="N3237" s="483"/>
      <c r="O3237" s="482"/>
      <c r="P3237" s="482"/>
      <c r="Q3237" s="485"/>
      <c r="R3237" s="490" t="s">
        <v>534</v>
      </c>
    </row>
    <row r="3238" spans="6:20" ht="24" customHeight="1">
      <c r="J3238" s="160"/>
      <c r="L3238" s="76">
        <f>K3272</f>
        <v>1.65</v>
      </c>
      <c r="M3238" s="482"/>
      <c r="N3238" s="483"/>
      <c r="O3238" s="338" t="s">
        <v>3017</v>
      </c>
      <c r="P3238" s="482"/>
      <c r="Q3238" s="485"/>
      <c r="R3238" s="336">
        <f>SUM(R3223:R3236)</f>
        <v>15072.509759999999</v>
      </c>
    </row>
    <row r="3239" spans="6:20" ht="24" customHeight="1">
      <c r="H3239" s="76" t="s">
        <v>3025</v>
      </c>
      <c r="J3239" s="160"/>
      <c r="M3239" s="482"/>
      <c r="N3239" s="483"/>
      <c r="O3239" s="482"/>
      <c r="P3239" s="482"/>
      <c r="Q3239" s="485"/>
      <c r="R3239" s="490" t="s">
        <v>534</v>
      </c>
    </row>
    <row r="3240" spans="6:20" ht="24" customHeight="1">
      <c r="H3240" s="76" t="s">
        <v>2161</v>
      </c>
      <c r="J3240" s="160"/>
      <c r="M3240" s="482"/>
      <c r="N3240" s="483"/>
      <c r="O3240" s="496" t="s">
        <v>881</v>
      </c>
      <c r="P3240" s="482"/>
      <c r="Q3240" s="487" t="s">
        <v>2797</v>
      </c>
      <c r="R3240" s="497">
        <f>R3238/M3229</f>
        <v>4827.8378475336322</v>
      </c>
    </row>
    <row r="3241" spans="6:20" ht="24" customHeight="1">
      <c r="H3241" s="76" t="s">
        <v>2162</v>
      </c>
      <c r="J3241" s="160"/>
      <c r="L3241" s="76">
        <f>SUM(L3234:L3240)</f>
        <v>701.46999999999991</v>
      </c>
      <c r="M3241" s="339"/>
      <c r="N3241" s="489" t="s">
        <v>307</v>
      </c>
      <c r="O3241" s="338" t="s">
        <v>2993</v>
      </c>
      <c r="P3241" s="482"/>
      <c r="Q3241" s="485"/>
      <c r="R3241" s="482"/>
    </row>
    <row r="3242" spans="6:20" ht="24" customHeight="1">
      <c r="J3242" s="160"/>
      <c r="M3242" s="482"/>
      <c r="N3242" s="483"/>
      <c r="O3242" s="338" t="s">
        <v>1774</v>
      </c>
      <c r="P3242" s="482"/>
      <c r="Q3242" s="485"/>
      <c r="R3242" s="482"/>
    </row>
    <row r="3243" spans="6:20" ht="24" customHeight="1">
      <c r="F3243" s="76">
        <v>1.89</v>
      </c>
      <c r="G3243" s="156" t="s">
        <v>3012</v>
      </c>
      <c r="H3243" s="76" t="s">
        <v>2150</v>
      </c>
      <c r="I3243" s="76">
        <f>I3198</f>
        <v>221</v>
      </c>
      <c r="J3243" s="156" t="s">
        <v>3012</v>
      </c>
      <c r="K3243" s="76">
        <f>I3243*F3243</f>
        <v>417.69</v>
      </c>
      <c r="L3243" s="76">
        <f>L3241/10</f>
        <v>70.146999999999991</v>
      </c>
      <c r="M3243" s="482"/>
      <c r="N3243" s="483"/>
      <c r="O3243" s="568" t="s">
        <v>3036</v>
      </c>
      <c r="P3243" s="482"/>
      <c r="Q3243" s="485"/>
      <c r="R3243" s="482"/>
    </row>
    <row r="3244" spans="6:20" ht="24" customHeight="1">
      <c r="F3244" s="76">
        <v>1.1000000000000001</v>
      </c>
      <c r="G3244" s="156" t="s">
        <v>2280</v>
      </c>
      <c r="H3244" s="76" t="s">
        <v>2008</v>
      </c>
      <c r="I3244" s="76">
        <f>I3199</f>
        <v>574.20000000000005</v>
      </c>
      <c r="J3244" s="156" t="s">
        <v>2280</v>
      </c>
      <c r="K3244" s="76">
        <f>I3244*F3244</f>
        <v>631.62000000000012</v>
      </c>
      <c r="M3244" s="482"/>
      <c r="N3244" s="483"/>
      <c r="O3244" s="490" t="s">
        <v>534</v>
      </c>
      <c r="P3244" s="482"/>
      <c r="Q3244" s="485"/>
      <c r="R3244" s="482"/>
    </row>
    <row r="3245" spans="6:20" ht="30" customHeight="1">
      <c r="F3245" s="76">
        <v>10</v>
      </c>
      <c r="G3245" s="156" t="s">
        <v>250</v>
      </c>
      <c r="H3245" s="154" t="s">
        <v>3005</v>
      </c>
      <c r="I3245" s="192">
        <v>5.7</v>
      </c>
      <c r="J3245" s="156" t="s">
        <v>250</v>
      </c>
      <c r="K3245" s="76">
        <f>I3245*F3245</f>
        <v>57</v>
      </c>
      <c r="M3245" s="482"/>
      <c r="N3245" s="483"/>
      <c r="O3245" s="338" t="s">
        <v>3037</v>
      </c>
      <c r="P3245" s="486" t="s">
        <v>528</v>
      </c>
      <c r="Q3245" s="569">
        <v>2.4279999999999999</v>
      </c>
      <c r="R3245" s="482" t="s">
        <v>250</v>
      </c>
    </row>
    <row r="3246" spans="6:20" ht="30" customHeight="1">
      <c r="H3246" s="154" t="s">
        <v>2996</v>
      </c>
      <c r="I3246" s="76" t="s">
        <v>519</v>
      </c>
      <c r="J3246" s="160"/>
      <c r="K3246" s="76">
        <v>1.9</v>
      </c>
      <c r="M3246" s="482"/>
      <c r="N3246" s="483"/>
      <c r="O3246" s="338"/>
      <c r="P3246" s="486"/>
      <c r="Q3246" s="569"/>
      <c r="R3246" s="482"/>
    </row>
    <row r="3247" spans="6:20" ht="30" customHeight="1">
      <c r="H3247" s="76" t="s">
        <v>879</v>
      </c>
      <c r="J3247" s="160"/>
      <c r="K3247" s="76">
        <f>SUM(K3243:K3246)</f>
        <v>1108.2100000000003</v>
      </c>
      <c r="M3247" s="482"/>
      <c r="N3247" s="483"/>
      <c r="O3247" s="338" t="s">
        <v>2998</v>
      </c>
      <c r="P3247" s="486" t="s">
        <v>528</v>
      </c>
      <c r="Q3247" s="570">
        <v>5.1999999999999998E-2</v>
      </c>
      <c r="R3247" s="482" t="s">
        <v>238</v>
      </c>
      <c r="T3247" s="199" t="s">
        <v>3038</v>
      </c>
    </row>
    <row r="3248" spans="6:20" ht="30" customHeight="1">
      <c r="J3248" s="160"/>
      <c r="M3248" s="482"/>
      <c r="N3248" s="483"/>
      <c r="O3248" s="338" t="s">
        <v>2999</v>
      </c>
      <c r="Q3248" s="571"/>
      <c r="R3248" s="482"/>
      <c r="T3248" s="199" t="s">
        <v>3039</v>
      </c>
    </row>
    <row r="3249" spans="6:24" ht="30" customHeight="1">
      <c r="H3249" s="76" t="s">
        <v>881</v>
      </c>
      <c r="J3249" s="160"/>
      <c r="K3249" s="76">
        <f>K3247/10</f>
        <v>110.82100000000003</v>
      </c>
      <c r="M3249" s="482"/>
      <c r="N3249" s="483"/>
      <c r="O3249" s="338" t="s">
        <v>3040</v>
      </c>
      <c r="P3249" s="486" t="s">
        <v>528</v>
      </c>
      <c r="Q3249" s="581">
        <v>1.7718999999999999E-2</v>
      </c>
      <c r="R3249" s="482"/>
      <c r="S3249" s="582">
        <v>6.3E-2</v>
      </c>
      <c r="T3249" s="227" t="s">
        <v>577</v>
      </c>
      <c r="U3249" s="199" t="s">
        <v>1877</v>
      </c>
      <c r="V3249" s="199">
        <f>P3293</f>
        <v>111600</v>
      </c>
      <c r="W3249" s="207" t="s">
        <v>577</v>
      </c>
      <c r="X3249" s="199">
        <f>V3249*S3249</f>
        <v>7030.8</v>
      </c>
    </row>
    <row r="3250" spans="6:24" ht="30" customHeight="1">
      <c r="G3250" s="76"/>
      <c r="J3250" s="76"/>
      <c r="M3250" s="482"/>
      <c r="N3250" s="483"/>
      <c r="O3250" s="338" t="s">
        <v>3041</v>
      </c>
      <c r="P3250" s="486" t="s">
        <v>528</v>
      </c>
      <c r="Q3250" s="581">
        <v>7.8750000000000001E-3</v>
      </c>
      <c r="R3250" s="514"/>
      <c r="S3250" s="582">
        <v>4.8000000000000001E-2</v>
      </c>
      <c r="T3250" s="227" t="s">
        <v>577</v>
      </c>
      <c r="U3250" s="199" t="s">
        <v>3042</v>
      </c>
      <c r="V3250" s="199">
        <f>I3282</f>
        <v>99400</v>
      </c>
      <c r="W3250" s="207" t="s">
        <v>577</v>
      </c>
      <c r="X3250" s="199">
        <f>V3250*S3250</f>
        <v>4771.2</v>
      </c>
    </row>
    <row r="3251" spans="6:24" ht="30" customHeight="1">
      <c r="G3251" s="76"/>
      <c r="H3251" s="154" t="s">
        <v>1942</v>
      </c>
      <c r="J3251" s="76"/>
      <c r="M3251" s="482"/>
      <c r="N3251" s="483"/>
      <c r="O3251" s="482"/>
      <c r="P3251" s="482"/>
      <c r="Q3251" s="490" t="s">
        <v>534</v>
      </c>
      <c r="S3251" s="582">
        <v>1.54</v>
      </c>
      <c r="T3251" s="227" t="s">
        <v>916</v>
      </c>
      <c r="U3251" s="199" t="s">
        <v>3043</v>
      </c>
      <c r="V3251" s="199">
        <f t="shared" ref="V3251:V3260" si="286">I3283</f>
        <v>2152</v>
      </c>
      <c r="W3251" s="207" t="s">
        <v>250</v>
      </c>
      <c r="X3251" s="199">
        <f t="shared" ref="X3251:X3260" si="287">V3251*S3251</f>
        <v>3314.08</v>
      </c>
    </row>
    <row r="3252" spans="6:24" ht="30" customHeight="1">
      <c r="G3252" s="76"/>
      <c r="H3252" s="154" t="s">
        <v>3044</v>
      </c>
      <c r="J3252" s="76"/>
      <c r="M3252" s="482"/>
      <c r="N3252" s="483"/>
      <c r="O3252" s="482"/>
      <c r="P3252" s="482"/>
      <c r="Q3252" s="573">
        <v>2.5590000000000002E-2</v>
      </c>
      <c r="R3252" s="76" t="s">
        <v>238</v>
      </c>
      <c r="S3252" s="582">
        <v>3.9E-2</v>
      </c>
      <c r="T3252" s="227" t="s">
        <v>577</v>
      </c>
      <c r="U3252" s="270" t="s">
        <v>1879</v>
      </c>
      <c r="V3252" s="199">
        <f t="shared" si="286"/>
        <v>95000</v>
      </c>
      <c r="W3252" s="207" t="s">
        <v>577</v>
      </c>
      <c r="X3252" s="199">
        <f t="shared" si="287"/>
        <v>3705</v>
      </c>
    </row>
    <row r="3253" spans="6:24" ht="30" customHeight="1">
      <c r="G3253" s="76"/>
      <c r="J3253" s="76"/>
      <c r="M3253" s="482"/>
      <c r="N3253" s="483"/>
      <c r="O3253" s="482"/>
      <c r="P3253" s="482"/>
      <c r="Q3253" s="490" t="s">
        <v>534</v>
      </c>
      <c r="S3253" s="582">
        <v>3.488</v>
      </c>
      <c r="T3253" s="227" t="s">
        <v>916</v>
      </c>
      <c r="U3253" s="270" t="s">
        <v>1880</v>
      </c>
      <c r="V3253" s="199">
        <f t="shared" si="286"/>
        <v>1105.5</v>
      </c>
      <c r="W3253" s="207" t="s">
        <v>916</v>
      </c>
      <c r="X3253" s="199">
        <f t="shared" si="287"/>
        <v>3855.9839999999999</v>
      </c>
    </row>
    <row r="3254" spans="6:24" ht="30" customHeight="1">
      <c r="F3254" s="167">
        <v>0.22</v>
      </c>
      <c r="G3254" s="165" t="s">
        <v>577</v>
      </c>
      <c r="H3254" s="154" t="s">
        <v>729</v>
      </c>
      <c r="I3254" s="167">
        <f>K49</f>
        <v>3253.6699999999996</v>
      </c>
      <c r="J3254" s="155" t="s">
        <v>577</v>
      </c>
      <c r="K3254" s="167">
        <f>(F3254*I3254)</f>
        <v>715.80739999999992</v>
      </c>
      <c r="M3254" s="482"/>
      <c r="N3254" s="483"/>
      <c r="O3254" s="338" t="s">
        <v>3045</v>
      </c>
      <c r="P3254" s="482"/>
      <c r="Q3254" s="574">
        <v>1.0999999999999999E-2</v>
      </c>
      <c r="R3254" s="514"/>
      <c r="S3254" s="582">
        <v>6</v>
      </c>
      <c r="T3254" s="227" t="s">
        <v>1882</v>
      </c>
      <c r="U3254" s="199" t="s">
        <v>3046</v>
      </c>
      <c r="V3254" s="199">
        <f t="shared" si="286"/>
        <v>79</v>
      </c>
      <c r="W3254" s="207" t="s">
        <v>332</v>
      </c>
      <c r="X3254" s="199">
        <f t="shared" si="287"/>
        <v>474</v>
      </c>
    </row>
    <row r="3255" spans="6:24" ht="30" customHeight="1">
      <c r="F3255" s="167">
        <v>2.2000000000000002</v>
      </c>
      <c r="G3255" s="165" t="s">
        <v>680</v>
      </c>
      <c r="H3255" s="154" t="s">
        <v>778</v>
      </c>
      <c r="I3255" s="167">
        <f>AE9</f>
        <v>717.2</v>
      </c>
      <c r="J3255" s="155" t="s">
        <v>680</v>
      </c>
      <c r="K3255" s="167">
        <f>(F3255*I3255)</f>
        <v>1577.8400000000001</v>
      </c>
      <c r="M3255" s="482"/>
      <c r="N3255" s="483"/>
      <c r="O3255" s="338" t="s">
        <v>3047</v>
      </c>
      <c r="P3255" s="482"/>
      <c r="Q3255" s="575">
        <v>5.3E-3</v>
      </c>
      <c r="R3255" s="514"/>
      <c r="S3255" s="582">
        <v>1</v>
      </c>
      <c r="T3255" s="227" t="s">
        <v>1882</v>
      </c>
      <c r="U3255" s="199" t="s">
        <v>3048</v>
      </c>
      <c r="V3255" s="199">
        <f t="shared" si="286"/>
        <v>260</v>
      </c>
      <c r="W3255" s="207" t="s">
        <v>332</v>
      </c>
      <c r="X3255" s="199">
        <f t="shared" si="287"/>
        <v>260</v>
      </c>
    </row>
    <row r="3256" spans="6:24" ht="30" customHeight="1">
      <c r="F3256" s="167">
        <v>0.5</v>
      </c>
      <c r="G3256" s="165" t="s">
        <v>680</v>
      </c>
      <c r="H3256" s="154" t="s">
        <v>1944</v>
      </c>
      <c r="I3256" s="167">
        <f>I3185</f>
        <v>468.6</v>
      </c>
      <c r="J3256" s="155" t="s">
        <v>680</v>
      </c>
      <c r="K3256" s="167">
        <f>(F3256*I3256)</f>
        <v>234.3</v>
      </c>
      <c r="M3256" s="482"/>
      <c r="N3256" s="483"/>
      <c r="O3256" s="338"/>
      <c r="P3256" s="482"/>
      <c r="Q3256" s="490" t="s">
        <v>534</v>
      </c>
      <c r="R3256" s="514"/>
      <c r="S3256" s="582">
        <v>2</v>
      </c>
      <c r="T3256" s="227" t="s">
        <v>1882</v>
      </c>
      <c r="U3256" s="199" t="s">
        <v>3049</v>
      </c>
      <c r="V3256" s="199">
        <f t="shared" si="286"/>
        <v>130</v>
      </c>
      <c r="W3256" s="207" t="s">
        <v>332</v>
      </c>
      <c r="X3256" s="199">
        <f t="shared" si="287"/>
        <v>260</v>
      </c>
    </row>
    <row r="3257" spans="6:24" ht="30" customHeight="1">
      <c r="F3257" s="167">
        <v>3.2</v>
      </c>
      <c r="G3257" s="165" t="s">
        <v>680</v>
      </c>
      <c r="H3257" s="154" t="s">
        <v>756</v>
      </c>
      <c r="I3257" s="167">
        <f>I3186</f>
        <v>404.8</v>
      </c>
      <c r="J3257" s="155" t="s">
        <v>680</v>
      </c>
      <c r="K3257" s="167">
        <f>(F3257*I3257)</f>
        <v>1295.3600000000001</v>
      </c>
      <c r="M3257" s="482"/>
      <c r="N3257" s="483"/>
      <c r="O3257" s="338"/>
      <c r="P3257" s="482"/>
      <c r="Q3257" s="576">
        <v>1.6299999999999999E-2</v>
      </c>
      <c r="R3257" s="514" t="s">
        <v>238</v>
      </c>
      <c r="S3257" s="582">
        <v>2</v>
      </c>
      <c r="T3257" s="227" t="s">
        <v>1882</v>
      </c>
      <c r="U3257" s="199" t="s">
        <v>3050</v>
      </c>
      <c r="V3257" s="199">
        <f t="shared" si="286"/>
        <v>165</v>
      </c>
      <c r="W3257" s="207" t="s">
        <v>332</v>
      </c>
      <c r="X3257" s="199">
        <f t="shared" si="287"/>
        <v>330</v>
      </c>
    </row>
    <row r="3258" spans="6:24" ht="39.75" customHeight="1">
      <c r="F3258" s="167">
        <v>10</v>
      </c>
      <c r="G3258" s="165" t="s">
        <v>141</v>
      </c>
      <c r="H3258" s="583" t="s">
        <v>3051</v>
      </c>
      <c r="I3258" s="255">
        <v>6.7</v>
      </c>
      <c r="J3258" s="155" t="s">
        <v>141</v>
      </c>
      <c r="K3258" s="167">
        <f>(F3258*I3258)</f>
        <v>67</v>
      </c>
      <c r="M3258" s="482"/>
      <c r="N3258" s="483"/>
      <c r="O3258" s="482"/>
      <c r="P3258" s="482"/>
      <c r="Q3258" s="490" t="s">
        <v>534</v>
      </c>
      <c r="R3258" s="490"/>
      <c r="S3258" s="582">
        <v>1</v>
      </c>
      <c r="T3258" s="227" t="s">
        <v>1882</v>
      </c>
      <c r="U3258" s="199" t="s">
        <v>3052</v>
      </c>
      <c r="V3258" s="199">
        <f t="shared" si="286"/>
        <v>985</v>
      </c>
      <c r="W3258" s="207" t="s">
        <v>332</v>
      </c>
      <c r="X3258" s="199">
        <f t="shared" si="287"/>
        <v>985</v>
      </c>
    </row>
    <row r="3259" spans="6:24" ht="30" customHeight="1">
      <c r="J3259" s="160"/>
      <c r="K3259" s="162" t="s">
        <v>534</v>
      </c>
      <c r="M3259" s="514">
        <v>5.1999999999999998E-2</v>
      </c>
      <c r="N3259" s="489" t="s">
        <v>577</v>
      </c>
      <c r="O3259" s="338" t="s">
        <v>1790</v>
      </c>
      <c r="P3259" s="336">
        <f>P3190</f>
        <v>111600</v>
      </c>
      <c r="Q3259" s="339" t="s">
        <v>577</v>
      </c>
      <c r="R3259" s="336">
        <f>P3259*M3259</f>
        <v>5803.2</v>
      </c>
      <c r="S3259" s="582">
        <v>2</v>
      </c>
      <c r="T3259" s="227" t="s">
        <v>1882</v>
      </c>
      <c r="U3259" s="199" t="s">
        <v>3053</v>
      </c>
      <c r="V3259" s="199">
        <f t="shared" si="286"/>
        <v>450</v>
      </c>
      <c r="W3259" s="207" t="s">
        <v>332</v>
      </c>
      <c r="X3259" s="199">
        <f t="shared" si="287"/>
        <v>900</v>
      </c>
    </row>
    <row r="3260" spans="6:24" ht="30" customHeight="1">
      <c r="H3260" s="154" t="s">
        <v>879</v>
      </c>
      <c r="J3260" s="160"/>
      <c r="K3260" s="167">
        <f>SUM(K3254:K3259)</f>
        <v>3890.3074000000001</v>
      </c>
      <c r="M3260" s="514">
        <v>2.5590000000000002E-2</v>
      </c>
      <c r="N3260" s="489" t="s">
        <v>577</v>
      </c>
      <c r="O3260" s="338" t="s">
        <v>1792</v>
      </c>
      <c r="P3260" s="336">
        <f>P3191</f>
        <v>99400</v>
      </c>
      <c r="Q3260" s="339" t="s">
        <v>577</v>
      </c>
      <c r="R3260" s="336">
        <f t="shared" ref="R3260:R3270" si="288">P3260*M3260</f>
        <v>2543.6460000000002</v>
      </c>
      <c r="S3260" s="582">
        <v>0</v>
      </c>
      <c r="T3260" s="227" t="s">
        <v>3</v>
      </c>
      <c r="U3260" s="199" t="s">
        <v>3054</v>
      </c>
      <c r="V3260" s="199">
        <f t="shared" si="286"/>
        <v>2.35</v>
      </c>
      <c r="W3260" s="207" t="s">
        <v>332</v>
      </c>
      <c r="X3260" s="528">
        <f t="shared" si="287"/>
        <v>0</v>
      </c>
    </row>
    <row r="3261" spans="6:24" ht="30" customHeight="1">
      <c r="J3261" s="160"/>
      <c r="K3261" s="162" t="s">
        <v>534</v>
      </c>
      <c r="M3261" s="514">
        <v>1.6299999999999999E-2</v>
      </c>
      <c r="N3261" s="489" t="s">
        <v>577</v>
      </c>
      <c r="O3261" s="580" t="s">
        <v>3055</v>
      </c>
      <c r="P3261" s="584">
        <f>AC28</f>
        <v>95000</v>
      </c>
      <c r="Q3261" s="339" t="s">
        <v>577</v>
      </c>
      <c r="R3261" s="336">
        <f t="shared" si="288"/>
        <v>1548.4999999999998</v>
      </c>
      <c r="S3261" s="582"/>
      <c r="T3261" s="227"/>
      <c r="U3261" s="199" t="s">
        <v>3056</v>
      </c>
      <c r="V3261" s="199"/>
      <c r="W3261" s="207"/>
      <c r="X3261" s="199">
        <f>SUM(X3249:X3260)</f>
        <v>25886.064000000002</v>
      </c>
    </row>
    <row r="3262" spans="6:24" ht="30" customHeight="1">
      <c r="H3262" s="154" t="s">
        <v>881</v>
      </c>
      <c r="J3262" s="160"/>
      <c r="K3262" s="167">
        <f>(K3260/10)</f>
        <v>389.03074000000004</v>
      </c>
      <c r="M3262" s="530"/>
      <c r="N3262" s="483"/>
      <c r="O3262" s="338" t="s">
        <v>1867</v>
      </c>
      <c r="P3262" s="336"/>
      <c r="Q3262" s="485"/>
      <c r="R3262" s="336">
        <f t="shared" si="288"/>
        <v>0</v>
      </c>
      <c r="S3262" s="582"/>
      <c r="T3262" s="227"/>
      <c r="U3262" s="199"/>
      <c r="V3262" s="199"/>
      <c r="W3262" s="207"/>
      <c r="X3262" s="528" t="s">
        <v>1892</v>
      </c>
    </row>
    <row r="3263" spans="6:24" ht="24" customHeight="1">
      <c r="J3263" s="160"/>
      <c r="K3263" s="162" t="s">
        <v>528</v>
      </c>
      <c r="M3263" s="530">
        <v>2.4279999999999999</v>
      </c>
      <c r="N3263" s="489" t="s">
        <v>916</v>
      </c>
      <c r="O3263" s="338" t="s">
        <v>1787</v>
      </c>
      <c r="P3263" s="336">
        <f t="shared" ref="P3263:P3269" si="289">P3194</f>
        <v>1105.5</v>
      </c>
      <c r="Q3263" s="339" t="s">
        <v>916</v>
      </c>
      <c r="R3263" s="336">
        <f t="shared" si="288"/>
        <v>2684.154</v>
      </c>
      <c r="S3263" s="582"/>
      <c r="T3263" s="227"/>
      <c r="U3263" s="199" t="s">
        <v>3057</v>
      </c>
      <c r="V3263" s="199"/>
      <c r="W3263" s="207"/>
      <c r="X3263" s="199">
        <f>X3261/S3253</f>
        <v>7421.4633027522941</v>
      </c>
    </row>
    <row r="3264" spans="6:24" ht="24" customHeight="1">
      <c r="G3264" s="76"/>
      <c r="J3264" s="76"/>
      <c r="K3264" s="76">
        <f>54000+7000</f>
        <v>61000</v>
      </c>
      <c r="M3264" s="336">
        <v>4</v>
      </c>
      <c r="N3264" s="489" t="s">
        <v>680</v>
      </c>
      <c r="O3264" s="338" t="s">
        <v>3010</v>
      </c>
      <c r="P3264" s="336">
        <f>P3230</f>
        <v>50.4</v>
      </c>
      <c r="Q3264" s="339" t="s">
        <v>576</v>
      </c>
      <c r="R3264" s="336">
        <f t="shared" si="288"/>
        <v>201.6</v>
      </c>
      <c r="S3264" s="582"/>
      <c r="T3264" s="227"/>
      <c r="U3264" s="199"/>
      <c r="V3264" s="199"/>
      <c r="W3264" s="207"/>
      <c r="X3264" s="528" t="s">
        <v>1892</v>
      </c>
    </row>
    <row r="3265" spans="6:18" ht="24" customHeight="1">
      <c r="G3265" s="76"/>
      <c r="J3265" s="76"/>
      <c r="M3265" s="336">
        <v>8</v>
      </c>
      <c r="N3265" s="489" t="s">
        <v>576</v>
      </c>
      <c r="O3265" s="338" t="s">
        <v>1789</v>
      </c>
      <c r="P3265" s="336">
        <f>P3231</f>
        <v>78.400000000000006</v>
      </c>
      <c r="Q3265" s="339" t="s">
        <v>576</v>
      </c>
      <c r="R3265" s="336">
        <f t="shared" si="288"/>
        <v>627.20000000000005</v>
      </c>
    </row>
    <row r="3266" spans="6:18" ht="24" customHeight="1">
      <c r="F3266" s="155" t="s">
        <v>2136</v>
      </c>
      <c r="G3266" s="165" t="s">
        <v>307</v>
      </c>
      <c r="H3266" s="155" t="s">
        <v>3058</v>
      </c>
      <c r="J3266" s="160"/>
      <c r="M3266" s="336">
        <v>4</v>
      </c>
      <c r="N3266" s="489" t="s">
        <v>576</v>
      </c>
      <c r="O3266" s="338" t="s">
        <v>3032</v>
      </c>
      <c r="P3266" s="336">
        <f t="shared" si="289"/>
        <v>85.5</v>
      </c>
      <c r="Q3266" s="339" t="s">
        <v>576</v>
      </c>
      <c r="R3266" s="336">
        <f t="shared" si="288"/>
        <v>342</v>
      </c>
    </row>
    <row r="3267" spans="6:18" ht="24" customHeight="1">
      <c r="H3267" s="155" t="s">
        <v>1085</v>
      </c>
      <c r="J3267" s="160"/>
      <c r="M3267" s="336">
        <v>1</v>
      </c>
      <c r="N3267" s="489" t="s">
        <v>576</v>
      </c>
      <c r="O3267" s="338" t="s">
        <v>3033</v>
      </c>
      <c r="P3267" s="336">
        <f t="shared" si="289"/>
        <v>183.4</v>
      </c>
      <c r="Q3267" s="339" t="s">
        <v>576</v>
      </c>
      <c r="R3267" s="336">
        <f t="shared" si="288"/>
        <v>183.4</v>
      </c>
    </row>
    <row r="3268" spans="6:18" ht="24" customHeight="1">
      <c r="F3268" s="167">
        <v>1.8</v>
      </c>
      <c r="G3268" s="165" t="s">
        <v>2139</v>
      </c>
      <c r="H3268" s="154" t="s">
        <v>352</v>
      </c>
      <c r="I3268" s="167">
        <f>E271</f>
        <v>154</v>
      </c>
      <c r="J3268" s="155" t="s">
        <v>2139</v>
      </c>
      <c r="K3268" s="167">
        <f>(F3268*I3268)</f>
        <v>277.2</v>
      </c>
      <c r="M3268" s="336">
        <v>2</v>
      </c>
      <c r="N3268" s="489" t="s">
        <v>576</v>
      </c>
      <c r="O3268" s="338" t="s">
        <v>3034</v>
      </c>
      <c r="P3268" s="336">
        <f t="shared" si="289"/>
        <v>22.5</v>
      </c>
      <c r="Q3268" s="339" t="s">
        <v>576</v>
      </c>
      <c r="R3268" s="336">
        <f t="shared" si="288"/>
        <v>45</v>
      </c>
    </row>
    <row r="3269" spans="6:18" ht="24" customHeight="1">
      <c r="F3269" s="167">
        <v>0.25</v>
      </c>
      <c r="G3269" s="165" t="s">
        <v>1261</v>
      </c>
      <c r="H3269" s="154" t="s">
        <v>2140</v>
      </c>
      <c r="I3269" s="167">
        <f>I3244</f>
        <v>574.20000000000005</v>
      </c>
      <c r="J3269" s="155" t="s">
        <v>1261</v>
      </c>
      <c r="K3269" s="167">
        <f>(F3269*I3269)</f>
        <v>143.55000000000001</v>
      </c>
      <c r="M3269" s="336">
        <v>2</v>
      </c>
      <c r="N3269" s="489" t="s">
        <v>576</v>
      </c>
      <c r="O3269" s="338" t="s">
        <v>3035</v>
      </c>
      <c r="P3269" s="336">
        <f t="shared" si="289"/>
        <v>43.8</v>
      </c>
      <c r="Q3269" s="339" t="s">
        <v>576</v>
      </c>
      <c r="R3269" s="336">
        <f t="shared" si="288"/>
        <v>87.6</v>
      </c>
    </row>
    <row r="3270" spans="6:18" ht="24" customHeight="1">
      <c r="F3270" s="167">
        <v>0.25</v>
      </c>
      <c r="G3270" s="165" t="s">
        <v>1261</v>
      </c>
      <c r="H3270" s="154" t="s">
        <v>1264</v>
      </c>
      <c r="I3270" s="167">
        <f>I3185</f>
        <v>468.6</v>
      </c>
      <c r="J3270" s="155" t="s">
        <v>1261</v>
      </c>
      <c r="K3270" s="167">
        <f>(F3270*I3270)</f>
        <v>117.15</v>
      </c>
      <c r="M3270" s="482">
        <v>118</v>
      </c>
      <c r="N3270" s="489" t="s">
        <v>576</v>
      </c>
      <c r="O3270" s="482" t="s">
        <v>2965</v>
      </c>
      <c r="P3270" s="482">
        <f>P3236</f>
        <v>2.35</v>
      </c>
      <c r="Q3270" s="485"/>
      <c r="R3270" s="336">
        <f t="shared" si="288"/>
        <v>277.3</v>
      </c>
    </row>
    <row r="3271" spans="6:18" ht="24" customHeight="1">
      <c r="F3271" s="167">
        <v>0.4</v>
      </c>
      <c r="G3271" s="165" t="s">
        <v>1261</v>
      </c>
      <c r="H3271" s="154" t="s">
        <v>2141</v>
      </c>
      <c r="I3271" s="167">
        <f>I3186</f>
        <v>404.8</v>
      </c>
      <c r="J3271" s="155" t="s">
        <v>1261</v>
      </c>
      <c r="K3271" s="167">
        <f>(F3271*I3271)</f>
        <v>161.92000000000002</v>
      </c>
      <c r="M3271" s="482"/>
      <c r="N3271" s="483"/>
      <c r="O3271" s="482"/>
      <c r="P3271" s="482"/>
      <c r="Q3271" s="485"/>
      <c r="R3271" s="490" t="s">
        <v>534</v>
      </c>
    </row>
    <row r="3272" spans="6:18" ht="24" customHeight="1">
      <c r="G3272" s="165" t="s">
        <v>589</v>
      </c>
      <c r="H3272" s="154" t="s">
        <v>1077</v>
      </c>
      <c r="J3272" s="155" t="s">
        <v>589</v>
      </c>
      <c r="K3272" s="167">
        <v>1.65</v>
      </c>
      <c r="M3272" s="482"/>
      <c r="N3272" s="483"/>
      <c r="O3272" s="338" t="s">
        <v>3059</v>
      </c>
      <c r="P3272" s="482"/>
      <c r="Q3272" s="485"/>
      <c r="R3272" s="336">
        <f>SUM(R3259:R3270)</f>
        <v>14343.6</v>
      </c>
    </row>
    <row r="3273" spans="6:18" ht="24" customHeight="1">
      <c r="F3273" s="76">
        <v>10</v>
      </c>
      <c r="H3273" s="154" t="s">
        <v>3060</v>
      </c>
      <c r="I3273" s="76">
        <f>I3174</f>
        <v>2.8</v>
      </c>
      <c r="J3273" s="160" t="s">
        <v>141</v>
      </c>
      <c r="K3273" s="167">
        <f>I3273*F3273</f>
        <v>28</v>
      </c>
      <c r="M3273" s="482"/>
      <c r="N3273" s="483"/>
      <c r="O3273" s="482"/>
      <c r="P3273" s="482"/>
      <c r="Q3273" s="485"/>
      <c r="R3273" s="490" t="s">
        <v>534</v>
      </c>
    </row>
    <row r="3274" spans="6:18" ht="24" customHeight="1">
      <c r="J3274" s="160"/>
      <c r="K3274" s="162" t="s">
        <v>534</v>
      </c>
      <c r="M3274" s="482"/>
      <c r="N3274" s="483"/>
      <c r="O3274" s="496" t="s">
        <v>881</v>
      </c>
      <c r="P3274" s="482"/>
      <c r="Q3274" s="487" t="s">
        <v>2797</v>
      </c>
      <c r="R3274" s="497">
        <f>R3272/M3263</f>
        <v>5907.5782537067553</v>
      </c>
    </row>
    <row r="3275" spans="6:18" ht="24" customHeight="1">
      <c r="H3275" s="155" t="s">
        <v>2143</v>
      </c>
      <c r="J3275" s="160"/>
      <c r="K3275" s="167">
        <f>SUM(K3268:K3274)</f>
        <v>729.46999999999991</v>
      </c>
      <c r="M3275" s="339"/>
      <c r="N3275" s="489" t="s">
        <v>307</v>
      </c>
      <c r="O3275" s="338" t="s">
        <v>3061</v>
      </c>
      <c r="P3275" s="482"/>
      <c r="Q3275" s="485"/>
      <c r="R3275" s="482"/>
    </row>
    <row r="3276" spans="6:18" ht="24" customHeight="1">
      <c r="J3276" s="160"/>
      <c r="K3276" s="162" t="s">
        <v>534</v>
      </c>
      <c r="M3276" s="482"/>
      <c r="N3276" s="483"/>
      <c r="O3276" s="338" t="s">
        <v>1774</v>
      </c>
      <c r="P3276" s="482"/>
      <c r="Q3276" s="485"/>
      <c r="R3276" s="482"/>
    </row>
    <row r="3277" spans="6:18" ht="24" customHeight="1">
      <c r="F3277" s="154" t="s">
        <v>22</v>
      </c>
      <c r="G3277" s="165" t="s">
        <v>22</v>
      </c>
      <c r="H3277" s="155" t="s">
        <v>1930</v>
      </c>
      <c r="I3277" s="154" t="s">
        <v>22</v>
      </c>
      <c r="J3277" s="155" t="s">
        <v>22</v>
      </c>
      <c r="K3277" s="167">
        <f>K3275/10</f>
        <v>72.946999999999989</v>
      </c>
      <c r="M3277" s="482"/>
      <c r="N3277" s="483"/>
      <c r="O3277" s="568" t="s">
        <v>3036</v>
      </c>
      <c r="P3277" s="482"/>
      <c r="Q3277" s="485"/>
      <c r="R3277" s="482"/>
    </row>
    <row r="3278" spans="6:18" ht="24" customHeight="1">
      <c r="J3278" s="160"/>
      <c r="K3278" s="162" t="s">
        <v>528</v>
      </c>
      <c r="M3278" s="482"/>
      <c r="N3278" s="483"/>
      <c r="O3278" s="490" t="s">
        <v>534</v>
      </c>
      <c r="P3278" s="482"/>
      <c r="Q3278" s="485"/>
      <c r="R3278" s="482"/>
    </row>
    <row r="3279" spans="6:18" ht="24" customHeight="1">
      <c r="G3279" s="199" t="s">
        <v>3062</v>
      </c>
      <c r="J3279" s="76"/>
      <c r="M3279" s="482"/>
      <c r="N3279" s="483"/>
      <c r="O3279" s="338" t="s">
        <v>3037</v>
      </c>
      <c r="P3279" s="486" t="s">
        <v>528</v>
      </c>
      <c r="Q3279" s="569">
        <v>2.4279999999999999</v>
      </c>
      <c r="R3279" s="482" t="s">
        <v>250</v>
      </c>
    </row>
    <row r="3280" spans="6:18" ht="24" customHeight="1">
      <c r="G3280" s="199" t="s">
        <v>3039</v>
      </c>
      <c r="J3280" s="76"/>
      <c r="M3280" s="482"/>
      <c r="N3280" s="483"/>
      <c r="O3280" s="338"/>
      <c r="P3280" s="486"/>
      <c r="Q3280" s="569"/>
      <c r="R3280" s="482"/>
    </row>
    <row r="3281" spans="6:18" ht="24" customHeight="1">
      <c r="G3281" s="76"/>
      <c r="J3281" s="76"/>
      <c r="M3281" s="482"/>
      <c r="N3281" s="483"/>
      <c r="O3281" s="338" t="s">
        <v>2998</v>
      </c>
      <c r="P3281" s="486" t="s">
        <v>528</v>
      </c>
      <c r="Q3281" s="570">
        <v>5.1999999999999998E-2</v>
      </c>
      <c r="R3281" s="482" t="s">
        <v>238</v>
      </c>
    </row>
    <row r="3282" spans="6:18" ht="24" customHeight="1">
      <c r="F3282" s="526">
        <v>0.10299999999999999</v>
      </c>
      <c r="G3282" s="227" t="s">
        <v>577</v>
      </c>
      <c r="H3282" s="199" t="s">
        <v>3042</v>
      </c>
      <c r="I3282" s="199">
        <f>I1102</f>
        <v>99400</v>
      </c>
      <c r="J3282" s="207" t="s">
        <v>577</v>
      </c>
      <c r="K3282" s="199">
        <f>I3282*F3282</f>
        <v>10238.199999999999</v>
      </c>
      <c r="M3282" s="482"/>
      <c r="N3282" s="483"/>
      <c r="O3282" s="338" t="s">
        <v>2999</v>
      </c>
      <c r="Q3282" s="571"/>
      <c r="R3282" s="482"/>
    </row>
    <row r="3283" spans="6:18" ht="24" customHeight="1">
      <c r="F3283" s="526">
        <v>1.32</v>
      </c>
      <c r="G3283" s="227" t="s">
        <v>916</v>
      </c>
      <c r="H3283" s="199" t="s">
        <v>3043</v>
      </c>
      <c r="I3283" s="585">
        <v>2152</v>
      </c>
      <c r="J3283" s="207" t="s">
        <v>250</v>
      </c>
      <c r="K3283" s="199">
        <f t="shared" ref="K3283:K3292" si="290">I3283*F3283</f>
        <v>2840.6400000000003</v>
      </c>
      <c r="M3283" s="482"/>
      <c r="N3283" s="483"/>
      <c r="O3283" s="338" t="s">
        <v>3040</v>
      </c>
      <c r="P3283" s="486" t="s">
        <v>528</v>
      </c>
      <c r="Q3283" s="581">
        <v>1.7718999999999999E-2</v>
      </c>
      <c r="R3283" s="482"/>
    </row>
    <row r="3284" spans="6:18" ht="24" customHeight="1">
      <c r="F3284" s="527">
        <v>3.3000000000000002E-2</v>
      </c>
      <c r="G3284" s="227" t="s">
        <v>577</v>
      </c>
      <c r="H3284" s="270" t="s">
        <v>1879</v>
      </c>
      <c r="I3284" s="199">
        <f>AC28</f>
        <v>95000</v>
      </c>
      <c r="J3284" s="207" t="s">
        <v>577</v>
      </c>
      <c r="K3284" s="199">
        <f t="shared" si="290"/>
        <v>3135</v>
      </c>
      <c r="M3284" s="482"/>
      <c r="N3284" s="483"/>
      <c r="O3284" s="338" t="s">
        <v>3041</v>
      </c>
      <c r="P3284" s="486" t="s">
        <v>528</v>
      </c>
      <c r="Q3284" s="581">
        <v>7.8750000000000001E-3</v>
      </c>
      <c r="R3284" s="514"/>
    </row>
    <row r="3285" spans="6:18" ht="24" customHeight="1">
      <c r="F3285" s="527">
        <v>3.0225</v>
      </c>
      <c r="G3285" s="227" t="s">
        <v>916</v>
      </c>
      <c r="H3285" s="270" t="s">
        <v>1880</v>
      </c>
      <c r="I3285" s="199">
        <f>AE30</f>
        <v>1105.5</v>
      </c>
      <c r="J3285" s="207" t="s">
        <v>916</v>
      </c>
      <c r="K3285" s="199">
        <f t="shared" si="290"/>
        <v>3341.3737499999997</v>
      </c>
      <c r="M3285" s="482"/>
      <c r="N3285" s="483"/>
      <c r="O3285" s="482"/>
      <c r="P3285" s="482"/>
      <c r="Q3285" s="490" t="s">
        <v>534</v>
      </c>
    </row>
    <row r="3286" spans="6:18" ht="24" customHeight="1">
      <c r="F3286" s="199">
        <v>6</v>
      </c>
      <c r="G3286" s="227" t="s">
        <v>1882</v>
      </c>
      <c r="H3286" s="199" t="s">
        <v>3046</v>
      </c>
      <c r="I3286" s="585">
        <v>79</v>
      </c>
      <c r="J3286" s="207" t="s">
        <v>332</v>
      </c>
      <c r="K3286" s="199">
        <f t="shared" si="290"/>
        <v>474</v>
      </c>
      <c r="M3286" s="482"/>
      <c r="N3286" s="483"/>
      <c r="O3286" s="482"/>
      <c r="P3286" s="482"/>
      <c r="Q3286" s="573">
        <v>2.5590000000000002E-2</v>
      </c>
      <c r="R3286" s="76" t="s">
        <v>238</v>
      </c>
    </row>
    <row r="3287" spans="6:18" ht="24" customHeight="1">
      <c r="F3287" s="199">
        <v>1</v>
      </c>
      <c r="G3287" s="227" t="s">
        <v>1882</v>
      </c>
      <c r="H3287" s="199" t="s">
        <v>3048</v>
      </c>
      <c r="I3287" s="199">
        <v>260</v>
      </c>
      <c r="J3287" s="207" t="s">
        <v>332</v>
      </c>
      <c r="K3287" s="199">
        <f t="shared" si="290"/>
        <v>260</v>
      </c>
      <c r="M3287" s="482"/>
      <c r="N3287" s="483"/>
      <c r="O3287" s="482"/>
      <c r="P3287" s="482"/>
      <c r="Q3287" s="490" t="s">
        <v>534</v>
      </c>
    </row>
    <row r="3288" spans="6:18" ht="24" customHeight="1">
      <c r="F3288" s="199">
        <v>2</v>
      </c>
      <c r="G3288" s="227" t="s">
        <v>1882</v>
      </c>
      <c r="H3288" s="199" t="s">
        <v>3049</v>
      </c>
      <c r="I3288" s="199">
        <v>130</v>
      </c>
      <c r="J3288" s="207" t="s">
        <v>332</v>
      </c>
      <c r="K3288" s="199">
        <f t="shared" si="290"/>
        <v>260</v>
      </c>
      <c r="M3288" s="482"/>
      <c r="N3288" s="483"/>
      <c r="O3288" s="338" t="s">
        <v>3063</v>
      </c>
      <c r="P3288" s="482"/>
      <c r="Q3288" s="574">
        <v>0.58750000000000002</v>
      </c>
      <c r="R3288" s="514"/>
    </row>
    <row r="3289" spans="6:18" ht="24" customHeight="1">
      <c r="F3289" s="199">
        <v>2</v>
      </c>
      <c r="G3289" s="227" t="s">
        <v>1882</v>
      </c>
      <c r="H3289" s="199" t="s">
        <v>3050</v>
      </c>
      <c r="I3289" s="199">
        <v>165</v>
      </c>
      <c r="J3289" s="207" t="s">
        <v>332</v>
      </c>
      <c r="K3289" s="199">
        <f t="shared" si="290"/>
        <v>330</v>
      </c>
      <c r="M3289" s="482"/>
      <c r="N3289" s="483"/>
      <c r="O3289" s="338" t="s">
        <v>3064</v>
      </c>
      <c r="P3289" s="482"/>
      <c r="Q3289" s="575">
        <v>0.28129999999999999</v>
      </c>
      <c r="R3289" s="514"/>
    </row>
    <row r="3290" spans="6:18" ht="24" customHeight="1">
      <c r="F3290" s="199">
        <v>1</v>
      </c>
      <c r="G3290" s="227" t="s">
        <v>1882</v>
      </c>
      <c r="H3290" s="199" t="s">
        <v>3052</v>
      </c>
      <c r="I3290" s="199">
        <v>985</v>
      </c>
      <c r="J3290" s="207" t="s">
        <v>332</v>
      </c>
      <c r="K3290" s="199">
        <f t="shared" si="290"/>
        <v>985</v>
      </c>
      <c r="M3290" s="482"/>
      <c r="N3290" s="483"/>
      <c r="O3290" s="338"/>
      <c r="P3290" s="482"/>
      <c r="Q3290" s="490" t="s">
        <v>534</v>
      </c>
      <c r="R3290" s="514"/>
    </row>
    <row r="3291" spans="6:18" ht="24" customHeight="1">
      <c r="F3291" s="199">
        <v>2</v>
      </c>
      <c r="G3291" s="227" t="s">
        <v>1882</v>
      </c>
      <c r="H3291" s="199" t="s">
        <v>3053</v>
      </c>
      <c r="I3291" s="199">
        <v>450</v>
      </c>
      <c r="J3291" s="207" t="s">
        <v>332</v>
      </c>
      <c r="K3291" s="199">
        <f t="shared" si="290"/>
        <v>900</v>
      </c>
      <c r="M3291" s="482"/>
      <c r="N3291" s="483"/>
      <c r="O3291" s="338"/>
      <c r="P3291" s="482"/>
      <c r="Q3291" s="575">
        <v>0.86880000000000002</v>
      </c>
      <c r="R3291" s="488" t="s">
        <v>250</v>
      </c>
    </row>
    <row r="3292" spans="6:18" ht="24" customHeight="1">
      <c r="F3292" s="199">
        <v>0</v>
      </c>
      <c r="G3292" s="227" t="s">
        <v>3</v>
      </c>
      <c r="H3292" s="199" t="s">
        <v>3054</v>
      </c>
      <c r="I3292" s="199">
        <f>I961</f>
        <v>2.35</v>
      </c>
      <c r="J3292" s="207" t="s">
        <v>332</v>
      </c>
      <c r="K3292" s="528">
        <f t="shared" si="290"/>
        <v>0</v>
      </c>
      <c r="M3292" s="482"/>
      <c r="N3292" s="483"/>
      <c r="O3292" s="482"/>
      <c r="P3292" s="482"/>
      <c r="Q3292" s="490" t="s">
        <v>534</v>
      </c>
      <c r="R3292" s="490"/>
    </row>
    <row r="3293" spans="6:18" ht="24" customHeight="1">
      <c r="F3293" s="199"/>
      <c r="G3293" s="227"/>
      <c r="H3293" s="199" t="s">
        <v>3056</v>
      </c>
      <c r="I3293" s="199"/>
      <c r="J3293" s="207"/>
      <c r="K3293" s="199">
        <f>SUM(K3282:K3292)</f>
        <v>22764.213749999999</v>
      </c>
      <c r="M3293" s="514">
        <v>5.1999999999999998E-2</v>
      </c>
      <c r="N3293" s="489" t="s">
        <v>577</v>
      </c>
      <c r="O3293" s="338" t="s">
        <v>1790</v>
      </c>
      <c r="P3293" s="336">
        <f>P3190</f>
        <v>111600</v>
      </c>
      <c r="Q3293" s="339" t="s">
        <v>577</v>
      </c>
      <c r="R3293" s="336">
        <f>P3293*M3293</f>
        <v>5803.2</v>
      </c>
    </row>
    <row r="3294" spans="6:18" ht="24" customHeight="1">
      <c r="F3294" s="199"/>
      <c r="G3294" s="227"/>
      <c r="H3294" s="199"/>
      <c r="I3294" s="199"/>
      <c r="J3294" s="207"/>
      <c r="K3294" s="528" t="s">
        <v>1892</v>
      </c>
      <c r="M3294" s="514">
        <v>2.5590000000000002E-2</v>
      </c>
      <c r="N3294" s="489" t="s">
        <v>577</v>
      </c>
      <c r="O3294" s="338" t="s">
        <v>1792</v>
      </c>
      <c r="P3294" s="336">
        <f>P3191</f>
        <v>99400</v>
      </c>
      <c r="Q3294" s="339" t="s">
        <v>577</v>
      </c>
      <c r="R3294" s="336">
        <f t="shared" ref="R3294:R3302" si="291">P3294*M3294</f>
        <v>2543.6460000000002</v>
      </c>
    </row>
    <row r="3295" spans="6:18" ht="24" customHeight="1">
      <c r="F3295" s="199"/>
      <c r="G3295" s="227"/>
      <c r="H3295" s="199" t="s">
        <v>3057</v>
      </c>
      <c r="I3295" s="199"/>
      <c r="J3295" s="207"/>
      <c r="K3295" s="199">
        <f>K3293/F3285</f>
        <v>7531.5843672456576</v>
      </c>
      <c r="M3295" s="336">
        <v>0.87</v>
      </c>
      <c r="N3295" s="489" t="s">
        <v>916</v>
      </c>
      <c r="O3295" s="154" t="s">
        <v>934</v>
      </c>
      <c r="P3295" s="336">
        <f>C783</f>
        <v>387.4</v>
      </c>
      <c r="Q3295" s="339" t="s">
        <v>577</v>
      </c>
      <c r="R3295" s="336">
        <f t="shared" si="291"/>
        <v>337.03799999999995</v>
      </c>
    </row>
    <row r="3296" spans="6:18" ht="24" customHeight="1">
      <c r="F3296" s="199"/>
      <c r="G3296" s="227"/>
      <c r="H3296" s="199"/>
      <c r="I3296" s="199"/>
      <c r="J3296" s="207"/>
      <c r="K3296" s="528" t="s">
        <v>1892</v>
      </c>
      <c r="M3296" s="530">
        <v>2.4279999999999999</v>
      </c>
      <c r="N3296" s="489" t="s">
        <v>916</v>
      </c>
      <c r="O3296" s="338" t="s">
        <v>1787</v>
      </c>
      <c r="P3296" s="336">
        <f>D30</f>
        <v>921.80000000000007</v>
      </c>
      <c r="Q3296" s="339" t="s">
        <v>916</v>
      </c>
      <c r="R3296" s="336">
        <f t="shared" si="291"/>
        <v>2238.1304</v>
      </c>
    </row>
    <row r="3297" spans="6:18" ht="24" customHeight="1">
      <c r="G3297" s="76"/>
      <c r="J3297" s="76"/>
      <c r="M3297" s="336">
        <v>4</v>
      </c>
      <c r="N3297" s="489" t="s">
        <v>680</v>
      </c>
      <c r="O3297" s="338" t="s">
        <v>3010</v>
      </c>
      <c r="P3297" s="336">
        <f t="shared" ref="P3297:P3302" si="292">P3230</f>
        <v>50.4</v>
      </c>
      <c r="Q3297" s="339" t="s">
        <v>576</v>
      </c>
      <c r="R3297" s="336">
        <f t="shared" si="291"/>
        <v>201.6</v>
      </c>
    </row>
    <row r="3298" spans="6:18" ht="24" customHeight="1">
      <c r="G3298" s="76"/>
      <c r="J3298" s="76"/>
      <c r="M3298" s="336">
        <v>8</v>
      </c>
      <c r="N3298" s="489" t="s">
        <v>576</v>
      </c>
      <c r="O3298" s="338" t="s">
        <v>1789</v>
      </c>
      <c r="P3298" s="336">
        <f t="shared" si="292"/>
        <v>78.400000000000006</v>
      </c>
      <c r="Q3298" s="339" t="s">
        <v>576</v>
      </c>
      <c r="R3298" s="336">
        <f t="shared" si="291"/>
        <v>627.20000000000005</v>
      </c>
    </row>
    <row r="3299" spans="6:18" ht="24" customHeight="1">
      <c r="G3299" s="165" t="s">
        <v>1563</v>
      </c>
      <c r="H3299" s="155" t="s">
        <v>1728</v>
      </c>
      <c r="M3299" s="336">
        <v>4</v>
      </c>
      <c r="N3299" s="489" t="s">
        <v>576</v>
      </c>
      <c r="O3299" s="338" t="s">
        <v>3032</v>
      </c>
      <c r="P3299" s="336">
        <f t="shared" si="292"/>
        <v>85.5</v>
      </c>
      <c r="Q3299" s="339" t="s">
        <v>576</v>
      </c>
      <c r="R3299" s="336">
        <f t="shared" si="291"/>
        <v>342</v>
      </c>
    </row>
    <row r="3300" spans="6:18" ht="24" customHeight="1">
      <c r="H3300" s="155" t="s">
        <v>1741</v>
      </c>
      <c r="M3300" s="336">
        <v>1</v>
      </c>
      <c r="N3300" s="489" t="s">
        <v>576</v>
      </c>
      <c r="O3300" s="338" t="s">
        <v>3033</v>
      </c>
      <c r="P3300" s="336">
        <f t="shared" si="292"/>
        <v>183.4</v>
      </c>
      <c r="Q3300" s="339" t="s">
        <v>576</v>
      </c>
      <c r="R3300" s="336">
        <f t="shared" si="291"/>
        <v>183.4</v>
      </c>
    </row>
    <row r="3301" spans="6:18" ht="24" customHeight="1">
      <c r="F3301" s="232">
        <v>6.5000000000000002E-2</v>
      </c>
      <c r="G3301" s="165" t="s">
        <v>577</v>
      </c>
      <c r="H3301" s="154" t="s">
        <v>1731</v>
      </c>
      <c r="I3301" s="167">
        <f>I859</f>
        <v>6523.4590200000011</v>
      </c>
      <c r="J3301" s="154" t="s">
        <v>577</v>
      </c>
      <c r="K3301" s="167">
        <f>I3301*F3301</f>
        <v>424.02483630000006</v>
      </c>
      <c r="M3301" s="336">
        <v>2</v>
      </c>
      <c r="N3301" s="489" t="s">
        <v>576</v>
      </c>
      <c r="O3301" s="338" t="s">
        <v>3034</v>
      </c>
      <c r="P3301" s="336">
        <f t="shared" si="292"/>
        <v>22.5</v>
      </c>
      <c r="Q3301" s="339" t="s">
        <v>576</v>
      </c>
      <c r="R3301" s="336">
        <f t="shared" si="291"/>
        <v>45</v>
      </c>
    </row>
    <row r="3302" spans="6:18" ht="24" customHeight="1">
      <c r="F3302" s="276">
        <v>8.4499999999999993</v>
      </c>
      <c r="G3302" s="165" t="s">
        <v>420</v>
      </c>
      <c r="H3302" s="154" t="s">
        <v>1733</v>
      </c>
      <c r="I3302" s="167">
        <f t="shared" ref="I3302:I3312" si="293">I860</f>
        <v>67228.5</v>
      </c>
      <c r="J3302" s="154" t="s">
        <v>567</v>
      </c>
      <c r="K3302" s="167">
        <f>I3302*F3302/1000</f>
        <v>568.080825</v>
      </c>
      <c r="M3302" s="336">
        <v>2</v>
      </c>
      <c r="N3302" s="489" t="s">
        <v>576</v>
      </c>
      <c r="O3302" s="338" t="s">
        <v>3035</v>
      </c>
      <c r="P3302" s="336">
        <f t="shared" si="292"/>
        <v>43.8</v>
      </c>
      <c r="Q3302" s="339" t="s">
        <v>576</v>
      </c>
      <c r="R3302" s="336">
        <f t="shared" si="291"/>
        <v>87.6</v>
      </c>
    </row>
    <row r="3303" spans="6:18" ht="24" customHeight="1">
      <c r="F3303" s="167">
        <v>3</v>
      </c>
      <c r="G3303" s="165" t="s">
        <v>576</v>
      </c>
      <c r="H3303" s="154" t="s">
        <v>1735</v>
      </c>
      <c r="I3303" s="167">
        <f t="shared" si="293"/>
        <v>14.8</v>
      </c>
      <c r="J3303" s="154" t="s">
        <v>576</v>
      </c>
      <c r="K3303" s="167">
        <f t="shared" ref="K3303:K3310" si="294">I3303*F3303</f>
        <v>44.400000000000006</v>
      </c>
      <c r="M3303" s="482"/>
      <c r="N3303" s="483"/>
      <c r="O3303" s="482" t="s">
        <v>2965</v>
      </c>
      <c r="P3303" s="482"/>
      <c r="Q3303" s="485"/>
      <c r="R3303" s="494">
        <f>R3201</f>
        <v>277.3</v>
      </c>
    </row>
    <row r="3304" spans="6:18" ht="24" customHeight="1">
      <c r="F3304" s="167">
        <v>12</v>
      </c>
      <c r="G3304" s="165" t="s">
        <v>576</v>
      </c>
      <c r="H3304" s="154" t="s">
        <v>1736</v>
      </c>
      <c r="I3304" s="167">
        <f t="shared" si="293"/>
        <v>2</v>
      </c>
      <c r="J3304" s="154" t="s">
        <v>576</v>
      </c>
      <c r="K3304" s="167">
        <f t="shared" si="294"/>
        <v>24</v>
      </c>
      <c r="M3304" s="482"/>
      <c r="N3304" s="483"/>
      <c r="O3304" s="482"/>
      <c r="P3304" s="482"/>
      <c r="Q3304" s="485"/>
      <c r="R3304" s="490" t="s">
        <v>534</v>
      </c>
    </row>
    <row r="3305" spans="6:18" ht="24" customHeight="1">
      <c r="F3305" s="167">
        <v>2</v>
      </c>
      <c r="G3305" s="165" t="s">
        <v>576</v>
      </c>
      <c r="H3305" s="154" t="s">
        <v>1737</v>
      </c>
      <c r="I3305" s="167">
        <f t="shared" si="293"/>
        <v>4.9000000000000004</v>
      </c>
      <c r="J3305" s="154" t="s">
        <v>576</v>
      </c>
      <c r="K3305" s="167">
        <f t="shared" si="294"/>
        <v>9.8000000000000007</v>
      </c>
      <c r="M3305" s="482"/>
      <c r="N3305" s="483"/>
      <c r="O3305" s="338" t="s">
        <v>3059</v>
      </c>
      <c r="P3305" s="482"/>
      <c r="Q3305" s="485"/>
      <c r="R3305" s="336">
        <f>SUM(R3293:R3303)</f>
        <v>12686.1144</v>
      </c>
    </row>
    <row r="3306" spans="6:18" ht="24" customHeight="1">
      <c r="F3306" s="167">
        <v>6</v>
      </c>
      <c r="G3306" s="165" t="s">
        <v>576</v>
      </c>
      <c r="H3306" s="154" t="s">
        <v>1739</v>
      </c>
      <c r="I3306" s="167">
        <f t="shared" si="293"/>
        <v>4.45</v>
      </c>
      <c r="J3306" s="154" t="s">
        <v>576</v>
      </c>
      <c r="K3306" s="167">
        <f t="shared" si="294"/>
        <v>26.700000000000003</v>
      </c>
      <c r="M3306" s="482"/>
      <c r="N3306" s="483"/>
      <c r="O3306" s="482"/>
      <c r="P3306" s="482"/>
      <c r="Q3306" s="485"/>
      <c r="R3306" s="490" t="s">
        <v>534</v>
      </c>
    </row>
    <row r="3307" spans="6:18" ht="24" customHeight="1">
      <c r="F3307" s="167">
        <v>1</v>
      </c>
      <c r="G3307" s="165" t="s">
        <v>576</v>
      </c>
      <c r="H3307" s="154" t="s">
        <v>1742</v>
      </c>
      <c r="I3307" s="167">
        <f t="shared" si="293"/>
        <v>717.2</v>
      </c>
      <c r="J3307" s="154" t="s">
        <v>576</v>
      </c>
      <c r="K3307" s="167">
        <f t="shared" si="294"/>
        <v>717.2</v>
      </c>
      <c r="M3307" s="482"/>
      <c r="N3307" s="483"/>
      <c r="O3307" s="496" t="s">
        <v>881</v>
      </c>
      <c r="P3307" s="482"/>
      <c r="Q3307" s="487" t="s">
        <v>2797</v>
      </c>
      <c r="R3307" s="497">
        <f>R3305/M3296</f>
        <v>5224.92355848435</v>
      </c>
    </row>
    <row r="3308" spans="6:18" ht="24" customHeight="1">
      <c r="F3308" s="167">
        <v>1</v>
      </c>
      <c r="G3308" s="165" t="s">
        <v>576</v>
      </c>
      <c r="H3308" s="154" t="s">
        <v>1743</v>
      </c>
      <c r="I3308" s="167">
        <f t="shared" si="293"/>
        <v>468.6</v>
      </c>
      <c r="J3308" s="154" t="s">
        <v>576</v>
      </c>
      <c r="K3308" s="167">
        <f t="shared" si="294"/>
        <v>468.6</v>
      </c>
      <c r="M3308" s="339"/>
      <c r="N3308" s="489" t="s">
        <v>307</v>
      </c>
      <c r="O3308" s="338" t="s">
        <v>3065</v>
      </c>
      <c r="P3308" s="482"/>
      <c r="Q3308" s="485"/>
      <c r="R3308" s="482"/>
    </row>
    <row r="3309" spans="6:18" ht="24" customHeight="1">
      <c r="F3309" s="167">
        <v>1</v>
      </c>
      <c r="G3309" s="165" t="s">
        <v>576</v>
      </c>
      <c r="H3309" s="154" t="s">
        <v>1744</v>
      </c>
      <c r="I3309" s="167">
        <f t="shared" si="293"/>
        <v>25</v>
      </c>
      <c r="J3309" s="154" t="s">
        <v>576</v>
      </c>
      <c r="K3309" s="167">
        <f t="shared" si="294"/>
        <v>25</v>
      </c>
      <c r="M3309" s="482"/>
      <c r="N3309" s="483"/>
      <c r="O3309" s="338" t="s">
        <v>1774</v>
      </c>
      <c r="P3309" s="482"/>
      <c r="Q3309" s="485"/>
      <c r="R3309" s="482"/>
    </row>
    <row r="3310" spans="6:18" ht="24" customHeight="1">
      <c r="F3310" s="167">
        <v>0.5</v>
      </c>
      <c r="G3310" s="165" t="s">
        <v>576</v>
      </c>
      <c r="H3310" s="154" t="s">
        <v>1745</v>
      </c>
      <c r="I3310" s="167">
        <f t="shared" si="293"/>
        <v>404.8</v>
      </c>
      <c r="J3310" s="154" t="s">
        <v>576</v>
      </c>
      <c r="K3310" s="167">
        <f t="shared" si="294"/>
        <v>202.4</v>
      </c>
      <c r="M3310" s="482"/>
      <c r="N3310" s="483"/>
      <c r="O3310" s="568" t="s">
        <v>2995</v>
      </c>
      <c r="P3310" s="482"/>
      <c r="Q3310" s="485"/>
      <c r="R3310" s="482"/>
    </row>
    <row r="3311" spans="6:18" ht="24" customHeight="1">
      <c r="G3311" s="165" t="s">
        <v>589</v>
      </c>
      <c r="H3311" s="154" t="s">
        <v>1746</v>
      </c>
      <c r="I3311" s="167">
        <f t="shared" si="293"/>
        <v>0</v>
      </c>
      <c r="J3311" s="154" t="s">
        <v>589</v>
      </c>
      <c r="K3311" s="167">
        <v>2.1</v>
      </c>
      <c r="M3311" s="482"/>
      <c r="N3311" s="483"/>
      <c r="O3311" s="490" t="s">
        <v>534</v>
      </c>
      <c r="P3311" s="482"/>
      <c r="Q3311" s="485"/>
      <c r="R3311" s="482"/>
    </row>
    <row r="3312" spans="6:18" ht="24" customHeight="1">
      <c r="I3312" s="167">
        <f t="shared" si="293"/>
        <v>0</v>
      </c>
      <c r="K3312" s="162" t="s">
        <v>534</v>
      </c>
      <c r="M3312" s="482"/>
      <c r="N3312" s="483"/>
      <c r="O3312" s="338" t="s">
        <v>2997</v>
      </c>
      <c r="P3312" s="486" t="s">
        <v>528</v>
      </c>
      <c r="Q3312" s="569">
        <v>3.1219999999999999</v>
      </c>
      <c r="R3312" s="535" t="s">
        <v>250</v>
      </c>
    </row>
    <row r="3313" spans="6:18" ht="24" customHeight="1">
      <c r="H3313" s="169" t="s">
        <v>1747</v>
      </c>
      <c r="K3313" s="226">
        <f>SUM(K3301:K3312)</f>
        <v>2512.3056613000003</v>
      </c>
      <c r="M3313" s="482"/>
      <c r="N3313" s="483"/>
      <c r="O3313" s="338"/>
      <c r="P3313" s="486"/>
      <c r="Q3313" s="569"/>
      <c r="R3313" s="535"/>
    </row>
    <row r="3314" spans="6:18" ht="24" customHeight="1">
      <c r="K3314" s="162" t="s">
        <v>534</v>
      </c>
      <c r="M3314" s="482"/>
      <c r="N3314" s="483"/>
      <c r="O3314" s="338" t="s">
        <v>2998</v>
      </c>
      <c r="P3314" s="486" t="s">
        <v>528</v>
      </c>
      <c r="Q3314" s="570">
        <v>5.1999999999999998E-2</v>
      </c>
      <c r="R3314" s="535" t="s">
        <v>238</v>
      </c>
    </row>
    <row r="3315" spans="6:18" ht="24" customHeight="1">
      <c r="G3315" s="76"/>
      <c r="J3315" s="76"/>
      <c r="M3315" s="482"/>
      <c r="N3315" s="483"/>
      <c r="O3315" s="338" t="s">
        <v>2999</v>
      </c>
      <c r="Q3315" s="571"/>
      <c r="R3315" s="535"/>
    </row>
    <row r="3316" spans="6:18" ht="24" customHeight="1">
      <c r="G3316" s="76"/>
      <c r="J3316" s="76"/>
      <c r="M3316" s="482"/>
      <c r="N3316" s="483"/>
      <c r="O3316" s="338" t="s">
        <v>3000</v>
      </c>
      <c r="P3316" s="486" t="s">
        <v>528</v>
      </c>
      <c r="Q3316" s="572">
        <v>2.2780000000000002E-2</v>
      </c>
      <c r="R3316" s="535"/>
    </row>
    <row r="3317" spans="6:18" ht="24" customHeight="1">
      <c r="G3317" s="199" t="s">
        <v>2822</v>
      </c>
      <c r="J3317" s="76"/>
      <c r="M3317" s="482"/>
      <c r="N3317" s="483"/>
      <c r="O3317" s="338" t="s">
        <v>3002</v>
      </c>
      <c r="P3317" s="486" t="s">
        <v>528</v>
      </c>
      <c r="Q3317" s="581">
        <v>1.0125E-2</v>
      </c>
      <c r="R3317" s="536"/>
    </row>
    <row r="3318" spans="6:18" ht="24" customHeight="1">
      <c r="G3318" s="199" t="s">
        <v>2823</v>
      </c>
      <c r="J3318" s="76"/>
      <c r="M3318" s="482"/>
      <c r="N3318" s="483"/>
      <c r="O3318" s="482"/>
      <c r="P3318" s="482"/>
      <c r="Q3318" s="579" t="s">
        <v>3021</v>
      </c>
      <c r="R3318" s="158"/>
    </row>
    <row r="3319" spans="6:18" ht="24" customHeight="1">
      <c r="G3319" s="76"/>
      <c r="J3319" s="76"/>
      <c r="M3319" s="482"/>
      <c r="N3319" s="483"/>
      <c r="O3319" s="482"/>
      <c r="P3319" s="482"/>
      <c r="Q3319" s="573">
        <v>3.2910000000000002E-2</v>
      </c>
      <c r="R3319" s="158" t="s">
        <v>238</v>
      </c>
    </row>
    <row r="3320" spans="6:18" ht="24" customHeight="1">
      <c r="F3320" s="527">
        <v>2.6159999999999999E-2</v>
      </c>
      <c r="G3320" s="227" t="s">
        <v>577</v>
      </c>
      <c r="H3320" s="199" t="s">
        <v>1877</v>
      </c>
      <c r="I3320" s="199">
        <f>AC26</f>
        <v>111600</v>
      </c>
      <c r="J3320" s="207" t="s">
        <v>577</v>
      </c>
      <c r="K3320" s="199">
        <f>I3320*F3320</f>
        <v>2919.4560000000001</v>
      </c>
      <c r="M3320" s="482"/>
      <c r="N3320" s="483"/>
      <c r="O3320" s="482"/>
      <c r="P3320" s="482"/>
      <c r="Q3320" s="579" t="s">
        <v>3021</v>
      </c>
      <c r="R3320" s="158"/>
    </row>
    <row r="3321" spans="6:18" ht="24" customHeight="1">
      <c r="F3321" s="527">
        <v>4.7809999999999998E-2</v>
      </c>
      <c r="G3321" s="227" t="s">
        <v>577</v>
      </c>
      <c r="H3321" s="199" t="s">
        <v>1878</v>
      </c>
      <c r="I3321" s="199">
        <f>AC27</f>
        <v>99400</v>
      </c>
      <c r="J3321" s="207" t="s">
        <v>577</v>
      </c>
      <c r="K3321" s="199">
        <f t="shared" ref="K3321:K3329" si="295">I3321*F3321</f>
        <v>4752.3139999999994</v>
      </c>
      <c r="M3321" s="482"/>
      <c r="N3321" s="483"/>
      <c r="O3321" s="338" t="s">
        <v>3022</v>
      </c>
      <c r="P3321" s="482"/>
      <c r="Q3321" s="455">
        <v>0.94</v>
      </c>
      <c r="R3321" s="536" t="s">
        <v>250</v>
      </c>
    </row>
    <row r="3322" spans="6:18" ht="24" customHeight="1">
      <c r="F3322" s="527">
        <v>4.5879999999999997E-2</v>
      </c>
      <c r="G3322" s="227" t="s">
        <v>577</v>
      </c>
      <c r="H3322" s="586" t="s">
        <v>3066</v>
      </c>
      <c r="I3322" s="587">
        <v>107000</v>
      </c>
      <c r="J3322" s="207" t="s">
        <v>577</v>
      </c>
      <c r="K3322" s="199">
        <f t="shared" si="295"/>
        <v>4909.16</v>
      </c>
      <c r="M3322" s="482"/>
      <c r="N3322" s="483"/>
      <c r="O3322" s="338" t="s">
        <v>3067</v>
      </c>
      <c r="P3322" s="482"/>
      <c r="Q3322" s="576">
        <v>0.45</v>
      </c>
      <c r="R3322" s="536" t="s">
        <v>238</v>
      </c>
    </row>
    <row r="3323" spans="6:18" ht="24" customHeight="1">
      <c r="F3323" s="527">
        <v>3.95</v>
      </c>
      <c r="G3323" s="227" t="s">
        <v>916</v>
      </c>
      <c r="H3323" s="199" t="s">
        <v>1880</v>
      </c>
      <c r="I3323" s="199">
        <f>P3263</f>
        <v>1105.5</v>
      </c>
      <c r="J3323" s="207" t="s">
        <v>916</v>
      </c>
      <c r="K3323" s="199">
        <f t="shared" si="295"/>
        <v>4366.7250000000004</v>
      </c>
      <c r="M3323" s="482"/>
      <c r="N3323" s="483"/>
      <c r="O3323" s="338" t="s">
        <v>3024</v>
      </c>
      <c r="P3323" s="482"/>
      <c r="Q3323" s="576">
        <v>7.9</v>
      </c>
      <c r="R3323" s="536" t="s">
        <v>41</v>
      </c>
    </row>
    <row r="3324" spans="6:18" ht="24" customHeight="1">
      <c r="F3324" s="199">
        <v>2</v>
      </c>
      <c r="G3324" s="227" t="s">
        <v>1882</v>
      </c>
      <c r="H3324" s="199" t="s">
        <v>1883</v>
      </c>
      <c r="I3324" s="199">
        <f t="shared" ref="I3324:I3329" si="296">P3264</f>
        <v>50.4</v>
      </c>
      <c r="J3324" s="207" t="s">
        <v>332</v>
      </c>
      <c r="K3324" s="199">
        <f t="shared" si="295"/>
        <v>100.8</v>
      </c>
      <c r="M3324" s="482"/>
      <c r="N3324" s="483"/>
      <c r="O3324" s="482"/>
      <c r="P3324" s="482"/>
      <c r="Q3324" s="490"/>
      <c r="R3324" s="490"/>
    </row>
    <row r="3325" spans="6:18" ht="24" customHeight="1">
      <c r="F3325" s="199">
        <v>6</v>
      </c>
      <c r="G3325" s="227" t="s">
        <v>1882</v>
      </c>
      <c r="H3325" s="199" t="s">
        <v>1884</v>
      </c>
      <c r="I3325" s="199">
        <f t="shared" si="296"/>
        <v>78.400000000000006</v>
      </c>
      <c r="J3325" s="207" t="s">
        <v>332</v>
      </c>
      <c r="K3325" s="199">
        <f t="shared" si="295"/>
        <v>470.40000000000003</v>
      </c>
      <c r="M3325" s="514">
        <v>5.1999999999999998E-2</v>
      </c>
      <c r="N3325" s="489" t="s">
        <v>577</v>
      </c>
      <c r="O3325" s="338" t="s">
        <v>1790</v>
      </c>
      <c r="P3325" s="336">
        <f>P3223</f>
        <v>111600</v>
      </c>
      <c r="Q3325" s="339" t="s">
        <v>577</v>
      </c>
      <c r="R3325" s="336">
        <f>P3325*M3325</f>
        <v>5803.2</v>
      </c>
    </row>
    <row r="3326" spans="6:18" ht="24" customHeight="1">
      <c r="F3326" s="199">
        <v>4</v>
      </c>
      <c r="G3326" s="227" t="s">
        <v>1882</v>
      </c>
      <c r="H3326" s="199" t="s">
        <v>1885</v>
      </c>
      <c r="I3326" s="199">
        <f t="shared" si="296"/>
        <v>85.5</v>
      </c>
      <c r="J3326" s="207" t="s">
        <v>332</v>
      </c>
      <c r="K3326" s="199">
        <f t="shared" si="295"/>
        <v>342</v>
      </c>
      <c r="M3326" s="514">
        <v>3.2910000000000002E-2</v>
      </c>
      <c r="N3326" s="489" t="s">
        <v>577</v>
      </c>
      <c r="O3326" s="338" t="s">
        <v>1792</v>
      </c>
      <c r="P3326" s="336">
        <f>P3224</f>
        <v>99400</v>
      </c>
      <c r="Q3326" s="339" t="s">
        <v>577</v>
      </c>
      <c r="R3326" s="336">
        <f t="shared" ref="R3326:R3337" si="297">P3326*M3326</f>
        <v>3271.2540000000004</v>
      </c>
    </row>
    <row r="3327" spans="6:18" ht="24" customHeight="1">
      <c r="F3327" s="199">
        <v>1</v>
      </c>
      <c r="G3327" s="227" t="s">
        <v>1882</v>
      </c>
      <c r="H3327" s="199" t="s">
        <v>1887</v>
      </c>
      <c r="I3327" s="199">
        <f t="shared" si="296"/>
        <v>183.4</v>
      </c>
      <c r="J3327" s="207" t="s">
        <v>332</v>
      </c>
      <c r="K3327" s="199">
        <f t="shared" si="295"/>
        <v>183.4</v>
      </c>
      <c r="M3327" s="514">
        <v>0.45</v>
      </c>
      <c r="N3327" s="489" t="s">
        <v>916</v>
      </c>
      <c r="O3327" s="154" t="s">
        <v>934</v>
      </c>
      <c r="P3327" s="336">
        <f>P3295</f>
        <v>387.4</v>
      </c>
      <c r="Q3327" s="339" t="s">
        <v>577</v>
      </c>
      <c r="R3327" s="336">
        <f t="shared" si="297"/>
        <v>174.32999999999998</v>
      </c>
    </row>
    <row r="3328" spans="6:18" ht="24" customHeight="1">
      <c r="F3328" s="199">
        <v>2</v>
      </c>
      <c r="G3328" s="227" t="s">
        <v>1882</v>
      </c>
      <c r="H3328" s="199" t="s">
        <v>3068</v>
      </c>
      <c r="I3328" s="199">
        <f t="shared" si="296"/>
        <v>22.5</v>
      </c>
      <c r="J3328" s="207" t="s">
        <v>332</v>
      </c>
      <c r="K3328" s="199">
        <f t="shared" si="295"/>
        <v>45</v>
      </c>
      <c r="M3328" s="530">
        <v>0.94</v>
      </c>
      <c r="N3328" s="489" t="s">
        <v>916</v>
      </c>
      <c r="O3328" s="338" t="s">
        <v>3069</v>
      </c>
      <c r="P3328" s="336">
        <f t="shared" ref="P3328:P3336" si="298">P3227</f>
        <v>352</v>
      </c>
      <c r="Q3328" s="485" t="s">
        <v>916</v>
      </c>
      <c r="R3328" s="336">
        <f t="shared" si="297"/>
        <v>330.88</v>
      </c>
    </row>
    <row r="3329" spans="6:18" ht="24" customHeight="1">
      <c r="F3329" s="199">
        <v>2</v>
      </c>
      <c r="G3329" s="227" t="s">
        <v>1882</v>
      </c>
      <c r="H3329" s="199" t="s">
        <v>941</v>
      </c>
      <c r="I3329" s="199">
        <f t="shared" si="296"/>
        <v>43.8</v>
      </c>
      <c r="J3329" s="207" t="s">
        <v>332</v>
      </c>
      <c r="K3329" s="199">
        <f t="shared" si="295"/>
        <v>87.6</v>
      </c>
      <c r="M3329" s="530">
        <v>7.9</v>
      </c>
      <c r="N3329" s="489" t="s">
        <v>410</v>
      </c>
      <c r="O3329" s="338" t="s">
        <v>3070</v>
      </c>
      <c r="P3329" s="336">
        <f t="shared" si="298"/>
        <v>15</v>
      </c>
      <c r="Q3329" s="485"/>
      <c r="R3329" s="336">
        <f t="shared" si="297"/>
        <v>118.5</v>
      </c>
    </row>
    <row r="3330" spans="6:18" ht="24" customHeight="1">
      <c r="F3330" s="199">
        <v>10</v>
      </c>
      <c r="G3330" s="227"/>
      <c r="H3330" s="586" t="s">
        <v>3071</v>
      </c>
      <c r="I3330" s="199">
        <f>I3292</f>
        <v>2.35</v>
      </c>
      <c r="J3330" s="207"/>
      <c r="K3330" s="199">
        <v>24.3</v>
      </c>
      <c r="M3330" s="530">
        <v>3.1219999999999999</v>
      </c>
      <c r="N3330" s="489" t="s">
        <v>916</v>
      </c>
      <c r="O3330" s="338" t="s">
        <v>1787</v>
      </c>
      <c r="P3330" s="336">
        <f t="shared" si="298"/>
        <v>938</v>
      </c>
      <c r="Q3330" s="339" t="s">
        <v>916</v>
      </c>
      <c r="R3330" s="336">
        <f t="shared" si="297"/>
        <v>2928.4359999999997</v>
      </c>
    </row>
    <row r="3331" spans="6:18" ht="24" customHeight="1">
      <c r="F3331" s="199"/>
      <c r="G3331" s="227"/>
      <c r="H3331" s="199" t="s">
        <v>881</v>
      </c>
      <c r="I3331" s="199"/>
      <c r="J3331" s="207"/>
      <c r="K3331" s="199">
        <f>SUM(K3320:K3330)</f>
        <v>18201.154999999999</v>
      </c>
      <c r="M3331" s="336">
        <v>4</v>
      </c>
      <c r="N3331" s="489" t="s">
        <v>680</v>
      </c>
      <c r="O3331" s="338" t="s">
        <v>3010</v>
      </c>
      <c r="P3331" s="336">
        <f t="shared" si="298"/>
        <v>50.4</v>
      </c>
      <c r="Q3331" s="339" t="s">
        <v>576</v>
      </c>
      <c r="R3331" s="336">
        <f t="shared" si="297"/>
        <v>201.6</v>
      </c>
    </row>
    <row r="3332" spans="6:18" ht="24" customHeight="1">
      <c r="F3332" s="199"/>
      <c r="G3332" s="227"/>
      <c r="H3332" s="199"/>
      <c r="I3332" s="199"/>
      <c r="J3332" s="207"/>
      <c r="K3332" s="528" t="s">
        <v>1892</v>
      </c>
      <c r="M3332" s="336">
        <v>8</v>
      </c>
      <c r="N3332" s="489" t="s">
        <v>576</v>
      </c>
      <c r="O3332" s="338" t="s">
        <v>1789</v>
      </c>
      <c r="P3332" s="336">
        <f t="shared" si="298"/>
        <v>78.400000000000006</v>
      </c>
      <c r="Q3332" s="339" t="s">
        <v>576</v>
      </c>
      <c r="R3332" s="336">
        <f t="shared" si="297"/>
        <v>627.20000000000005</v>
      </c>
    </row>
    <row r="3333" spans="6:18" ht="24" customHeight="1">
      <c r="F3333" s="199"/>
      <c r="G3333" s="227"/>
      <c r="H3333" s="199" t="s">
        <v>881</v>
      </c>
      <c r="I3333" s="199"/>
      <c r="J3333" s="207"/>
      <c r="K3333" s="199">
        <f>K3331/F3323</f>
        <v>4607.8873417721516</v>
      </c>
      <c r="M3333" s="336">
        <v>4</v>
      </c>
      <c r="N3333" s="489" t="s">
        <v>576</v>
      </c>
      <c r="O3333" s="338" t="s">
        <v>3032</v>
      </c>
      <c r="P3333" s="336">
        <f t="shared" si="298"/>
        <v>85.5</v>
      </c>
      <c r="Q3333" s="339" t="s">
        <v>576</v>
      </c>
      <c r="R3333" s="336">
        <f t="shared" si="297"/>
        <v>342</v>
      </c>
    </row>
    <row r="3334" spans="6:18" ht="24" customHeight="1">
      <c r="F3334" s="199"/>
      <c r="G3334" s="227"/>
      <c r="H3334" s="199"/>
      <c r="I3334" s="199"/>
      <c r="J3334" s="207"/>
      <c r="K3334" s="528" t="s">
        <v>1892</v>
      </c>
      <c r="M3334" s="336">
        <v>1</v>
      </c>
      <c r="N3334" s="489" t="s">
        <v>576</v>
      </c>
      <c r="O3334" s="338" t="s">
        <v>3033</v>
      </c>
      <c r="P3334" s="336">
        <f t="shared" si="298"/>
        <v>183.4</v>
      </c>
      <c r="Q3334" s="339" t="s">
        <v>576</v>
      </c>
      <c r="R3334" s="336">
        <f t="shared" si="297"/>
        <v>183.4</v>
      </c>
    </row>
    <row r="3335" spans="6:18" ht="24" customHeight="1">
      <c r="G3335" s="76"/>
      <c r="J3335" s="76"/>
      <c r="M3335" s="336">
        <v>2</v>
      </c>
      <c r="N3335" s="489" t="s">
        <v>576</v>
      </c>
      <c r="O3335" s="338" t="s">
        <v>3034</v>
      </c>
      <c r="P3335" s="336">
        <f t="shared" si="298"/>
        <v>22.5</v>
      </c>
      <c r="Q3335" s="339" t="s">
        <v>576</v>
      </c>
      <c r="R3335" s="336">
        <f t="shared" si="297"/>
        <v>45</v>
      </c>
    </row>
    <row r="3336" spans="6:18" ht="24" customHeight="1">
      <c r="G3336" s="76"/>
      <c r="J3336" s="76"/>
      <c r="M3336" s="336">
        <v>2</v>
      </c>
      <c r="N3336" s="489" t="s">
        <v>576</v>
      </c>
      <c r="O3336" s="338" t="s">
        <v>3035</v>
      </c>
      <c r="P3336" s="336">
        <f t="shared" si="298"/>
        <v>43.8</v>
      </c>
      <c r="Q3336" s="339" t="s">
        <v>576</v>
      </c>
      <c r="R3336" s="336">
        <f t="shared" si="297"/>
        <v>87.6</v>
      </c>
    </row>
    <row r="3337" spans="6:18" ht="24" customHeight="1">
      <c r="G3337" s="76"/>
      <c r="J3337" s="76"/>
      <c r="M3337" s="482">
        <v>118</v>
      </c>
      <c r="N3337" s="489" t="s">
        <v>576</v>
      </c>
      <c r="O3337" s="482" t="s">
        <v>2965</v>
      </c>
      <c r="P3337" s="482">
        <f>P3270</f>
        <v>2.35</v>
      </c>
      <c r="Q3337" s="339" t="s">
        <v>576</v>
      </c>
      <c r="R3337" s="336">
        <f t="shared" si="297"/>
        <v>277.3</v>
      </c>
    </row>
    <row r="3338" spans="6:18" ht="24" customHeight="1">
      <c r="F3338" s="155"/>
      <c r="G3338" s="165" t="s">
        <v>307</v>
      </c>
      <c r="H3338" s="154" t="s">
        <v>3072</v>
      </c>
      <c r="J3338" s="160"/>
      <c r="M3338" s="482"/>
      <c r="N3338" s="483"/>
      <c r="O3338" s="482"/>
      <c r="P3338" s="482"/>
      <c r="Q3338" s="485"/>
      <c r="R3338" s="490" t="s">
        <v>534</v>
      </c>
    </row>
    <row r="3339" spans="6:18" ht="24" customHeight="1">
      <c r="H3339" s="154" t="s">
        <v>1999</v>
      </c>
      <c r="J3339" s="160"/>
      <c r="M3339" s="482"/>
      <c r="N3339" s="483"/>
      <c r="O3339" s="338" t="s">
        <v>3017</v>
      </c>
      <c r="P3339" s="482"/>
      <c r="Q3339" s="485"/>
      <c r="R3339" s="336">
        <f>SUM(R3325:R3337)</f>
        <v>14390.699999999999</v>
      </c>
    </row>
    <row r="3340" spans="6:18" ht="24" customHeight="1">
      <c r="H3340" s="157" t="s">
        <v>3073</v>
      </c>
      <c r="J3340" s="160"/>
      <c r="M3340" s="482"/>
      <c r="N3340" s="483"/>
      <c r="O3340" s="482"/>
      <c r="P3340" s="482"/>
      <c r="Q3340" s="485"/>
      <c r="R3340" s="490" t="s">
        <v>534</v>
      </c>
    </row>
    <row r="3341" spans="6:18" ht="24" customHeight="1">
      <c r="H3341" s="162" t="s">
        <v>534</v>
      </c>
      <c r="J3341" s="160"/>
      <c r="M3341" s="482"/>
      <c r="N3341" s="483"/>
      <c r="O3341" s="496" t="s">
        <v>881</v>
      </c>
      <c r="P3341" s="482"/>
      <c r="Q3341" s="487" t="s">
        <v>2797</v>
      </c>
      <c r="R3341" s="497">
        <f>R3339/M3330</f>
        <v>4609.4490711082635</v>
      </c>
    </row>
    <row r="3342" spans="6:18" ht="24" customHeight="1">
      <c r="F3342" s="167">
        <v>1.34</v>
      </c>
      <c r="G3342" s="165" t="s">
        <v>420</v>
      </c>
      <c r="H3342" s="444" t="s">
        <v>3074</v>
      </c>
      <c r="I3342" s="174">
        <v>71.7</v>
      </c>
      <c r="J3342" s="154" t="s">
        <v>420</v>
      </c>
      <c r="K3342" s="167">
        <f>(F3342*I3342)</f>
        <v>96.078000000000003</v>
      </c>
    </row>
    <row r="3343" spans="6:18" ht="24" customHeight="1">
      <c r="F3343" s="167">
        <v>0.5</v>
      </c>
      <c r="G3343" s="165" t="s">
        <v>680</v>
      </c>
      <c r="H3343" s="154" t="s">
        <v>2008</v>
      </c>
      <c r="I3343" s="167">
        <f>AE13</f>
        <v>574.20000000000005</v>
      </c>
      <c r="J3343" s="165" t="s">
        <v>680</v>
      </c>
      <c r="K3343" s="167">
        <f>(F3343*I3343)</f>
        <v>287.10000000000002</v>
      </c>
    </row>
    <row r="3344" spans="6:18" ht="24" customHeight="1">
      <c r="F3344" s="167">
        <v>0.5</v>
      </c>
      <c r="G3344" s="165" t="s">
        <v>680</v>
      </c>
      <c r="H3344" s="154" t="s">
        <v>754</v>
      </c>
      <c r="I3344" s="167">
        <f>AE11</f>
        <v>468.6</v>
      </c>
      <c r="J3344" s="165" t="s">
        <v>680</v>
      </c>
      <c r="K3344" s="167">
        <f>(F3344*I3344)</f>
        <v>234.3</v>
      </c>
      <c r="M3344" s="339"/>
      <c r="N3344" s="489" t="s">
        <v>307</v>
      </c>
      <c r="O3344" s="338" t="s">
        <v>3075</v>
      </c>
      <c r="P3344" s="482"/>
      <c r="Q3344" s="485"/>
      <c r="R3344" s="482"/>
    </row>
    <row r="3345" spans="6:18" ht="24" customHeight="1">
      <c r="F3345" s="167">
        <v>0.8</v>
      </c>
      <c r="G3345" s="165" t="s">
        <v>680</v>
      </c>
      <c r="H3345" s="154" t="s">
        <v>756</v>
      </c>
      <c r="I3345" s="167">
        <f>AE12</f>
        <v>404.8</v>
      </c>
      <c r="J3345" s="165" t="s">
        <v>680</v>
      </c>
      <c r="K3345" s="167">
        <f>(F3345*I3345)</f>
        <v>323.84000000000003</v>
      </c>
      <c r="M3345" s="482"/>
      <c r="N3345" s="483"/>
      <c r="O3345" s="338" t="s">
        <v>1774</v>
      </c>
      <c r="P3345" s="482"/>
      <c r="Q3345" s="485"/>
      <c r="R3345" s="482"/>
    </row>
    <row r="3346" spans="6:18" ht="24" customHeight="1">
      <c r="G3346" s="165" t="s">
        <v>589</v>
      </c>
      <c r="H3346" s="154" t="s">
        <v>1914</v>
      </c>
      <c r="I3346" s="154" t="s">
        <v>22</v>
      </c>
      <c r="J3346" s="155" t="s">
        <v>589</v>
      </c>
      <c r="K3346" s="167">
        <v>2.6</v>
      </c>
      <c r="M3346" s="482"/>
      <c r="N3346" s="483"/>
      <c r="O3346" s="568" t="s">
        <v>3076</v>
      </c>
      <c r="P3346" s="482"/>
      <c r="Q3346" s="485"/>
      <c r="R3346" s="482"/>
    </row>
    <row r="3347" spans="6:18" ht="24" customHeight="1">
      <c r="J3347" s="160"/>
      <c r="K3347" s="162" t="s">
        <v>534</v>
      </c>
      <c r="M3347" s="482"/>
      <c r="N3347" s="483"/>
      <c r="O3347" s="490" t="s">
        <v>534</v>
      </c>
      <c r="P3347" s="482"/>
      <c r="Q3347" s="485"/>
      <c r="R3347" s="482"/>
    </row>
    <row r="3348" spans="6:18" ht="24" customHeight="1">
      <c r="H3348" s="154" t="s">
        <v>879</v>
      </c>
      <c r="J3348" s="160"/>
      <c r="K3348" s="167">
        <f>SUM(K3342:K3347)</f>
        <v>943.91800000000012</v>
      </c>
      <c r="M3348" s="482"/>
      <c r="N3348" s="483"/>
      <c r="O3348" s="338" t="s">
        <v>3077</v>
      </c>
      <c r="P3348" s="486" t="s">
        <v>528</v>
      </c>
      <c r="Q3348" s="569">
        <v>1.734</v>
      </c>
      <c r="R3348" s="482" t="s">
        <v>250</v>
      </c>
    </row>
    <row r="3349" spans="6:18" ht="24" customHeight="1">
      <c r="J3349" s="160"/>
      <c r="K3349" s="162" t="s">
        <v>534</v>
      </c>
      <c r="M3349" s="482"/>
      <c r="N3349" s="483"/>
      <c r="O3349" s="338"/>
      <c r="P3349" s="486"/>
      <c r="Q3349" s="569"/>
      <c r="R3349" s="482"/>
    </row>
    <row r="3350" spans="6:18" ht="24" customHeight="1">
      <c r="H3350" s="157" t="s">
        <v>881</v>
      </c>
      <c r="J3350" s="160"/>
      <c r="K3350" s="166">
        <f>(K3348/10)</f>
        <v>94.391800000000018</v>
      </c>
      <c r="M3350" s="482"/>
      <c r="N3350" s="483"/>
      <c r="O3350" s="338" t="s">
        <v>3078</v>
      </c>
      <c r="P3350" s="486" t="s">
        <v>528</v>
      </c>
      <c r="Q3350" s="570">
        <v>3.9E-2</v>
      </c>
      <c r="R3350" s="482" t="s">
        <v>238</v>
      </c>
    </row>
    <row r="3351" spans="6:18" ht="24" customHeight="1">
      <c r="F3351" s="154" t="s">
        <v>22</v>
      </c>
      <c r="J3351" s="160"/>
      <c r="M3351" s="482"/>
      <c r="N3351" s="483"/>
      <c r="O3351" s="338" t="s">
        <v>2999</v>
      </c>
      <c r="Q3351" s="571"/>
      <c r="R3351" s="482"/>
    </row>
    <row r="3352" spans="6:18" ht="24" customHeight="1">
      <c r="G3352" s="76"/>
      <c r="J3352" s="76"/>
      <c r="M3352" s="482"/>
      <c r="N3352" s="483"/>
      <c r="O3352" s="338" t="s">
        <v>3079</v>
      </c>
      <c r="P3352" s="486" t="s">
        <v>528</v>
      </c>
      <c r="Q3352" s="572">
        <v>1.2659999999999999E-2</v>
      </c>
      <c r="R3352" s="482"/>
    </row>
    <row r="3353" spans="6:18" ht="24" customHeight="1">
      <c r="H3353" s="199" t="s">
        <v>3080</v>
      </c>
      <c r="J3353" s="76"/>
      <c r="M3353" s="482"/>
      <c r="N3353" s="483"/>
      <c r="O3353" s="338" t="s">
        <v>3081</v>
      </c>
      <c r="P3353" s="486" t="s">
        <v>528</v>
      </c>
      <c r="Q3353" s="581">
        <v>5.6249999999999998E-3</v>
      </c>
      <c r="R3353" s="514"/>
    </row>
    <row r="3354" spans="6:18" ht="24" customHeight="1">
      <c r="J3354" s="76"/>
      <c r="M3354" s="482"/>
      <c r="N3354" s="483"/>
      <c r="O3354" s="482"/>
      <c r="P3354" s="482"/>
      <c r="Q3354" s="490" t="s">
        <v>534</v>
      </c>
    </row>
    <row r="3355" spans="6:18" ht="24" customHeight="1">
      <c r="F3355" s="76">
        <v>1.4</v>
      </c>
      <c r="G3355" s="165" t="s">
        <v>2006</v>
      </c>
      <c r="H3355" s="76" t="s">
        <v>2021</v>
      </c>
      <c r="I3355" s="242">
        <f>I3368</f>
        <v>287</v>
      </c>
      <c r="J3355" s="165" t="s">
        <v>2006</v>
      </c>
      <c r="K3355" s="76">
        <f>I3355*F3355</f>
        <v>401.79999999999995</v>
      </c>
      <c r="M3355" s="482"/>
      <c r="N3355" s="483"/>
      <c r="O3355" s="482"/>
      <c r="P3355" s="482"/>
      <c r="Q3355" s="573">
        <v>1.8290000000000001E-2</v>
      </c>
      <c r="R3355" s="76" t="s">
        <v>238</v>
      </c>
    </row>
    <row r="3356" spans="6:18" ht="24" customHeight="1">
      <c r="F3356" s="76">
        <v>1.5</v>
      </c>
      <c r="G3356" s="165" t="s">
        <v>680</v>
      </c>
      <c r="H3356" s="76" t="s">
        <v>3082</v>
      </c>
      <c r="I3356" s="242">
        <f>I3369</f>
        <v>574.20000000000005</v>
      </c>
      <c r="J3356" s="165" t="s">
        <v>680</v>
      </c>
      <c r="K3356" s="76">
        <f>I3356*F3356</f>
        <v>861.30000000000007</v>
      </c>
      <c r="M3356" s="482"/>
      <c r="N3356" s="483"/>
      <c r="O3356" s="482"/>
      <c r="P3356" s="482"/>
      <c r="Q3356" s="490" t="s">
        <v>534</v>
      </c>
    </row>
    <row r="3357" spans="6:18" ht="24" customHeight="1">
      <c r="F3357" s="76">
        <v>10</v>
      </c>
      <c r="G3357" s="156" t="s">
        <v>250</v>
      </c>
      <c r="H3357" s="154" t="s">
        <v>2994</v>
      </c>
      <c r="I3357" s="242">
        <f>I3370</f>
        <v>2.8</v>
      </c>
      <c r="J3357" s="156" t="s">
        <v>250</v>
      </c>
      <c r="K3357" s="76">
        <f>I3357*F3357</f>
        <v>28</v>
      </c>
      <c r="M3357" s="482"/>
      <c r="N3357" s="483"/>
      <c r="O3357" s="338" t="s">
        <v>3083</v>
      </c>
      <c r="P3357" s="482"/>
      <c r="Q3357" s="574">
        <v>0.4113</v>
      </c>
      <c r="R3357" s="514"/>
    </row>
    <row r="3358" spans="6:18" ht="24" customHeight="1">
      <c r="H3358" s="154" t="s">
        <v>2996</v>
      </c>
      <c r="I3358" s="242" t="s">
        <v>3006</v>
      </c>
      <c r="J3358" s="160"/>
      <c r="K3358" s="76">
        <v>1.6</v>
      </c>
      <c r="M3358" s="482"/>
      <c r="N3358" s="483"/>
      <c r="O3358" s="338" t="s">
        <v>3084</v>
      </c>
      <c r="P3358" s="482"/>
      <c r="Q3358" s="575">
        <v>0.19689999999999999</v>
      </c>
      <c r="R3358" s="514"/>
    </row>
    <row r="3359" spans="6:18" ht="24" customHeight="1">
      <c r="H3359" s="154" t="s">
        <v>879</v>
      </c>
      <c r="J3359" s="160"/>
      <c r="K3359" s="76">
        <f>SUM(K3355:K3358)</f>
        <v>1292.6999999999998</v>
      </c>
      <c r="M3359" s="482"/>
      <c r="N3359" s="483"/>
      <c r="O3359" s="338"/>
      <c r="P3359" s="482"/>
      <c r="Q3359" s="490" t="s">
        <v>534</v>
      </c>
      <c r="R3359" s="514"/>
    </row>
    <row r="3360" spans="6:18" ht="24" customHeight="1">
      <c r="H3360" s="157" t="s">
        <v>881</v>
      </c>
      <c r="J3360" s="160"/>
      <c r="K3360" s="76">
        <f>K3359/10</f>
        <v>129.26999999999998</v>
      </c>
      <c r="M3360" s="482"/>
      <c r="N3360" s="483"/>
      <c r="O3360" s="338"/>
      <c r="P3360" s="482"/>
      <c r="Q3360" s="576">
        <v>0.60819999999999996</v>
      </c>
      <c r="R3360" s="488"/>
    </row>
    <row r="3361" spans="6:18" ht="24" customHeight="1">
      <c r="J3361" s="160"/>
      <c r="M3361" s="482"/>
      <c r="N3361" s="483"/>
      <c r="O3361" s="482"/>
      <c r="P3361" s="482"/>
      <c r="Q3361" s="490" t="s">
        <v>534</v>
      </c>
      <c r="R3361" s="490"/>
    </row>
    <row r="3362" spans="6:18" ht="24" customHeight="1">
      <c r="J3362" s="160"/>
      <c r="M3362" s="514">
        <v>3.9E-2</v>
      </c>
      <c r="N3362" s="489" t="s">
        <v>577</v>
      </c>
      <c r="O3362" s="338" t="s">
        <v>1790</v>
      </c>
      <c r="P3362" s="336">
        <f>P3293</f>
        <v>111600</v>
      </c>
      <c r="Q3362" s="339" t="s">
        <v>577</v>
      </c>
      <c r="R3362" s="336">
        <f>P3362*M3362</f>
        <v>4352.3999999999996</v>
      </c>
    </row>
    <row r="3363" spans="6:18" ht="24" customHeight="1">
      <c r="G3363" s="76"/>
      <c r="J3363" s="76"/>
      <c r="M3363" s="514">
        <v>1.8290000000000001E-2</v>
      </c>
      <c r="N3363" s="489" t="s">
        <v>577</v>
      </c>
      <c r="O3363" s="338" t="s">
        <v>1792</v>
      </c>
      <c r="P3363" s="336">
        <f>P3294</f>
        <v>99400</v>
      </c>
      <c r="Q3363" s="339" t="s">
        <v>577</v>
      </c>
      <c r="R3363" s="336">
        <f t="shared" ref="R3363:R3372" si="299">P3363*M3363</f>
        <v>1818.0260000000001</v>
      </c>
    </row>
    <row r="3364" spans="6:18" ht="24" customHeight="1">
      <c r="G3364" s="76"/>
      <c r="J3364" s="76"/>
      <c r="M3364" s="514">
        <v>0.60819999999999996</v>
      </c>
      <c r="N3364" s="489" t="s">
        <v>916</v>
      </c>
      <c r="O3364" s="154" t="s">
        <v>934</v>
      </c>
      <c r="P3364" s="336">
        <f>P3327</f>
        <v>387.4</v>
      </c>
      <c r="Q3364" s="339" t="s">
        <v>577</v>
      </c>
      <c r="R3364" s="336">
        <f t="shared" si="299"/>
        <v>235.61667999999997</v>
      </c>
    </row>
    <row r="3365" spans="6:18" ht="24" customHeight="1">
      <c r="G3365" s="76"/>
      <c r="J3365" s="76"/>
      <c r="M3365" s="530">
        <v>1.734</v>
      </c>
      <c r="N3365" s="489" t="s">
        <v>916</v>
      </c>
      <c r="O3365" s="338" t="s">
        <v>1787</v>
      </c>
      <c r="P3365" s="336">
        <f>P3330</f>
        <v>938</v>
      </c>
      <c r="Q3365" s="339" t="s">
        <v>916</v>
      </c>
      <c r="R3365" s="336">
        <f t="shared" si="299"/>
        <v>1626.492</v>
      </c>
    </row>
    <row r="3366" spans="6:18" ht="24" customHeight="1">
      <c r="H3366" s="199" t="s">
        <v>3085</v>
      </c>
      <c r="J3366" s="76"/>
      <c r="M3366" s="336">
        <v>2</v>
      </c>
      <c r="N3366" s="489" t="s">
        <v>680</v>
      </c>
      <c r="O3366" s="338" t="s">
        <v>3010</v>
      </c>
      <c r="P3366" s="336">
        <f t="shared" ref="P3366:P3371" si="300">P3297</f>
        <v>50.4</v>
      </c>
      <c r="Q3366" s="339" t="s">
        <v>576</v>
      </c>
      <c r="R3366" s="336">
        <f t="shared" si="299"/>
        <v>100.8</v>
      </c>
    </row>
    <row r="3367" spans="6:18" ht="24" customHeight="1">
      <c r="J3367" s="76"/>
      <c r="M3367" s="336">
        <v>4</v>
      </c>
      <c r="N3367" s="489" t="s">
        <v>576</v>
      </c>
      <c r="O3367" s="338" t="s">
        <v>1789</v>
      </c>
      <c r="P3367" s="336">
        <f t="shared" si="300"/>
        <v>78.400000000000006</v>
      </c>
      <c r="Q3367" s="339" t="s">
        <v>576</v>
      </c>
      <c r="R3367" s="336">
        <f t="shared" si="299"/>
        <v>313.60000000000002</v>
      </c>
    </row>
    <row r="3368" spans="6:18" ht="24" customHeight="1">
      <c r="F3368" s="76">
        <v>0.8</v>
      </c>
      <c r="G3368" s="165" t="s">
        <v>2006</v>
      </c>
      <c r="H3368" s="76" t="s">
        <v>2021</v>
      </c>
      <c r="I3368" s="242">
        <f>P1319</f>
        <v>287</v>
      </c>
      <c r="J3368" s="165" t="s">
        <v>2006</v>
      </c>
      <c r="K3368" s="76">
        <f>0.8*249.55</f>
        <v>199.64000000000001</v>
      </c>
      <c r="M3368" s="336">
        <v>2</v>
      </c>
      <c r="N3368" s="489" t="s">
        <v>576</v>
      </c>
      <c r="O3368" s="338" t="s">
        <v>3032</v>
      </c>
      <c r="P3368" s="336">
        <f t="shared" si="300"/>
        <v>85.5</v>
      </c>
      <c r="Q3368" s="339" t="s">
        <v>576</v>
      </c>
      <c r="R3368" s="336">
        <f t="shared" si="299"/>
        <v>171</v>
      </c>
    </row>
    <row r="3369" spans="6:18" ht="24" customHeight="1">
      <c r="F3369" s="76">
        <v>0.7</v>
      </c>
      <c r="G3369" s="165" t="s">
        <v>680</v>
      </c>
      <c r="H3369" s="76" t="s">
        <v>3082</v>
      </c>
      <c r="I3369" s="76">
        <f>I3343</f>
        <v>574.20000000000005</v>
      </c>
      <c r="J3369" s="165" t="s">
        <v>680</v>
      </c>
      <c r="K3369" s="76">
        <f>I3369*F3369</f>
        <v>401.94</v>
      </c>
      <c r="M3369" s="336">
        <v>1</v>
      </c>
      <c r="N3369" s="489" t="s">
        <v>576</v>
      </c>
      <c r="O3369" s="338" t="s">
        <v>3033</v>
      </c>
      <c r="P3369" s="336">
        <f t="shared" si="300"/>
        <v>183.4</v>
      </c>
      <c r="Q3369" s="339" t="s">
        <v>576</v>
      </c>
      <c r="R3369" s="336">
        <f t="shared" si="299"/>
        <v>183.4</v>
      </c>
    </row>
    <row r="3370" spans="6:18" ht="24" customHeight="1">
      <c r="F3370" s="76">
        <v>10</v>
      </c>
      <c r="G3370" s="156" t="s">
        <v>250</v>
      </c>
      <c r="H3370" s="154" t="s">
        <v>2994</v>
      </c>
      <c r="I3370" s="76">
        <f>I3187</f>
        <v>2.8</v>
      </c>
      <c r="J3370" s="156" t="s">
        <v>250</v>
      </c>
      <c r="K3370" s="76">
        <f>I3370*F3370</f>
        <v>28</v>
      </c>
      <c r="M3370" s="336">
        <v>1</v>
      </c>
      <c r="N3370" s="489" t="s">
        <v>576</v>
      </c>
      <c r="O3370" s="338" t="s">
        <v>3034</v>
      </c>
      <c r="P3370" s="336">
        <f t="shared" si="300"/>
        <v>22.5</v>
      </c>
      <c r="Q3370" s="339" t="s">
        <v>576</v>
      </c>
      <c r="R3370" s="336">
        <f t="shared" si="299"/>
        <v>22.5</v>
      </c>
    </row>
    <row r="3371" spans="6:18" ht="24" customHeight="1">
      <c r="H3371" s="154" t="s">
        <v>2996</v>
      </c>
      <c r="I3371" s="242" t="s">
        <v>3006</v>
      </c>
      <c r="J3371" s="160"/>
      <c r="K3371" s="76">
        <v>1.6</v>
      </c>
      <c r="M3371" s="336">
        <v>1</v>
      </c>
      <c r="N3371" s="489" t="s">
        <v>576</v>
      </c>
      <c r="O3371" s="338" t="s">
        <v>3035</v>
      </c>
      <c r="P3371" s="336">
        <f t="shared" si="300"/>
        <v>43.8</v>
      </c>
      <c r="Q3371" s="339" t="s">
        <v>576</v>
      </c>
      <c r="R3371" s="336">
        <f t="shared" si="299"/>
        <v>43.8</v>
      </c>
    </row>
    <row r="3372" spans="6:18" ht="24" customHeight="1">
      <c r="H3372" s="154" t="s">
        <v>879</v>
      </c>
      <c r="J3372" s="160"/>
      <c r="K3372" s="76">
        <f>SUM(K3368:K3371)</f>
        <v>631.18000000000006</v>
      </c>
      <c r="M3372" s="336">
        <v>58</v>
      </c>
      <c r="N3372" s="489" t="s">
        <v>576</v>
      </c>
      <c r="O3372" s="482" t="s">
        <v>2965</v>
      </c>
      <c r="P3372" s="482">
        <f>P3337</f>
        <v>2.35</v>
      </c>
      <c r="Q3372" s="339" t="s">
        <v>576</v>
      </c>
      <c r="R3372" s="336">
        <f t="shared" si="299"/>
        <v>136.30000000000001</v>
      </c>
    </row>
    <row r="3373" spans="6:18" ht="24" customHeight="1">
      <c r="H3373" s="157" t="s">
        <v>881</v>
      </c>
      <c r="J3373" s="160"/>
      <c r="K3373" s="76">
        <f>K3372/10</f>
        <v>63.118000000000009</v>
      </c>
      <c r="M3373" s="482"/>
      <c r="N3373" s="483"/>
      <c r="O3373" s="482"/>
      <c r="P3373" s="482"/>
      <c r="Q3373" s="485"/>
      <c r="R3373" s="490" t="s">
        <v>534</v>
      </c>
    </row>
    <row r="3374" spans="6:18" ht="24" customHeight="1">
      <c r="M3374" s="482"/>
      <c r="N3374" s="483"/>
      <c r="O3374" s="338" t="s">
        <v>3086</v>
      </c>
      <c r="P3374" s="482"/>
      <c r="Q3374" s="485"/>
      <c r="R3374" s="336">
        <f>SUM(R3362:R3372)</f>
        <v>9003.9346799999985</v>
      </c>
    </row>
    <row r="3375" spans="6:18" ht="24" customHeight="1">
      <c r="M3375" s="482"/>
      <c r="N3375" s="483"/>
      <c r="O3375" s="482"/>
      <c r="P3375" s="482"/>
      <c r="Q3375" s="485"/>
      <c r="R3375" s="490" t="s">
        <v>534</v>
      </c>
    </row>
    <row r="3376" spans="6:18" ht="24" customHeight="1">
      <c r="F3376" s="482"/>
      <c r="G3376" s="483"/>
      <c r="H3376" s="338"/>
      <c r="I3376" s="486"/>
      <c r="J3376" s="569"/>
      <c r="K3376" s="482"/>
      <c r="M3376" s="482"/>
      <c r="N3376" s="483"/>
      <c r="O3376" s="496" t="s">
        <v>881</v>
      </c>
      <c r="P3376" s="482"/>
      <c r="Q3376" s="487" t="s">
        <v>2797</v>
      </c>
      <c r="R3376" s="497">
        <f>R3374/M3365</f>
        <v>5192.5805536332173</v>
      </c>
    </row>
    <row r="3377" spans="6:18" ht="24" customHeight="1">
      <c r="F3377" s="482"/>
      <c r="G3377" s="483"/>
      <c r="H3377" s="338" t="s">
        <v>3078</v>
      </c>
      <c r="I3377" s="486" t="s">
        <v>528</v>
      </c>
      <c r="J3377" s="570">
        <v>3.9E-2</v>
      </c>
      <c r="K3377" s="482" t="s">
        <v>238</v>
      </c>
      <c r="N3377" s="156"/>
      <c r="Q3377" s="158"/>
      <c r="R3377" s="162" t="s">
        <v>528</v>
      </c>
    </row>
    <row r="3378" spans="6:18" ht="24" customHeight="1">
      <c r="F3378" s="482"/>
      <c r="G3378" s="483"/>
      <c r="H3378" s="338" t="s">
        <v>2999</v>
      </c>
      <c r="J3378" s="571"/>
      <c r="K3378" s="482"/>
      <c r="M3378" s="339"/>
      <c r="N3378" s="489" t="s">
        <v>307</v>
      </c>
      <c r="O3378" s="338" t="s">
        <v>3075</v>
      </c>
      <c r="P3378" s="482"/>
      <c r="Q3378" s="485"/>
      <c r="R3378" s="482"/>
    </row>
    <row r="3379" spans="6:18" ht="24" customHeight="1">
      <c r="F3379" s="482"/>
      <c r="G3379" s="483"/>
      <c r="H3379" s="338" t="s">
        <v>3087</v>
      </c>
      <c r="I3379" s="486" t="s">
        <v>528</v>
      </c>
      <c r="J3379" s="572">
        <v>1.519E-2</v>
      </c>
      <c r="K3379" s="482"/>
      <c r="M3379" s="482"/>
      <c r="N3379" s="483"/>
      <c r="O3379" s="338" t="s">
        <v>1774</v>
      </c>
      <c r="P3379" s="482"/>
      <c r="Q3379" s="485"/>
      <c r="R3379" s="482"/>
    </row>
    <row r="3380" spans="6:18" ht="24" customHeight="1">
      <c r="F3380" s="482"/>
      <c r="G3380" s="483"/>
      <c r="H3380" s="338" t="s">
        <v>3088</v>
      </c>
      <c r="I3380" s="486" t="s">
        <v>528</v>
      </c>
      <c r="J3380" s="581">
        <v>6.7499999999999999E-3</v>
      </c>
      <c r="K3380" s="514"/>
      <c r="M3380" s="482"/>
      <c r="N3380" s="483"/>
      <c r="O3380" s="568" t="s">
        <v>3089</v>
      </c>
      <c r="P3380" s="482"/>
      <c r="Q3380" s="485"/>
      <c r="R3380" s="482"/>
    </row>
    <row r="3381" spans="6:18" ht="24" customHeight="1">
      <c r="F3381" s="482"/>
      <c r="G3381" s="483"/>
      <c r="H3381" s="482"/>
      <c r="I3381" s="482"/>
      <c r="J3381" s="490" t="s">
        <v>534</v>
      </c>
      <c r="M3381" s="482"/>
      <c r="N3381" s="483"/>
      <c r="O3381" s="490" t="s">
        <v>534</v>
      </c>
      <c r="P3381" s="482"/>
      <c r="Q3381" s="485"/>
      <c r="R3381" s="482"/>
    </row>
    <row r="3382" spans="6:18" ht="24" customHeight="1">
      <c r="F3382" s="482"/>
      <c r="G3382" s="483"/>
      <c r="H3382" s="482"/>
      <c r="I3382" s="482"/>
      <c r="J3382" s="573">
        <v>2.1940000000000001E-2</v>
      </c>
      <c r="K3382" s="76" t="s">
        <v>238</v>
      </c>
      <c r="M3382" s="482"/>
      <c r="N3382" s="483"/>
      <c r="O3382" s="338" t="s">
        <v>3090</v>
      </c>
      <c r="P3382" s="486" t="s">
        <v>528</v>
      </c>
      <c r="Q3382" s="569">
        <v>2.081</v>
      </c>
      <c r="R3382" s="482" t="s">
        <v>250</v>
      </c>
    </row>
    <row r="3383" spans="6:18" ht="24" customHeight="1">
      <c r="F3383" s="482"/>
      <c r="G3383" s="483"/>
      <c r="H3383" s="482"/>
      <c r="I3383" s="482"/>
      <c r="J3383" s="490" t="s">
        <v>534</v>
      </c>
      <c r="M3383" s="482"/>
      <c r="N3383" s="483"/>
      <c r="O3383" s="338"/>
      <c r="P3383" s="486"/>
      <c r="Q3383" s="569"/>
      <c r="R3383" s="482"/>
    </row>
    <row r="3384" spans="6:18" ht="24" customHeight="1">
      <c r="F3384" s="482"/>
      <c r="G3384" s="483"/>
      <c r="H3384" s="338" t="s">
        <v>3063</v>
      </c>
      <c r="I3384" s="482"/>
      <c r="J3384" s="574">
        <v>0.58750000000000002</v>
      </c>
      <c r="K3384" s="514"/>
      <c r="M3384" s="482"/>
      <c r="N3384" s="483"/>
      <c r="O3384" s="338" t="s">
        <v>3078</v>
      </c>
      <c r="P3384" s="486" t="s">
        <v>528</v>
      </c>
      <c r="Q3384" s="570">
        <v>3.9E-2</v>
      </c>
      <c r="R3384" s="482" t="s">
        <v>238</v>
      </c>
    </row>
    <row r="3385" spans="6:18" ht="24" customHeight="1">
      <c r="F3385" s="482"/>
      <c r="G3385" s="483"/>
      <c r="H3385" s="338" t="s">
        <v>3064</v>
      </c>
      <c r="I3385" s="482"/>
      <c r="J3385" s="575">
        <v>0.28129999999999999</v>
      </c>
      <c r="K3385" s="514"/>
      <c r="M3385" s="482"/>
      <c r="N3385" s="483"/>
      <c r="O3385" s="338" t="s">
        <v>2999</v>
      </c>
      <c r="Q3385" s="571"/>
      <c r="R3385" s="482"/>
    </row>
    <row r="3386" spans="6:18" ht="24" customHeight="1">
      <c r="F3386" s="482"/>
      <c r="G3386" s="483"/>
      <c r="H3386" s="338"/>
      <c r="I3386" s="482"/>
      <c r="J3386" s="490" t="s">
        <v>534</v>
      </c>
      <c r="K3386" s="514"/>
      <c r="M3386" s="482"/>
      <c r="N3386" s="483"/>
      <c r="O3386" s="338" t="s">
        <v>3087</v>
      </c>
      <c r="P3386" s="486" t="s">
        <v>528</v>
      </c>
      <c r="Q3386" s="572">
        <v>1.519E-2</v>
      </c>
      <c r="R3386" s="482"/>
    </row>
    <row r="3387" spans="6:18" ht="24" customHeight="1">
      <c r="F3387" s="482"/>
      <c r="G3387" s="483"/>
      <c r="H3387" s="338"/>
      <c r="I3387" s="482"/>
      <c r="J3387" s="576">
        <v>0.86880000000000002</v>
      </c>
      <c r="K3387" s="488"/>
      <c r="M3387" s="482"/>
      <c r="N3387" s="483"/>
      <c r="O3387" s="338" t="s">
        <v>3088</v>
      </c>
      <c r="P3387" s="486" t="s">
        <v>528</v>
      </c>
      <c r="Q3387" s="581">
        <v>6.7499999999999999E-3</v>
      </c>
      <c r="R3387" s="514"/>
    </row>
    <row r="3388" spans="6:18" ht="24" customHeight="1">
      <c r="F3388" s="482"/>
      <c r="G3388" s="483"/>
      <c r="H3388" s="482"/>
      <c r="I3388" s="482"/>
      <c r="J3388" s="490" t="s">
        <v>534</v>
      </c>
      <c r="K3388" s="490"/>
      <c r="M3388" s="482"/>
      <c r="N3388" s="483"/>
      <c r="O3388" s="482"/>
      <c r="P3388" s="482"/>
      <c r="Q3388" s="490" t="s">
        <v>534</v>
      </c>
    </row>
    <row r="3389" spans="6:18" ht="24" customHeight="1">
      <c r="F3389" s="514">
        <v>3.9E-2</v>
      </c>
      <c r="G3389" s="489" t="s">
        <v>577</v>
      </c>
      <c r="H3389" s="338" t="s">
        <v>1790</v>
      </c>
      <c r="I3389" s="336">
        <f>C88</f>
        <v>111600</v>
      </c>
      <c r="J3389" s="339" t="s">
        <v>577</v>
      </c>
      <c r="K3389" s="336">
        <v>2868.26</v>
      </c>
      <c r="M3389" s="482"/>
      <c r="N3389" s="483"/>
      <c r="O3389" s="482"/>
      <c r="P3389" s="482"/>
      <c r="Q3389" s="573">
        <v>2.1940000000000001E-2</v>
      </c>
      <c r="R3389" s="76" t="s">
        <v>238</v>
      </c>
    </row>
    <row r="3390" spans="6:18" ht="24" customHeight="1">
      <c r="F3390" s="514">
        <v>2.1940000000000001E-2</v>
      </c>
      <c r="G3390" s="489" t="s">
        <v>577</v>
      </c>
      <c r="H3390" s="338" t="s">
        <v>1792</v>
      </c>
      <c r="I3390" s="336">
        <f>C89</f>
        <v>99400</v>
      </c>
      <c r="J3390" s="339" t="s">
        <v>577</v>
      </c>
      <c r="K3390" s="336">
        <v>1435.86</v>
      </c>
      <c r="M3390" s="482"/>
      <c r="N3390" s="483"/>
      <c r="O3390" s="482"/>
      <c r="P3390" s="482"/>
      <c r="Q3390" s="490" t="s">
        <v>534</v>
      </c>
    </row>
    <row r="3391" spans="6:18" ht="24" customHeight="1">
      <c r="F3391" s="514">
        <v>0.86880000000000002</v>
      </c>
      <c r="G3391" s="489" t="s">
        <v>916</v>
      </c>
      <c r="H3391" s="154" t="s">
        <v>934</v>
      </c>
      <c r="I3391" s="336">
        <f>C784</f>
        <v>0</v>
      </c>
      <c r="J3391" s="339" t="s">
        <v>577</v>
      </c>
      <c r="K3391" s="336">
        <v>336.66</v>
      </c>
      <c r="M3391" s="482"/>
      <c r="N3391" s="483"/>
      <c r="O3391" s="338" t="s">
        <v>3063</v>
      </c>
      <c r="P3391" s="482"/>
      <c r="Q3391" s="574">
        <v>0.58750000000000002</v>
      </c>
      <c r="R3391" s="514"/>
    </row>
    <row r="3392" spans="6:18" ht="24" customHeight="1">
      <c r="F3392" s="530">
        <v>2.081</v>
      </c>
      <c r="G3392" s="489" t="s">
        <v>916</v>
      </c>
      <c r="H3392" s="338" t="s">
        <v>1787</v>
      </c>
      <c r="I3392" s="588">
        <v>363</v>
      </c>
      <c r="J3392" s="339" t="s">
        <v>916</v>
      </c>
      <c r="K3392" s="336">
        <v>755.4</v>
      </c>
      <c r="M3392" s="482"/>
      <c r="N3392" s="483"/>
      <c r="O3392" s="338" t="s">
        <v>3064</v>
      </c>
      <c r="P3392" s="482"/>
      <c r="Q3392" s="575">
        <v>0.28129999999999999</v>
      </c>
      <c r="R3392" s="514"/>
    </row>
    <row r="3393" spans="6:18" ht="24" customHeight="1">
      <c r="F3393" s="336">
        <v>2</v>
      </c>
      <c r="G3393" s="489" t="s">
        <v>680</v>
      </c>
      <c r="H3393" s="491" t="s">
        <v>3091</v>
      </c>
      <c r="I3393" s="336">
        <f t="shared" ref="I3393:I3398" si="301">I3324</f>
        <v>50.4</v>
      </c>
      <c r="J3393" s="339" t="s">
        <v>576</v>
      </c>
      <c r="K3393" s="336">
        <v>84</v>
      </c>
      <c r="M3393" s="482"/>
      <c r="N3393" s="483"/>
      <c r="O3393" s="338"/>
      <c r="P3393" s="482"/>
      <c r="Q3393" s="490" t="s">
        <v>534</v>
      </c>
      <c r="R3393" s="514"/>
    </row>
    <row r="3394" spans="6:18" ht="24" customHeight="1">
      <c r="F3394" s="336">
        <v>4</v>
      </c>
      <c r="G3394" s="489" t="s">
        <v>576</v>
      </c>
      <c r="H3394" s="491" t="s">
        <v>3092</v>
      </c>
      <c r="I3394" s="336">
        <f t="shared" si="301"/>
        <v>78.400000000000006</v>
      </c>
      <c r="J3394" s="339" t="s">
        <v>576</v>
      </c>
      <c r="K3394" s="336">
        <v>232</v>
      </c>
      <c r="M3394" s="482"/>
      <c r="N3394" s="483"/>
      <c r="O3394" s="338"/>
      <c r="P3394" s="482"/>
      <c r="Q3394" s="576">
        <v>0.86880000000000002</v>
      </c>
      <c r="R3394" s="488"/>
    </row>
    <row r="3395" spans="6:18" ht="24" customHeight="1">
      <c r="F3395" s="336">
        <v>2</v>
      </c>
      <c r="G3395" s="489" t="s">
        <v>576</v>
      </c>
      <c r="H3395" s="491" t="s">
        <v>3093</v>
      </c>
      <c r="I3395" s="336">
        <f t="shared" si="301"/>
        <v>85.5</v>
      </c>
      <c r="J3395" s="339" t="s">
        <v>576</v>
      </c>
      <c r="K3395" s="336">
        <v>126</v>
      </c>
      <c r="M3395" s="482"/>
      <c r="N3395" s="483"/>
      <c r="O3395" s="482"/>
      <c r="P3395" s="482"/>
      <c r="Q3395" s="490" t="s">
        <v>534</v>
      </c>
      <c r="R3395" s="490"/>
    </row>
    <row r="3396" spans="6:18" ht="24" customHeight="1">
      <c r="F3396" s="336">
        <v>1</v>
      </c>
      <c r="G3396" s="489" t="s">
        <v>576</v>
      </c>
      <c r="H3396" s="491" t="s">
        <v>3094</v>
      </c>
      <c r="I3396" s="336">
        <f t="shared" si="301"/>
        <v>183.4</v>
      </c>
      <c r="J3396" s="339" t="s">
        <v>576</v>
      </c>
      <c r="K3396" s="336">
        <v>152</v>
      </c>
      <c r="M3396" s="514">
        <v>3.9E-2</v>
      </c>
      <c r="N3396" s="489" t="s">
        <v>577</v>
      </c>
      <c r="O3396" s="338" t="s">
        <v>1790</v>
      </c>
      <c r="P3396" s="336">
        <f>P3293</f>
        <v>111600</v>
      </c>
      <c r="Q3396" s="339" t="s">
        <v>577</v>
      </c>
      <c r="R3396" s="336">
        <f>P3396*M3396</f>
        <v>4352.3999999999996</v>
      </c>
    </row>
    <row r="3397" spans="6:18" ht="24" customHeight="1">
      <c r="F3397" s="336">
        <v>1</v>
      </c>
      <c r="G3397" s="489" t="s">
        <v>576</v>
      </c>
      <c r="H3397" s="491" t="s">
        <v>3034</v>
      </c>
      <c r="I3397" s="336">
        <f t="shared" si="301"/>
        <v>22.5</v>
      </c>
      <c r="J3397" s="339" t="s">
        <v>576</v>
      </c>
      <c r="K3397" s="336">
        <v>20</v>
      </c>
      <c r="M3397" s="514">
        <v>2.1940000000000001E-2</v>
      </c>
      <c r="N3397" s="489" t="s">
        <v>577</v>
      </c>
      <c r="O3397" s="338" t="s">
        <v>1792</v>
      </c>
      <c r="P3397" s="336">
        <f>P3294</f>
        <v>99400</v>
      </c>
      <c r="Q3397" s="339" t="s">
        <v>577</v>
      </c>
      <c r="R3397" s="336">
        <f t="shared" ref="R3397:R3406" si="302">P3397*M3397</f>
        <v>2180.8360000000002</v>
      </c>
    </row>
    <row r="3398" spans="6:18" ht="24" customHeight="1">
      <c r="F3398" s="336">
        <v>1</v>
      </c>
      <c r="G3398" s="489" t="s">
        <v>576</v>
      </c>
      <c r="H3398" s="491" t="s">
        <v>3035</v>
      </c>
      <c r="I3398" s="336">
        <f t="shared" si="301"/>
        <v>43.8</v>
      </c>
      <c r="J3398" s="339" t="s">
        <v>576</v>
      </c>
      <c r="K3398" s="336">
        <v>37</v>
      </c>
      <c r="M3398" s="514">
        <v>0.86880000000000002</v>
      </c>
      <c r="N3398" s="489" t="s">
        <v>916</v>
      </c>
      <c r="O3398" s="154" t="s">
        <v>934</v>
      </c>
      <c r="P3398" s="336">
        <f>P3364</f>
        <v>387.4</v>
      </c>
      <c r="Q3398" s="339" t="s">
        <v>577</v>
      </c>
      <c r="R3398" s="336">
        <f t="shared" si="302"/>
        <v>336.57311999999996</v>
      </c>
    </row>
    <row r="3399" spans="6:18" ht="24" customHeight="1">
      <c r="F3399" s="482"/>
      <c r="G3399" s="483"/>
      <c r="H3399" s="482" t="s">
        <v>2965</v>
      </c>
      <c r="I3399" s="482"/>
      <c r="J3399" s="485"/>
      <c r="K3399" s="589"/>
      <c r="M3399" s="530">
        <v>2.081</v>
      </c>
      <c r="N3399" s="489" t="s">
        <v>916</v>
      </c>
      <c r="O3399" s="338" t="s">
        <v>1787</v>
      </c>
      <c r="P3399" s="336">
        <f>P3296</f>
        <v>921.80000000000007</v>
      </c>
      <c r="Q3399" s="339" t="s">
        <v>916</v>
      </c>
      <c r="R3399" s="336">
        <f t="shared" si="302"/>
        <v>1918.2658000000001</v>
      </c>
    </row>
    <row r="3400" spans="6:18" ht="24" customHeight="1">
      <c r="F3400" s="482"/>
      <c r="G3400" s="483"/>
      <c r="H3400" s="482"/>
      <c r="I3400" s="482"/>
      <c r="J3400" s="485"/>
      <c r="K3400" s="490" t="s">
        <v>534</v>
      </c>
      <c r="M3400" s="336">
        <v>2</v>
      </c>
      <c r="N3400" s="489" t="s">
        <v>680</v>
      </c>
      <c r="O3400" s="338" t="s">
        <v>3010</v>
      </c>
      <c r="P3400" s="336">
        <f t="shared" ref="P3400:P3405" si="303">P3297</f>
        <v>50.4</v>
      </c>
      <c r="Q3400" s="339" t="s">
        <v>576</v>
      </c>
      <c r="R3400" s="336">
        <f t="shared" si="302"/>
        <v>100.8</v>
      </c>
    </row>
    <row r="3401" spans="6:18" ht="24" customHeight="1">
      <c r="F3401" s="482"/>
      <c r="G3401" s="483"/>
      <c r="H3401" s="338" t="s">
        <v>3095</v>
      </c>
      <c r="I3401" s="482"/>
      <c r="J3401" s="485"/>
      <c r="K3401" s="336">
        <v>6067.81</v>
      </c>
      <c r="M3401" s="336">
        <v>4</v>
      </c>
      <c r="N3401" s="489" t="s">
        <v>576</v>
      </c>
      <c r="O3401" s="338" t="s">
        <v>1789</v>
      </c>
      <c r="P3401" s="336">
        <f t="shared" si="303"/>
        <v>78.400000000000006</v>
      </c>
      <c r="Q3401" s="339" t="s">
        <v>576</v>
      </c>
      <c r="R3401" s="336">
        <f t="shared" si="302"/>
        <v>313.60000000000002</v>
      </c>
    </row>
    <row r="3402" spans="6:18" ht="24" customHeight="1">
      <c r="F3402" s="482"/>
      <c r="G3402" s="483"/>
      <c r="H3402" s="482"/>
      <c r="I3402" s="482"/>
      <c r="J3402" s="485"/>
      <c r="K3402" s="490" t="s">
        <v>534</v>
      </c>
      <c r="M3402" s="336">
        <v>2</v>
      </c>
      <c r="N3402" s="489" t="s">
        <v>576</v>
      </c>
      <c r="O3402" s="338" t="s">
        <v>3032</v>
      </c>
      <c r="P3402" s="336">
        <f t="shared" si="303"/>
        <v>85.5</v>
      </c>
      <c r="Q3402" s="339" t="s">
        <v>576</v>
      </c>
      <c r="R3402" s="336">
        <f t="shared" si="302"/>
        <v>171</v>
      </c>
    </row>
    <row r="3403" spans="6:18" ht="24" customHeight="1">
      <c r="F3403" s="482"/>
      <c r="G3403" s="483"/>
      <c r="H3403" s="496" t="s">
        <v>881</v>
      </c>
      <c r="I3403" s="482"/>
      <c r="J3403" s="487" t="s">
        <v>2797</v>
      </c>
      <c r="K3403" s="497">
        <v>2915.81</v>
      </c>
      <c r="M3403" s="336">
        <v>1</v>
      </c>
      <c r="N3403" s="489" t="s">
        <v>576</v>
      </c>
      <c r="O3403" s="338" t="s">
        <v>3033</v>
      </c>
      <c r="P3403" s="336">
        <f t="shared" si="303"/>
        <v>183.4</v>
      </c>
      <c r="Q3403" s="339" t="s">
        <v>576</v>
      </c>
      <c r="R3403" s="336">
        <f t="shared" si="302"/>
        <v>183.4</v>
      </c>
    </row>
    <row r="3404" spans="6:18" ht="24" customHeight="1">
      <c r="K3404" s="162" t="s">
        <v>528</v>
      </c>
      <c r="M3404" s="336">
        <v>1</v>
      </c>
      <c r="N3404" s="489" t="s">
        <v>576</v>
      </c>
      <c r="O3404" s="338" t="s">
        <v>3034</v>
      </c>
      <c r="P3404" s="336">
        <f t="shared" si="303"/>
        <v>22.5</v>
      </c>
      <c r="Q3404" s="339" t="s">
        <v>576</v>
      </c>
      <c r="R3404" s="336">
        <f t="shared" si="302"/>
        <v>22.5</v>
      </c>
    </row>
    <row r="3405" spans="6:18" ht="24" customHeight="1">
      <c r="M3405" s="336">
        <v>1</v>
      </c>
      <c r="N3405" s="489" t="s">
        <v>576</v>
      </c>
      <c r="O3405" s="338" t="s">
        <v>3035</v>
      </c>
      <c r="P3405" s="336">
        <f t="shared" si="303"/>
        <v>43.8</v>
      </c>
      <c r="Q3405" s="339" t="s">
        <v>576</v>
      </c>
      <c r="R3405" s="336">
        <f t="shared" si="302"/>
        <v>43.8</v>
      </c>
    </row>
    <row r="3406" spans="6:18" ht="24" customHeight="1">
      <c r="M3406" s="336">
        <v>58</v>
      </c>
      <c r="N3406" s="489" t="s">
        <v>576</v>
      </c>
      <c r="O3406" s="482" t="s">
        <v>2965</v>
      </c>
      <c r="P3406" s="482">
        <f>P3372</f>
        <v>2.35</v>
      </c>
      <c r="Q3406" s="485"/>
      <c r="R3406" s="336">
        <f t="shared" si="302"/>
        <v>136.30000000000001</v>
      </c>
    </row>
    <row r="3407" spans="6:18" ht="24" customHeight="1">
      <c r="M3407" s="482"/>
      <c r="N3407" s="483"/>
      <c r="O3407" s="482"/>
      <c r="P3407" s="482"/>
      <c r="Q3407" s="485"/>
      <c r="R3407" s="490" t="s">
        <v>534</v>
      </c>
    </row>
    <row r="3408" spans="6:18" ht="24" customHeight="1">
      <c r="F3408" s="264"/>
      <c r="G3408" s="295"/>
      <c r="H3408" s="437" t="s">
        <v>438</v>
      </c>
      <c r="I3408" s="437"/>
      <c r="J3408" s="296"/>
      <c r="K3408" s="264"/>
      <c r="M3408" s="482"/>
      <c r="N3408" s="483"/>
      <c r="O3408" s="338" t="s">
        <v>3095</v>
      </c>
      <c r="P3408" s="482"/>
      <c r="Q3408" s="485"/>
      <c r="R3408" s="336">
        <f>SUM(R3396:R3406)</f>
        <v>9759.4749199999969</v>
      </c>
    </row>
    <row r="3409" spans="6:18" ht="24" customHeight="1">
      <c r="F3409" s="264"/>
      <c r="G3409" s="295"/>
      <c r="H3409" s="264"/>
      <c r="I3409" s="264"/>
      <c r="J3409" s="296"/>
      <c r="K3409" s="264"/>
      <c r="M3409" s="482"/>
      <c r="N3409" s="483"/>
      <c r="O3409" s="482"/>
      <c r="P3409" s="482"/>
      <c r="Q3409" s="485"/>
      <c r="R3409" s="490" t="s">
        <v>534</v>
      </c>
    </row>
    <row r="3410" spans="6:18" ht="24" customHeight="1">
      <c r="F3410" s="76" t="s">
        <v>3096</v>
      </c>
      <c r="G3410" s="295"/>
      <c r="H3410" s="264"/>
      <c r="I3410" s="454">
        <f>2*0.95*2.325</f>
        <v>4.4175000000000004</v>
      </c>
      <c r="J3410" s="296"/>
      <c r="K3410" s="264"/>
      <c r="M3410" s="482"/>
      <c r="N3410" s="483"/>
      <c r="O3410" s="496" t="s">
        <v>881</v>
      </c>
      <c r="P3410" s="482"/>
      <c r="Q3410" s="487" t="s">
        <v>2797</v>
      </c>
      <c r="R3410" s="497">
        <f>R3408/M3399</f>
        <v>4689.8005382027859</v>
      </c>
    </row>
    <row r="3411" spans="6:18" ht="24" customHeight="1">
      <c r="F3411" s="76" t="s">
        <v>3097</v>
      </c>
      <c r="G3411" s="295"/>
      <c r="H3411" s="264"/>
      <c r="I3411" s="454">
        <f>2*2*2.325*0.075*0.0375</f>
        <v>2.6156249999999999E-2</v>
      </c>
      <c r="J3411" s="296"/>
      <c r="K3411" s="264"/>
      <c r="N3411" s="156"/>
      <c r="Q3411" s="158"/>
      <c r="R3411" s="162" t="s">
        <v>528</v>
      </c>
    </row>
    <row r="3412" spans="6:18" ht="24" customHeight="1">
      <c r="F3412" s="264" t="s">
        <v>2744</v>
      </c>
      <c r="G3412" s="295"/>
      <c r="H3412" s="264"/>
      <c r="I3412" s="294">
        <f>2*3*0.95*0.15*0.0375</f>
        <v>3.2062499999999994E-2</v>
      </c>
      <c r="J3412" s="296"/>
      <c r="K3412" s="264"/>
    </row>
    <row r="3413" spans="6:18" ht="24" customHeight="1">
      <c r="F3413" s="264" t="s">
        <v>3098</v>
      </c>
      <c r="G3413" s="156" t="s">
        <v>3099</v>
      </c>
      <c r="H3413" s="264"/>
      <c r="I3413" s="294">
        <f>2*2*0.95*0.075*0.0375</f>
        <v>1.0687499999999999E-2</v>
      </c>
      <c r="J3413" s="296"/>
      <c r="K3413" s="264"/>
      <c r="N3413" s="156"/>
      <c r="O3413" s="199"/>
      <c r="Q3413" s="158"/>
    </row>
    <row r="3414" spans="6:18" ht="24" customHeight="1">
      <c r="F3414" s="264"/>
      <c r="G3414" s="295"/>
      <c r="H3414" s="264"/>
      <c r="I3414" s="455">
        <f>SUM(I3412:I3413)</f>
        <v>4.2749999999999996E-2</v>
      </c>
      <c r="J3414" s="296"/>
      <c r="K3414" s="264"/>
    </row>
    <row r="3415" spans="6:18" ht="24" customHeight="1">
      <c r="F3415" s="264"/>
      <c r="G3415" s="295"/>
      <c r="H3415" s="264"/>
      <c r="I3415" s="264"/>
      <c r="J3415" s="296"/>
      <c r="K3415" s="264"/>
    </row>
    <row r="3416" spans="6:18" ht="24" customHeight="1">
      <c r="F3416" s="264"/>
      <c r="G3416" s="295"/>
      <c r="H3416" s="264"/>
      <c r="I3416" s="264"/>
      <c r="J3416" s="296"/>
      <c r="K3416" s="264"/>
    </row>
    <row r="3417" spans="6:18" ht="24" customHeight="1">
      <c r="F3417" s="76" t="s">
        <v>3100</v>
      </c>
      <c r="G3417" s="295"/>
      <c r="H3417" s="264"/>
      <c r="I3417" s="294">
        <f>2*4*0.825*0.36*0.01875</f>
        <v>4.4549999999999999E-2</v>
      </c>
      <c r="J3417" s="296"/>
      <c r="K3417" s="264"/>
    </row>
    <row r="3418" spans="6:18" ht="24" customHeight="1">
      <c r="F3418" s="76" t="s">
        <v>3101</v>
      </c>
      <c r="G3418" s="295"/>
      <c r="H3418" s="264"/>
      <c r="I3418" s="294">
        <f>2*0.825*0.36*0.01875</f>
        <v>1.11375E-2</v>
      </c>
      <c r="J3418" s="296"/>
      <c r="K3418" s="264"/>
    </row>
    <row r="3419" spans="6:18" ht="24" customHeight="1">
      <c r="F3419" s="264"/>
      <c r="G3419" s="295"/>
      <c r="H3419" s="264"/>
      <c r="I3419" s="455">
        <f>SUM(I3417:I3418)</f>
        <v>5.5687500000000001E-2</v>
      </c>
      <c r="J3419" s="296"/>
      <c r="K3419" s="264"/>
    </row>
    <row r="3420" spans="6:18" ht="24" customHeight="1">
      <c r="F3420" s="264"/>
      <c r="G3420" s="295"/>
      <c r="H3420" s="199" t="s">
        <v>2740</v>
      </c>
      <c r="I3420" s="264"/>
      <c r="J3420" s="296"/>
      <c r="K3420" s="264"/>
      <c r="M3420" s="339"/>
      <c r="N3420" s="489" t="s">
        <v>307</v>
      </c>
      <c r="O3420" s="338" t="s">
        <v>3018</v>
      </c>
      <c r="P3420" s="482"/>
      <c r="Q3420" s="485"/>
      <c r="R3420" s="482"/>
    </row>
    <row r="3421" spans="6:18" ht="24" customHeight="1">
      <c r="F3421" s="264"/>
      <c r="G3421" s="295"/>
      <c r="H3421" s="264"/>
      <c r="I3421" s="264"/>
      <c r="J3421" s="296"/>
      <c r="K3421" s="264"/>
      <c r="M3421" s="482"/>
      <c r="N3421" s="483"/>
      <c r="O3421" s="338" t="s">
        <v>1774</v>
      </c>
      <c r="P3421" s="482"/>
      <c r="Q3421" s="485"/>
      <c r="R3421" s="482"/>
    </row>
    <row r="3422" spans="6:18" ht="24" customHeight="1">
      <c r="F3422" s="294">
        <f>I3411</f>
        <v>2.6156249999999999E-2</v>
      </c>
      <c r="G3422" s="295" t="s">
        <v>577</v>
      </c>
      <c r="H3422" s="264" t="s">
        <v>2741</v>
      </c>
      <c r="I3422" s="264">
        <f>I2633</f>
        <v>111600</v>
      </c>
      <c r="J3422" s="296" t="s">
        <v>577</v>
      </c>
      <c r="K3422" s="264">
        <f>F3422*I3422</f>
        <v>2919.0374999999999</v>
      </c>
      <c r="M3422" s="482"/>
      <c r="N3422" s="483"/>
      <c r="O3422" s="568" t="s">
        <v>3036</v>
      </c>
      <c r="P3422" s="482"/>
      <c r="Q3422" s="485"/>
      <c r="R3422" s="482"/>
    </row>
    <row r="3423" spans="6:18" ht="24" customHeight="1">
      <c r="F3423" s="294">
        <f>I3414</f>
        <v>4.2749999999999996E-2</v>
      </c>
      <c r="G3423" s="295" t="s">
        <v>577</v>
      </c>
      <c r="H3423" s="264" t="s">
        <v>1878</v>
      </c>
      <c r="I3423" s="264">
        <f>I2634</f>
        <v>99400</v>
      </c>
      <c r="J3423" s="296" t="s">
        <v>577</v>
      </c>
      <c r="K3423" s="264">
        <f t="shared" ref="K3423:K3432" si="304">F3423*I3423</f>
        <v>4249.3499999999995</v>
      </c>
      <c r="M3423" s="482"/>
      <c r="N3423" s="483"/>
      <c r="O3423" s="490" t="s">
        <v>534</v>
      </c>
      <c r="P3423" s="482"/>
      <c r="Q3423" s="485"/>
      <c r="R3423" s="482"/>
    </row>
    <row r="3424" spans="6:18" ht="24" customHeight="1">
      <c r="F3424" s="297">
        <f>I3419</f>
        <v>5.5687500000000001E-2</v>
      </c>
      <c r="G3424" s="295" t="s">
        <v>577</v>
      </c>
      <c r="H3424" s="76" t="s">
        <v>3102</v>
      </c>
      <c r="I3424" s="264">
        <f>I2635</f>
        <v>101921.4</v>
      </c>
      <c r="J3424" s="296" t="s">
        <v>577</v>
      </c>
      <c r="K3424" s="264">
        <f t="shared" si="304"/>
        <v>5675.7479624999996</v>
      </c>
      <c r="M3424" s="482"/>
      <c r="N3424" s="483"/>
      <c r="O3424" s="338" t="s">
        <v>3037</v>
      </c>
      <c r="P3424" s="486" t="s">
        <v>528</v>
      </c>
      <c r="Q3424" s="569">
        <v>2.4279999999999999</v>
      </c>
      <c r="R3424" s="482" t="s">
        <v>250</v>
      </c>
    </row>
    <row r="3425" spans="6:18" ht="24" customHeight="1">
      <c r="F3425" s="294">
        <f>I3410</f>
        <v>4.4175000000000004</v>
      </c>
      <c r="G3425" s="295" t="s">
        <v>916</v>
      </c>
      <c r="H3425" s="264" t="s">
        <v>1880</v>
      </c>
      <c r="I3425" s="264">
        <f>I2636</f>
        <v>1105.5</v>
      </c>
      <c r="J3425" s="296" t="s">
        <v>916</v>
      </c>
      <c r="K3425" s="264">
        <f t="shared" si="304"/>
        <v>4883.5462500000003</v>
      </c>
      <c r="M3425" s="482"/>
      <c r="N3425" s="483"/>
      <c r="O3425" s="338"/>
      <c r="P3425" s="486"/>
      <c r="Q3425" s="569"/>
      <c r="R3425" s="482"/>
    </row>
    <row r="3426" spans="6:18" ht="24" customHeight="1">
      <c r="F3426" s="264">
        <v>2</v>
      </c>
      <c r="G3426" s="295" t="s">
        <v>1882</v>
      </c>
      <c r="H3426" s="76" t="s">
        <v>2765</v>
      </c>
      <c r="I3426" s="456">
        <v>450</v>
      </c>
      <c r="J3426" s="296" t="s">
        <v>332</v>
      </c>
      <c r="K3426" s="264">
        <f t="shared" si="304"/>
        <v>900</v>
      </c>
      <c r="M3426" s="482"/>
      <c r="N3426" s="483"/>
      <c r="O3426" s="338" t="s">
        <v>2998</v>
      </c>
      <c r="P3426" s="486" t="s">
        <v>528</v>
      </c>
      <c r="Q3426" s="570">
        <v>5.1999999999999998E-2</v>
      </c>
      <c r="R3426" s="482" t="s">
        <v>238</v>
      </c>
    </row>
    <row r="3427" spans="6:18" ht="24" customHeight="1">
      <c r="F3427" s="264">
        <v>6</v>
      </c>
      <c r="G3427" s="295" t="s">
        <v>1882</v>
      </c>
      <c r="H3427" s="76" t="s">
        <v>2766</v>
      </c>
      <c r="I3427" s="456">
        <v>79</v>
      </c>
      <c r="J3427" s="296" t="s">
        <v>332</v>
      </c>
      <c r="K3427" s="264">
        <f t="shared" si="304"/>
        <v>474</v>
      </c>
      <c r="M3427" s="482"/>
      <c r="N3427" s="483"/>
      <c r="O3427" s="338" t="s">
        <v>2999</v>
      </c>
      <c r="Q3427" s="571"/>
      <c r="R3427" s="482"/>
    </row>
    <row r="3428" spans="6:18" ht="24" customHeight="1">
      <c r="F3428" s="264">
        <v>4</v>
      </c>
      <c r="G3428" s="295" t="s">
        <v>1882</v>
      </c>
      <c r="H3428" s="76" t="s">
        <v>2767</v>
      </c>
      <c r="I3428" s="456">
        <v>130</v>
      </c>
      <c r="J3428" s="296" t="s">
        <v>332</v>
      </c>
      <c r="K3428" s="264">
        <f t="shared" si="304"/>
        <v>520</v>
      </c>
      <c r="M3428" s="482"/>
      <c r="N3428" s="483"/>
      <c r="O3428" s="338" t="s">
        <v>3040</v>
      </c>
      <c r="P3428" s="486" t="s">
        <v>528</v>
      </c>
      <c r="Q3428" s="572">
        <v>1.772E-2</v>
      </c>
      <c r="R3428" s="482"/>
    </row>
    <row r="3429" spans="6:18" ht="24" customHeight="1">
      <c r="F3429" s="264">
        <v>1</v>
      </c>
      <c r="G3429" s="295" t="s">
        <v>1882</v>
      </c>
      <c r="H3429" s="76" t="s">
        <v>2768</v>
      </c>
      <c r="I3429" s="456">
        <v>985</v>
      </c>
      <c r="J3429" s="296" t="s">
        <v>332</v>
      </c>
      <c r="K3429" s="264">
        <f t="shared" si="304"/>
        <v>985</v>
      </c>
      <c r="M3429" s="482"/>
      <c r="N3429" s="483"/>
      <c r="O3429" s="338" t="s">
        <v>3041</v>
      </c>
      <c r="P3429" s="486" t="s">
        <v>528</v>
      </c>
      <c r="Q3429" s="581">
        <v>7.8750000000000001E-3</v>
      </c>
      <c r="R3429" s="514"/>
    </row>
    <row r="3430" spans="6:18" ht="24" customHeight="1">
      <c r="F3430" s="264">
        <v>2</v>
      </c>
      <c r="G3430" s="295" t="s">
        <v>1882</v>
      </c>
      <c r="H3430" s="76" t="s">
        <v>2769</v>
      </c>
      <c r="I3430" s="456">
        <v>21.5</v>
      </c>
      <c r="J3430" s="296" t="s">
        <v>332</v>
      </c>
      <c r="K3430" s="264">
        <f t="shared" si="304"/>
        <v>43</v>
      </c>
      <c r="M3430" s="482"/>
      <c r="N3430" s="483"/>
      <c r="O3430" s="482"/>
      <c r="P3430" s="482"/>
      <c r="Q3430" s="490" t="s">
        <v>534</v>
      </c>
    </row>
    <row r="3431" spans="6:18" ht="24" customHeight="1">
      <c r="F3431" s="264">
        <v>2</v>
      </c>
      <c r="G3431" s="295" t="s">
        <v>1882</v>
      </c>
      <c r="H3431" s="264" t="s">
        <v>941</v>
      </c>
      <c r="I3431" s="264">
        <f>I3398</f>
        <v>43.8</v>
      </c>
      <c r="J3431" s="296" t="s">
        <v>332</v>
      </c>
      <c r="K3431" s="264">
        <f t="shared" si="304"/>
        <v>87.6</v>
      </c>
      <c r="M3431" s="482"/>
      <c r="N3431" s="483"/>
      <c r="O3431" s="482"/>
      <c r="P3431" s="482"/>
      <c r="Q3431" s="573">
        <v>2.5600000000000001E-2</v>
      </c>
      <c r="R3431" s="76" t="s">
        <v>238</v>
      </c>
    </row>
    <row r="3432" spans="6:18" ht="24" customHeight="1">
      <c r="F3432" s="298">
        <v>130</v>
      </c>
      <c r="G3432" s="295" t="s">
        <v>1882</v>
      </c>
      <c r="H3432" s="264" t="s">
        <v>1815</v>
      </c>
      <c r="I3432" s="456">
        <f>I3330</f>
        <v>2.35</v>
      </c>
      <c r="J3432" s="296"/>
      <c r="K3432" s="264">
        <f t="shared" si="304"/>
        <v>305.5</v>
      </c>
      <c r="M3432" s="482"/>
      <c r="N3432" s="483"/>
      <c r="O3432" s="482"/>
      <c r="P3432" s="482"/>
      <c r="Q3432" s="490" t="s">
        <v>534</v>
      </c>
    </row>
    <row r="3433" spans="6:18" ht="24" customHeight="1">
      <c r="F3433" s="264"/>
      <c r="G3433" s="295"/>
      <c r="H3433" s="264"/>
      <c r="I3433" s="264"/>
      <c r="J3433" s="296"/>
      <c r="K3433" s="299"/>
      <c r="M3433" s="482"/>
      <c r="N3433" s="483"/>
      <c r="O3433" s="338" t="s">
        <v>3103</v>
      </c>
      <c r="P3433" s="482"/>
      <c r="Q3433" s="455">
        <v>0.58750000000000002</v>
      </c>
      <c r="R3433" s="536" t="s">
        <v>250</v>
      </c>
    </row>
    <row r="3434" spans="6:18" ht="24" customHeight="1">
      <c r="F3434" s="264"/>
      <c r="G3434" s="227"/>
      <c r="H3434" s="199" t="s">
        <v>3104</v>
      </c>
      <c r="I3434" s="264"/>
      <c r="J3434" s="296"/>
      <c r="K3434" s="199">
        <f>SUM(K3422:K3433)</f>
        <v>21042.781712499997</v>
      </c>
      <c r="M3434" s="482"/>
      <c r="N3434" s="483"/>
      <c r="O3434" s="338" t="s">
        <v>3105</v>
      </c>
      <c r="P3434" s="482"/>
      <c r="Q3434" s="576">
        <v>5.3E-3</v>
      </c>
      <c r="R3434" s="536" t="s">
        <v>238</v>
      </c>
    </row>
    <row r="3435" spans="6:18" ht="24" customHeight="1">
      <c r="F3435" s="264"/>
      <c r="G3435" s="227"/>
      <c r="I3435" s="264"/>
      <c r="J3435" s="296"/>
      <c r="K3435" s="299" t="s">
        <v>1892</v>
      </c>
      <c r="M3435" s="482"/>
      <c r="N3435" s="483"/>
      <c r="O3435" s="338" t="s">
        <v>3106</v>
      </c>
      <c r="P3435" s="482"/>
      <c r="Q3435" s="576">
        <v>6.7</v>
      </c>
      <c r="R3435" s="536" t="s">
        <v>41</v>
      </c>
    </row>
    <row r="3436" spans="6:18" ht="24" customHeight="1">
      <c r="F3436" s="264"/>
      <c r="G3436" s="227"/>
      <c r="H3436" s="199" t="s">
        <v>881</v>
      </c>
      <c r="I3436" s="264"/>
      <c r="J3436" s="296"/>
      <c r="K3436" s="199">
        <f>K3434/F3425</f>
        <v>4763.5046321448772</v>
      </c>
      <c r="M3436" s="482"/>
      <c r="N3436" s="483"/>
      <c r="O3436" s="482"/>
      <c r="P3436" s="482"/>
      <c r="Q3436" s="490"/>
      <c r="R3436" s="490"/>
    </row>
    <row r="3437" spans="6:18" ht="24" customHeight="1">
      <c r="G3437" s="76"/>
      <c r="J3437" s="76"/>
      <c r="M3437" s="514">
        <v>5.1999999999999998E-2</v>
      </c>
      <c r="N3437" s="489" t="s">
        <v>577</v>
      </c>
      <c r="O3437" s="338" t="s">
        <v>1790</v>
      </c>
      <c r="P3437" s="336">
        <f>P3223</f>
        <v>111600</v>
      </c>
      <c r="Q3437" s="339" t="s">
        <v>577</v>
      </c>
      <c r="R3437" s="336">
        <f>P3437*M3437</f>
        <v>5803.2</v>
      </c>
    </row>
    <row r="3438" spans="6:18" ht="24" customHeight="1">
      <c r="M3438" s="514">
        <v>2.5600000000000001E-2</v>
      </c>
      <c r="N3438" s="489" t="s">
        <v>577</v>
      </c>
      <c r="O3438" s="338" t="s">
        <v>1792</v>
      </c>
      <c r="P3438" s="336">
        <f>P3224</f>
        <v>99400</v>
      </c>
      <c r="Q3438" s="339" t="s">
        <v>577</v>
      </c>
      <c r="R3438" s="336">
        <f t="shared" ref="R3438:R3450" si="305">P3438*M3438</f>
        <v>2544.6400000000003</v>
      </c>
    </row>
    <row r="3439" spans="6:18" ht="24" customHeight="1">
      <c r="M3439" s="514">
        <v>5.3E-3</v>
      </c>
      <c r="N3439" s="489" t="s">
        <v>577</v>
      </c>
      <c r="O3439" s="338" t="s">
        <v>3007</v>
      </c>
      <c r="P3439" s="336">
        <f>P3225</f>
        <v>101921.4</v>
      </c>
      <c r="Q3439" s="339" t="s">
        <v>577</v>
      </c>
      <c r="R3439" s="336">
        <f t="shared" si="305"/>
        <v>540.18341999999996</v>
      </c>
    </row>
    <row r="3440" spans="6:18" ht="24" customHeight="1">
      <c r="M3440" s="530"/>
      <c r="N3440" s="483"/>
      <c r="O3440" s="338" t="s">
        <v>1867</v>
      </c>
      <c r="P3440" s="336"/>
      <c r="Q3440" s="485"/>
      <c r="R3440" s="336">
        <f t="shared" si="305"/>
        <v>0</v>
      </c>
    </row>
    <row r="3441" spans="6:18" ht="24" customHeight="1">
      <c r="M3441" s="530">
        <v>0.58750000000000002</v>
      </c>
      <c r="N3441" s="489" t="s">
        <v>916</v>
      </c>
      <c r="O3441" s="338" t="s">
        <v>3069</v>
      </c>
      <c r="P3441" s="336">
        <f>P3227</f>
        <v>352</v>
      </c>
      <c r="Q3441" s="485" t="s">
        <v>916</v>
      </c>
      <c r="R3441" s="336">
        <f t="shared" si="305"/>
        <v>206.8</v>
      </c>
    </row>
    <row r="3442" spans="6:18" ht="24" customHeight="1">
      <c r="M3442" s="530">
        <v>6.7</v>
      </c>
      <c r="N3442" s="489" t="s">
        <v>410</v>
      </c>
      <c r="O3442" s="338" t="s">
        <v>3070</v>
      </c>
      <c r="P3442" s="336">
        <f>P3228</f>
        <v>15</v>
      </c>
      <c r="Q3442" s="485" t="s">
        <v>41</v>
      </c>
      <c r="R3442" s="336">
        <f t="shared" si="305"/>
        <v>100.5</v>
      </c>
    </row>
    <row r="3443" spans="6:18" ht="24" customHeight="1">
      <c r="M3443" s="530">
        <v>2.4279999999999999</v>
      </c>
      <c r="N3443" s="489" t="s">
        <v>916</v>
      </c>
      <c r="O3443" s="338" t="s">
        <v>1787</v>
      </c>
      <c r="P3443" s="336">
        <f>P3229</f>
        <v>938</v>
      </c>
      <c r="Q3443" s="339" t="s">
        <v>916</v>
      </c>
      <c r="R3443" s="336">
        <f t="shared" si="305"/>
        <v>2277.4639999999999</v>
      </c>
    </row>
    <row r="3444" spans="6:18" ht="55.5" customHeight="1">
      <c r="M3444" s="336">
        <v>4</v>
      </c>
      <c r="N3444" s="489" t="s">
        <v>680</v>
      </c>
      <c r="O3444" s="338" t="s">
        <v>3010</v>
      </c>
      <c r="P3444" s="336">
        <f t="shared" ref="P3444:P3449" si="306">P3230</f>
        <v>50.4</v>
      </c>
      <c r="Q3444" s="339" t="s">
        <v>576</v>
      </c>
      <c r="R3444" s="336">
        <f t="shared" si="305"/>
        <v>201.6</v>
      </c>
    </row>
    <row r="3445" spans="6:18" ht="24" customHeight="1">
      <c r="M3445" s="336">
        <v>8</v>
      </c>
      <c r="N3445" s="489" t="s">
        <v>576</v>
      </c>
      <c r="O3445" s="338" t="s">
        <v>1789</v>
      </c>
      <c r="P3445" s="336">
        <f t="shared" si="306"/>
        <v>78.400000000000006</v>
      </c>
      <c r="Q3445" s="339" t="s">
        <v>576</v>
      </c>
      <c r="R3445" s="336">
        <f t="shared" si="305"/>
        <v>627.20000000000005</v>
      </c>
    </row>
    <row r="3446" spans="6:18" ht="24" customHeight="1">
      <c r="M3446" s="336">
        <v>4</v>
      </c>
      <c r="N3446" s="489" t="s">
        <v>576</v>
      </c>
      <c r="O3446" s="338" t="s">
        <v>3032</v>
      </c>
      <c r="P3446" s="336">
        <f t="shared" si="306"/>
        <v>85.5</v>
      </c>
      <c r="Q3446" s="339" t="s">
        <v>576</v>
      </c>
      <c r="R3446" s="336">
        <f t="shared" si="305"/>
        <v>342</v>
      </c>
    </row>
    <row r="3447" spans="6:18" ht="24" customHeight="1">
      <c r="M3447" s="336">
        <v>1</v>
      </c>
      <c r="N3447" s="489" t="s">
        <v>576</v>
      </c>
      <c r="O3447" s="338" t="s">
        <v>3033</v>
      </c>
      <c r="P3447" s="336">
        <f t="shared" si="306"/>
        <v>183.4</v>
      </c>
      <c r="Q3447" s="339" t="s">
        <v>576</v>
      </c>
      <c r="R3447" s="336">
        <f t="shared" si="305"/>
        <v>183.4</v>
      </c>
    </row>
    <row r="3448" spans="6:18" ht="24" customHeight="1">
      <c r="M3448" s="336">
        <v>2</v>
      </c>
      <c r="N3448" s="489" t="s">
        <v>576</v>
      </c>
      <c r="O3448" s="338" t="s">
        <v>3034</v>
      </c>
      <c r="P3448" s="336">
        <f t="shared" si="306"/>
        <v>22.5</v>
      </c>
      <c r="Q3448" s="339" t="s">
        <v>576</v>
      </c>
      <c r="R3448" s="336">
        <f t="shared" si="305"/>
        <v>45</v>
      </c>
    </row>
    <row r="3449" spans="6:18" ht="24" customHeight="1">
      <c r="M3449" s="336">
        <v>2</v>
      </c>
      <c r="N3449" s="489" t="s">
        <v>576</v>
      </c>
      <c r="O3449" s="338" t="s">
        <v>3035</v>
      </c>
      <c r="P3449" s="336">
        <f t="shared" si="306"/>
        <v>43.8</v>
      </c>
      <c r="Q3449" s="339" t="s">
        <v>576</v>
      </c>
      <c r="R3449" s="336">
        <f t="shared" si="305"/>
        <v>87.6</v>
      </c>
    </row>
    <row r="3450" spans="6:18" ht="24" customHeight="1">
      <c r="M3450" s="482">
        <v>118</v>
      </c>
      <c r="N3450" s="489" t="s">
        <v>576</v>
      </c>
      <c r="O3450" s="482" t="s">
        <v>2965</v>
      </c>
      <c r="P3450" s="482">
        <f>P3406</f>
        <v>2.35</v>
      </c>
      <c r="Q3450" s="339" t="s">
        <v>576</v>
      </c>
      <c r="R3450" s="336">
        <f t="shared" si="305"/>
        <v>277.3</v>
      </c>
    </row>
    <row r="3451" spans="6:18" ht="24" customHeight="1">
      <c r="M3451" s="482"/>
      <c r="N3451" s="483"/>
      <c r="O3451" s="482"/>
      <c r="P3451" s="482"/>
      <c r="Q3451" s="485"/>
      <c r="R3451" s="490" t="s">
        <v>534</v>
      </c>
    </row>
    <row r="3452" spans="6:18" ht="24" customHeight="1">
      <c r="F3452" s="200">
        <v>29.5</v>
      </c>
      <c r="G3452" s="165" t="s">
        <v>307</v>
      </c>
      <c r="H3452" s="154" t="s">
        <v>3107</v>
      </c>
      <c r="J3452" s="160"/>
      <c r="M3452" s="482"/>
      <c r="N3452" s="483"/>
      <c r="O3452" s="338" t="s">
        <v>3059</v>
      </c>
      <c r="P3452" s="482"/>
      <c r="Q3452" s="485"/>
      <c r="R3452" s="336">
        <f>SUM(R3437:R3451)</f>
        <v>13236.887419999999</v>
      </c>
    </row>
    <row r="3453" spans="6:18" ht="24" customHeight="1">
      <c r="H3453" s="154" t="s">
        <v>3108</v>
      </c>
      <c r="J3453" s="160"/>
      <c r="M3453" s="482"/>
      <c r="N3453" s="483"/>
      <c r="O3453" s="482"/>
      <c r="P3453" s="482"/>
      <c r="Q3453" s="485"/>
      <c r="R3453" s="490" t="s">
        <v>534</v>
      </c>
    </row>
    <row r="3454" spans="6:18" ht="24" customHeight="1">
      <c r="H3454" s="154" t="s">
        <v>1977</v>
      </c>
      <c r="J3454" s="160"/>
      <c r="M3454" s="482"/>
      <c r="N3454" s="483"/>
      <c r="O3454" s="496" t="s">
        <v>881</v>
      </c>
      <c r="P3454" s="482"/>
      <c r="Q3454" s="487" t="s">
        <v>2797</v>
      </c>
      <c r="R3454" s="497">
        <f>R3452/M3443</f>
        <v>5451.765823723229</v>
      </c>
    </row>
    <row r="3455" spans="6:18" ht="24" customHeight="1">
      <c r="H3455" s="162" t="s">
        <v>534</v>
      </c>
      <c r="I3455" s="162" t="s">
        <v>534</v>
      </c>
      <c r="J3455" s="160"/>
      <c r="K3455" s="167"/>
    </row>
    <row r="3456" spans="6:18" ht="24" customHeight="1">
      <c r="F3456" s="167">
        <v>10</v>
      </c>
      <c r="G3456" s="165" t="s">
        <v>916</v>
      </c>
      <c r="H3456" s="157" t="s">
        <v>3109</v>
      </c>
      <c r="I3456" s="164">
        <v>412</v>
      </c>
      <c r="J3456" s="155" t="s">
        <v>916</v>
      </c>
      <c r="K3456" s="167">
        <f>F3456*I3456</f>
        <v>4120</v>
      </c>
    </row>
    <row r="3457" spans="6:18" ht="24" customHeight="1">
      <c r="F3457" s="167">
        <v>0.21</v>
      </c>
      <c r="G3457" s="165" t="s">
        <v>577</v>
      </c>
      <c r="H3457" s="154" t="s">
        <v>1951</v>
      </c>
      <c r="I3457" s="167">
        <f>K32</f>
        <v>4357.67</v>
      </c>
      <c r="J3457" s="155" t="s">
        <v>577</v>
      </c>
      <c r="K3457" s="167">
        <f>(F3457*I3457)</f>
        <v>915.11069999999995</v>
      </c>
    </row>
    <row r="3458" spans="6:18" ht="24" customHeight="1">
      <c r="H3458" s="154" t="s">
        <v>1955</v>
      </c>
      <c r="I3458" s="167"/>
      <c r="J3458" s="160"/>
      <c r="K3458" s="154" t="s">
        <v>22</v>
      </c>
      <c r="M3458" s="200">
        <v>29.5</v>
      </c>
      <c r="N3458" s="165" t="s">
        <v>307</v>
      </c>
      <c r="O3458" s="154" t="s">
        <v>3107</v>
      </c>
      <c r="Q3458" s="160"/>
    </row>
    <row r="3459" spans="6:18" ht="24" customHeight="1">
      <c r="F3459" s="167">
        <v>1.1000000000000001</v>
      </c>
      <c r="G3459" s="165" t="s">
        <v>680</v>
      </c>
      <c r="H3459" s="154" t="s">
        <v>778</v>
      </c>
      <c r="I3459" s="167">
        <f>C10</f>
        <v>717.2</v>
      </c>
      <c r="J3459" s="155" t="s">
        <v>680</v>
      </c>
      <c r="K3459" s="167">
        <f>(F3459*I3459)</f>
        <v>788.92000000000007</v>
      </c>
      <c r="N3459" s="156"/>
      <c r="O3459" s="154" t="s">
        <v>3108</v>
      </c>
      <c r="Q3459" s="160"/>
    </row>
    <row r="3460" spans="6:18" ht="24" customHeight="1">
      <c r="F3460" s="167">
        <v>1.1000000000000001</v>
      </c>
      <c r="G3460" s="165" t="s">
        <v>680</v>
      </c>
      <c r="H3460" s="154" t="s">
        <v>752</v>
      </c>
      <c r="I3460" s="167">
        <f>C11</f>
        <v>669.90000000000009</v>
      </c>
      <c r="J3460" s="155" t="s">
        <v>680</v>
      </c>
      <c r="K3460" s="167">
        <f>(F3460*I3460)</f>
        <v>736.89000000000021</v>
      </c>
      <c r="N3460" s="156"/>
      <c r="O3460" s="154" t="s">
        <v>1977</v>
      </c>
      <c r="Q3460" s="160"/>
    </row>
    <row r="3461" spans="6:18" ht="24" customHeight="1">
      <c r="F3461" s="167">
        <v>2.2000000000000002</v>
      </c>
      <c r="G3461" s="165" t="s">
        <v>680</v>
      </c>
      <c r="H3461" s="154" t="s">
        <v>754</v>
      </c>
      <c r="I3461" s="167">
        <f>C12</f>
        <v>468.6</v>
      </c>
      <c r="J3461" s="155" t="s">
        <v>680</v>
      </c>
      <c r="K3461" s="167">
        <f>(F3461*I3461)</f>
        <v>1030.92</v>
      </c>
      <c r="N3461" s="156"/>
      <c r="O3461" s="162" t="s">
        <v>534</v>
      </c>
      <c r="P3461" s="162" t="s">
        <v>534</v>
      </c>
      <c r="Q3461" s="160"/>
      <c r="R3461" s="167"/>
    </row>
    <row r="3462" spans="6:18" ht="24" customHeight="1">
      <c r="F3462" s="167">
        <v>2.2000000000000002</v>
      </c>
      <c r="G3462" s="165" t="s">
        <v>680</v>
      </c>
      <c r="H3462" s="154" t="s">
        <v>756</v>
      </c>
      <c r="I3462" s="167">
        <f>C13</f>
        <v>404.8</v>
      </c>
      <c r="J3462" s="155" t="s">
        <v>680</v>
      </c>
      <c r="K3462" s="167">
        <f>(F3462*I3462)</f>
        <v>890.56000000000006</v>
      </c>
      <c r="M3462" s="167">
        <v>10</v>
      </c>
      <c r="N3462" s="165" t="s">
        <v>916</v>
      </c>
      <c r="O3462" s="157" t="s">
        <v>3109</v>
      </c>
      <c r="P3462" s="590">
        <f>I3456</f>
        <v>412</v>
      </c>
      <c r="Q3462" s="155" t="s">
        <v>916</v>
      </c>
      <c r="R3462" s="167">
        <f>P3462*M3462</f>
        <v>4120</v>
      </c>
    </row>
    <row r="3463" spans="6:18" ht="24" customHeight="1">
      <c r="F3463" s="198">
        <v>20</v>
      </c>
      <c r="G3463" s="165" t="s">
        <v>420</v>
      </c>
      <c r="H3463" s="154" t="s">
        <v>568</v>
      </c>
      <c r="I3463" s="167">
        <f>AC31</f>
        <v>5750</v>
      </c>
      <c r="J3463" s="155" t="s">
        <v>567</v>
      </c>
      <c r="K3463" s="167">
        <f>(F3463*I3463)/1000</f>
        <v>115</v>
      </c>
      <c r="M3463" s="167">
        <v>0.21</v>
      </c>
      <c r="N3463" s="165" t="s">
        <v>577</v>
      </c>
      <c r="O3463" s="154" t="s">
        <v>1951</v>
      </c>
      <c r="P3463" s="591">
        <f t="shared" ref="P3463:P3473" si="307">I3457</f>
        <v>4357.67</v>
      </c>
      <c r="Q3463" s="155" t="s">
        <v>577</v>
      </c>
      <c r="R3463" s="167">
        <f t="shared" ref="R3463:R3473" si="308">P3463*M3463</f>
        <v>915.11069999999995</v>
      </c>
    </row>
    <row r="3464" spans="6:18" ht="24" customHeight="1">
      <c r="F3464" s="198">
        <v>2</v>
      </c>
      <c r="G3464" s="165" t="s">
        <v>420</v>
      </c>
      <c r="H3464" s="154" t="s">
        <v>1959</v>
      </c>
      <c r="I3464" s="167">
        <f>I1256</f>
        <v>36.1</v>
      </c>
      <c r="J3464" s="155" t="s">
        <v>420</v>
      </c>
      <c r="K3464" s="167">
        <f>(F3464*I3464)</f>
        <v>72.2</v>
      </c>
      <c r="N3464" s="156"/>
      <c r="O3464" s="154" t="s">
        <v>1955</v>
      </c>
      <c r="P3464" s="591">
        <f t="shared" si="307"/>
        <v>0</v>
      </c>
      <c r="Q3464" s="160"/>
      <c r="R3464" s="167">
        <f t="shared" si="308"/>
        <v>0</v>
      </c>
    </row>
    <row r="3465" spans="6:18" ht="24" customHeight="1">
      <c r="F3465" s="167">
        <v>1.6</v>
      </c>
      <c r="G3465" s="165" t="s">
        <v>680</v>
      </c>
      <c r="H3465" s="154" t="s">
        <v>752</v>
      </c>
      <c r="I3465" s="167">
        <f>I3460</f>
        <v>669.90000000000009</v>
      </c>
      <c r="J3465" s="155" t="s">
        <v>680</v>
      </c>
      <c r="K3465" s="167">
        <f>(F3465*I3465)</f>
        <v>1071.8400000000001</v>
      </c>
      <c r="M3465" s="167">
        <v>1.1000000000000001</v>
      </c>
      <c r="N3465" s="165" t="s">
        <v>680</v>
      </c>
      <c r="O3465" s="154" t="s">
        <v>778</v>
      </c>
      <c r="P3465" s="591">
        <f t="shared" si="307"/>
        <v>717.2</v>
      </c>
      <c r="Q3465" s="155" t="s">
        <v>680</v>
      </c>
      <c r="R3465" s="167">
        <f t="shared" si="308"/>
        <v>788.92000000000007</v>
      </c>
    </row>
    <row r="3466" spans="6:18" ht="24" customHeight="1">
      <c r="F3466" s="167">
        <v>0.5</v>
      </c>
      <c r="G3466" s="165" t="s">
        <v>680</v>
      </c>
      <c r="H3466" s="154" t="s">
        <v>754</v>
      </c>
      <c r="I3466" s="167">
        <f>I3461</f>
        <v>468.6</v>
      </c>
      <c r="J3466" s="155" t="s">
        <v>680</v>
      </c>
      <c r="K3466" s="167">
        <f>(F3466*I3466)</f>
        <v>234.3</v>
      </c>
      <c r="M3466" s="167">
        <v>1.1000000000000001</v>
      </c>
      <c r="N3466" s="165" t="s">
        <v>680</v>
      </c>
      <c r="O3466" s="154" t="s">
        <v>752</v>
      </c>
      <c r="P3466" s="591">
        <f t="shared" si="307"/>
        <v>669.90000000000009</v>
      </c>
      <c r="Q3466" s="155" t="s">
        <v>680</v>
      </c>
      <c r="R3466" s="167">
        <f t="shared" si="308"/>
        <v>736.89000000000021</v>
      </c>
    </row>
    <row r="3467" spans="6:18" ht="24" customHeight="1">
      <c r="F3467" s="167">
        <v>1.1000000000000001</v>
      </c>
      <c r="G3467" s="165" t="s">
        <v>680</v>
      </c>
      <c r="H3467" s="154" t="s">
        <v>756</v>
      </c>
      <c r="I3467" s="167">
        <f>I3462</f>
        <v>404.8</v>
      </c>
      <c r="J3467" s="155" t="s">
        <v>680</v>
      </c>
      <c r="K3467" s="167">
        <f>(F3467*I3467)</f>
        <v>445.28000000000003</v>
      </c>
      <c r="M3467" s="167">
        <v>2.2000000000000002</v>
      </c>
      <c r="N3467" s="165" t="s">
        <v>680</v>
      </c>
      <c r="O3467" s="154" t="s">
        <v>754</v>
      </c>
      <c r="P3467" s="591">
        <f t="shared" si="307"/>
        <v>468.6</v>
      </c>
      <c r="Q3467" s="155" t="s">
        <v>680</v>
      </c>
      <c r="R3467" s="167">
        <f t="shared" si="308"/>
        <v>1030.92</v>
      </c>
    </row>
    <row r="3468" spans="6:18" ht="24" customHeight="1">
      <c r="G3468" s="165" t="s">
        <v>589</v>
      </c>
      <c r="H3468" s="154" t="s">
        <v>590</v>
      </c>
      <c r="I3468" s="167">
        <f>I1262</f>
        <v>0</v>
      </c>
      <c r="J3468" s="155" t="s">
        <v>589</v>
      </c>
      <c r="K3468" s="167">
        <v>0</v>
      </c>
      <c r="M3468" s="167">
        <v>2.2000000000000002</v>
      </c>
      <c r="N3468" s="165" t="s">
        <v>680</v>
      </c>
      <c r="O3468" s="154" t="s">
        <v>756</v>
      </c>
      <c r="P3468" s="591">
        <f t="shared" si="307"/>
        <v>404.8</v>
      </c>
      <c r="Q3468" s="155" t="s">
        <v>680</v>
      </c>
      <c r="R3468" s="167">
        <f t="shared" si="308"/>
        <v>890.56000000000006</v>
      </c>
    </row>
    <row r="3469" spans="6:18" ht="24" customHeight="1">
      <c r="J3469" s="160"/>
      <c r="K3469" s="162" t="s">
        <v>534</v>
      </c>
      <c r="M3469" s="198">
        <v>20</v>
      </c>
      <c r="N3469" s="165" t="s">
        <v>420</v>
      </c>
      <c r="O3469" s="154" t="s">
        <v>568</v>
      </c>
      <c r="P3469" s="591">
        <f t="shared" si="307"/>
        <v>5750</v>
      </c>
      <c r="Q3469" s="155" t="s">
        <v>567</v>
      </c>
      <c r="R3469" s="167">
        <f>P3469*M3469/1000</f>
        <v>115</v>
      </c>
    </row>
    <row r="3470" spans="6:18" ht="24" customHeight="1">
      <c r="H3470" s="154" t="s">
        <v>879</v>
      </c>
      <c r="J3470" s="160"/>
      <c r="K3470" s="167">
        <f>SUM(K3456:K3468)</f>
        <v>10421.020700000001</v>
      </c>
      <c r="M3470" s="198">
        <v>2</v>
      </c>
      <c r="N3470" s="165" t="s">
        <v>420</v>
      </c>
      <c r="O3470" s="154" t="s">
        <v>3110</v>
      </c>
      <c r="P3470" s="591">
        <f>I3646</f>
        <v>24.3</v>
      </c>
      <c r="Q3470" s="155" t="s">
        <v>420</v>
      </c>
      <c r="R3470" s="167">
        <f t="shared" si="308"/>
        <v>48.6</v>
      </c>
    </row>
    <row r="3471" spans="6:18" ht="24" customHeight="1">
      <c r="J3471" s="160"/>
      <c r="K3471" s="162" t="s">
        <v>534</v>
      </c>
      <c r="M3471" s="167">
        <v>1.6</v>
      </c>
      <c r="N3471" s="165" t="s">
        <v>680</v>
      </c>
      <c r="O3471" s="154" t="s">
        <v>752</v>
      </c>
      <c r="P3471" s="591">
        <f t="shared" si="307"/>
        <v>669.90000000000009</v>
      </c>
      <c r="Q3471" s="155" t="s">
        <v>680</v>
      </c>
      <c r="R3471" s="167">
        <f t="shared" si="308"/>
        <v>1071.8400000000001</v>
      </c>
    </row>
    <row r="3472" spans="6:18" ht="24" customHeight="1">
      <c r="H3472" s="154" t="s">
        <v>881</v>
      </c>
      <c r="J3472" s="160"/>
      <c r="K3472" s="166">
        <f>(K3470/10)</f>
        <v>1042.1020700000001</v>
      </c>
      <c r="M3472" s="167">
        <v>0.5</v>
      </c>
      <c r="N3472" s="165" t="s">
        <v>680</v>
      </c>
      <c r="O3472" s="154" t="s">
        <v>754</v>
      </c>
      <c r="P3472" s="591">
        <f t="shared" si="307"/>
        <v>468.6</v>
      </c>
      <c r="Q3472" s="155" t="s">
        <v>680</v>
      </c>
      <c r="R3472" s="167">
        <f t="shared" si="308"/>
        <v>234.3</v>
      </c>
    </row>
    <row r="3473" spans="6:19" ht="24" customHeight="1">
      <c r="J3473" s="160"/>
      <c r="K3473" s="162" t="s">
        <v>528</v>
      </c>
      <c r="M3473" s="167">
        <v>1.1000000000000001</v>
      </c>
      <c r="N3473" s="165" t="s">
        <v>680</v>
      </c>
      <c r="O3473" s="154" t="s">
        <v>756</v>
      </c>
      <c r="P3473" s="591">
        <f t="shared" si="307"/>
        <v>404.8</v>
      </c>
      <c r="Q3473" s="155" t="s">
        <v>680</v>
      </c>
      <c r="R3473" s="167">
        <f t="shared" si="308"/>
        <v>445.28000000000003</v>
      </c>
    </row>
    <row r="3474" spans="6:19" ht="24" customHeight="1">
      <c r="N3474" s="165" t="s">
        <v>589</v>
      </c>
      <c r="O3474" s="154" t="s">
        <v>590</v>
      </c>
      <c r="P3474" s="167">
        <v>0</v>
      </c>
      <c r="Q3474" s="155" t="s">
        <v>589</v>
      </c>
      <c r="R3474" s="167">
        <v>0</v>
      </c>
    </row>
    <row r="3475" spans="6:19" ht="24" customHeight="1">
      <c r="N3475" s="156"/>
      <c r="Q3475" s="160"/>
      <c r="R3475" s="162" t="s">
        <v>534</v>
      </c>
    </row>
    <row r="3476" spans="6:19" ht="24" customHeight="1">
      <c r="N3476" s="156"/>
      <c r="O3476" s="154" t="s">
        <v>879</v>
      </c>
      <c r="Q3476" s="160"/>
      <c r="R3476" s="167">
        <f>SUM(R3462:R3475)</f>
        <v>10397.420700000001</v>
      </c>
    </row>
    <row r="3477" spans="6:19" ht="24" customHeight="1">
      <c r="N3477" s="156"/>
      <c r="Q3477" s="160"/>
      <c r="R3477" s="162" t="s">
        <v>534</v>
      </c>
    </row>
    <row r="3478" spans="6:19" ht="57.75" customHeight="1">
      <c r="G3478" s="592">
        <v>90</v>
      </c>
      <c r="H3478" s="593" t="s">
        <v>3111</v>
      </c>
      <c r="N3478" s="156"/>
      <c r="O3478" s="154" t="s">
        <v>881</v>
      </c>
      <c r="Q3478" s="160"/>
      <c r="R3478" s="166">
        <f>R3476/10</f>
        <v>1039.74207</v>
      </c>
    </row>
    <row r="3479" spans="6:19" ht="24" customHeight="1">
      <c r="F3479" s="252">
        <v>3.8100000000000002E-2</v>
      </c>
      <c r="G3479" s="295" t="s">
        <v>577</v>
      </c>
      <c r="H3479" s="264" t="s">
        <v>3112</v>
      </c>
      <c r="I3479" s="76">
        <f>I3389</f>
        <v>111600</v>
      </c>
      <c r="J3479" s="76">
        <f>J2279</f>
        <v>0</v>
      </c>
      <c r="K3479" s="76">
        <f>F3479*I3479</f>
        <v>4251.96</v>
      </c>
      <c r="N3479" s="156"/>
      <c r="Q3479" s="160"/>
      <c r="R3479" s="162" t="s">
        <v>528</v>
      </c>
    </row>
    <row r="3480" spans="6:19" ht="24" customHeight="1">
      <c r="F3480" s="159">
        <v>2.4E-2</v>
      </c>
      <c r="G3480" s="295" t="s">
        <v>577</v>
      </c>
      <c r="H3480" s="264" t="s">
        <v>3042</v>
      </c>
      <c r="I3480" s="76">
        <f>I3390</f>
        <v>99400</v>
      </c>
      <c r="J3480" s="76">
        <f>J2280</f>
        <v>0</v>
      </c>
      <c r="K3480" s="76">
        <f t="shared" ref="K3480:K3493" si="309">F3480*I3480</f>
        <v>2385.6</v>
      </c>
    </row>
    <row r="3481" spans="6:19" ht="24" customHeight="1">
      <c r="F3481" s="76">
        <v>0.01</v>
      </c>
      <c r="G3481" s="295" t="s">
        <v>577</v>
      </c>
      <c r="H3481" s="154" t="s">
        <v>1794</v>
      </c>
      <c r="I3481" s="76">
        <f>I2817</f>
        <v>95000</v>
      </c>
      <c r="J3481" s="76">
        <f>J2281</f>
        <v>0</v>
      </c>
      <c r="K3481" s="76">
        <f t="shared" si="309"/>
        <v>950</v>
      </c>
    </row>
    <row r="3482" spans="6:19" ht="24" customHeight="1">
      <c r="H3482" s="154" t="s">
        <v>1796</v>
      </c>
    </row>
    <row r="3483" spans="6:19" ht="24" customHeight="1">
      <c r="F3483" s="76">
        <v>1.05</v>
      </c>
      <c r="G3483" s="165" t="s">
        <v>916</v>
      </c>
      <c r="H3483" s="260" t="s">
        <v>3113</v>
      </c>
      <c r="I3483" s="231">
        <v>352</v>
      </c>
      <c r="J3483" s="158" t="s">
        <v>916</v>
      </c>
      <c r="K3483" s="76">
        <f t="shared" si="309"/>
        <v>369.6</v>
      </c>
    </row>
    <row r="3484" spans="6:19" ht="24" customHeight="1">
      <c r="F3484" s="76">
        <v>12</v>
      </c>
      <c r="G3484" s="165" t="s">
        <v>2300</v>
      </c>
      <c r="H3484" s="76" t="s">
        <v>3114</v>
      </c>
      <c r="I3484" s="76">
        <f>I2537</f>
        <v>54.5</v>
      </c>
      <c r="J3484" s="158" t="s">
        <v>2300</v>
      </c>
      <c r="K3484" s="76">
        <f t="shared" si="309"/>
        <v>654</v>
      </c>
      <c r="S3484" s="582" t="s">
        <v>3115</v>
      </c>
    </row>
    <row r="3485" spans="6:19" ht="24" customHeight="1">
      <c r="F3485" s="76">
        <v>2.85</v>
      </c>
      <c r="G3485" s="165" t="s">
        <v>916</v>
      </c>
      <c r="H3485" s="76" t="s">
        <v>3116</v>
      </c>
      <c r="I3485" s="76">
        <f>D31</f>
        <v>1031.8000000000002</v>
      </c>
      <c r="J3485" s="158" t="s">
        <v>916</v>
      </c>
      <c r="K3485" s="76">
        <f t="shared" si="309"/>
        <v>2940.6300000000006</v>
      </c>
    </row>
    <row r="3486" spans="6:19" ht="24" customHeight="1">
      <c r="F3486" s="76">
        <v>6</v>
      </c>
      <c r="G3486" s="165" t="s">
        <v>42</v>
      </c>
      <c r="H3486" s="154" t="s">
        <v>1789</v>
      </c>
      <c r="I3486" s="76">
        <f>I2821</f>
        <v>110.17</v>
      </c>
      <c r="J3486" s="158" t="s">
        <v>680</v>
      </c>
      <c r="K3486" s="76">
        <f t="shared" si="309"/>
        <v>661.02</v>
      </c>
    </row>
    <row r="3487" spans="6:19" ht="24" customHeight="1">
      <c r="F3487" s="76">
        <v>1</v>
      </c>
      <c r="G3487" s="165" t="s">
        <v>42</v>
      </c>
      <c r="H3487" s="76" t="s">
        <v>3117</v>
      </c>
      <c r="I3487" s="76">
        <f>I2823</f>
        <v>550</v>
      </c>
      <c r="J3487" s="158" t="s">
        <v>680</v>
      </c>
      <c r="K3487" s="76">
        <f t="shared" si="309"/>
        <v>550</v>
      </c>
    </row>
    <row r="3488" spans="6:19" ht="24" customHeight="1">
      <c r="F3488" s="76">
        <v>3</v>
      </c>
      <c r="G3488" s="165" t="s">
        <v>42</v>
      </c>
      <c r="H3488" s="154" t="s">
        <v>1791</v>
      </c>
      <c r="I3488" s="76">
        <f>I2822</f>
        <v>160</v>
      </c>
      <c r="J3488" s="158" t="s">
        <v>680</v>
      </c>
      <c r="K3488" s="76">
        <f t="shared" si="309"/>
        <v>480</v>
      </c>
    </row>
    <row r="3489" spans="6:11" ht="24" customHeight="1">
      <c r="F3489" s="76">
        <v>2</v>
      </c>
      <c r="G3489" s="165" t="s">
        <v>42</v>
      </c>
      <c r="H3489" s="154" t="s">
        <v>3118</v>
      </c>
      <c r="I3489" s="76">
        <f>I2822</f>
        <v>160</v>
      </c>
      <c r="J3489" s="158" t="s">
        <v>680</v>
      </c>
      <c r="K3489" s="76">
        <f t="shared" si="309"/>
        <v>320</v>
      </c>
    </row>
    <row r="3490" spans="6:11" ht="24" customHeight="1">
      <c r="F3490" s="76">
        <v>2</v>
      </c>
      <c r="G3490" s="165" t="s">
        <v>42</v>
      </c>
      <c r="H3490" s="154" t="s">
        <v>941</v>
      </c>
      <c r="I3490" s="76">
        <f>I2825</f>
        <v>43.8</v>
      </c>
      <c r="J3490" s="158" t="s">
        <v>680</v>
      </c>
      <c r="K3490" s="76">
        <f t="shared" si="309"/>
        <v>87.6</v>
      </c>
    </row>
    <row r="3491" spans="6:11" ht="24" customHeight="1">
      <c r="F3491" s="76">
        <v>2</v>
      </c>
      <c r="G3491" s="165" t="s">
        <v>42</v>
      </c>
      <c r="H3491" s="154" t="s">
        <v>1795</v>
      </c>
      <c r="I3491" s="76">
        <f>I2824</f>
        <v>7.3</v>
      </c>
      <c r="J3491" s="158" t="s">
        <v>680</v>
      </c>
      <c r="K3491" s="76">
        <f t="shared" si="309"/>
        <v>14.6</v>
      </c>
    </row>
    <row r="3492" spans="6:11" ht="24" customHeight="1">
      <c r="F3492" s="76">
        <v>1.05</v>
      </c>
      <c r="G3492" s="165" t="s">
        <v>916</v>
      </c>
      <c r="H3492" s="154" t="s">
        <v>3119</v>
      </c>
      <c r="I3492" s="76">
        <f>K1553</f>
        <v>112.37400000000002</v>
      </c>
      <c r="J3492" s="158" t="s">
        <v>916</v>
      </c>
      <c r="K3492" s="76">
        <f t="shared" si="309"/>
        <v>117.99270000000003</v>
      </c>
    </row>
    <row r="3493" spans="6:11" ht="24" customHeight="1">
      <c r="F3493" s="594">
        <v>3.15</v>
      </c>
      <c r="G3493" s="165" t="s">
        <v>916</v>
      </c>
      <c r="H3493" s="154" t="s">
        <v>3120</v>
      </c>
      <c r="I3493" s="76">
        <f>K1167</f>
        <v>148.78800000000001</v>
      </c>
      <c r="J3493" s="158" t="s">
        <v>916</v>
      </c>
      <c r="K3493" s="76">
        <f t="shared" si="309"/>
        <v>468.68220000000002</v>
      </c>
    </row>
    <row r="3494" spans="6:11" ht="24" customHeight="1">
      <c r="G3494" s="165"/>
      <c r="H3494" s="154" t="s">
        <v>3121</v>
      </c>
      <c r="I3494" s="1024" t="s">
        <v>589</v>
      </c>
      <c r="J3494" s="1024"/>
      <c r="K3494" s="76">
        <f>R3201</f>
        <v>277.3</v>
      </c>
    </row>
    <row r="3495" spans="6:11" ht="24" customHeight="1">
      <c r="K3495" s="595" t="s">
        <v>528</v>
      </c>
    </row>
    <row r="3496" spans="6:11" ht="24" customHeight="1">
      <c r="H3496" s="157" t="s">
        <v>3122</v>
      </c>
      <c r="I3496" s="199"/>
      <c r="J3496" s="207"/>
      <c r="K3496" s="199">
        <f>SUM(K3479:K3495)</f>
        <v>14528.984900000001</v>
      </c>
    </row>
    <row r="3497" spans="6:11" ht="24" customHeight="1">
      <c r="K3497" s="595" t="s">
        <v>528</v>
      </c>
    </row>
    <row r="3499" spans="6:11" ht="24" customHeight="1">
      <c r="J3499" s="160"/>
    </row>
    <row r="3500" spans="6:11" ht="24" customHeight="1">
      <c r="G3500" s="158" t="s">
        <v>3123</v>
      </c>
      <c r="J3500" s="160"/>
    </row>
    <row r="3501" spans="6:11" ht="24" customHeight="1">
      <c r="J3501" s="160"/>
    </row>
    <row r="3502" spans="6:11" ht="24" customHeight="1">
      <c r="F3502" s="252">
        <v>1.8</v>
      </c>
      <c r="G3502" s="156" t="s">
        <v>577</v>
      </c>
      <c r="H3502" s="76" t="s">
        <v>3124</v>
      </c>
      <c r="I3502" s="76">
        <v>451.25</v>
      </c>
      <c r="J3502" s="160" t="s">
        <v>577</v>
      </c>
      <c r="K3502" s="242">
        <f>I3502*F3502</f>
        <v>812.25</v>
      </c>
    </row>
    <row r="3503" spans="6:11" ht="24" customHeight="1">
      <c r="J3503" s="160"/>
      <c r="K3503" s="242"/>
    </row>
    <row r="3504" spans="6:11" ht="24" customHeight="1">
      <c r="F3504" s="252">
        <v>1.2</v>
      </c>
      <c r="G3504" s="156" t="s">
        <v>577</v>
      </c>
      <c r="H3504" s="76" t="s">
        <v>3125</v>
      </c>
      <c r="I3504" s="76">
        <v>842.15</v>
      </c>
      <c r="J3504" s="160" t="s">
        <v>577</v>
      </c>
      <c r="K3504" s="242">
        <f t="shared" ref="K3504:K3512" si="310">I3504*F3504</f>
        <v>1010.5799999999999</v>
      </c>
    </row>
    <row r="3505" spans="6:18" ht="24" customHeight="1">
      <c r="J3505" s="160"/>
      <c r="K3505" s="242"/>
    </row>
    <row r="3506" spans="6:18" ht="24" customHeight="1">
      <c r="F3506" s="252">
        <v>0.6</v>
      </c>
      <c r="G3506" s="156" t="s">
        <v>577</v>
      </c>
      <c r="H3506" s="76" t="s">
        <v>3126</v>
      </c>
      <c r="I3506" s="76">
        <f>AC16</f>
        <v>1514.4</v>
      </c>
      <c r="J3506" s="160" t="s">
        <v>577</v>
      </c>
      <c r="K3506" s="242">
        <f t="shared" si="310"/>
        <v>908.64</v>
      </c>
      <c r="O3506" s="199" t="s">
        <v>3127</v>
      </c>
    </row>
    <row r="3507" spans="6:18" ht="24" customHeight="1">
      <c r="J3507" s="160"/>
      <c r="K3507" s="242"/>
    </row>
    <row r="3508" spans="6:18" ht="24" customHeight="1">
      <c r="F3508" s="252">
        <v>3</v>
      </c>
      <c r="G3508" s="156" t="s">
        <v>577</v>
      </c>
      <c r="H3508" s="76" t="s">
        <v>3128</v>
      </c>
      <c r="I3508" s="76">
        <f>R3521</f>
        <v>1520.7719999999999</v>
      </c>
      <c r="J3508" s="160" t="s">
        <v>577</v>
      </c>
      <c r="K3508" s="242">
        <f t="shared" si="310"/>
        <v>4562.3159999999998</v>
      </c>
    </row>
    <row r="3509" spans="6:18" ht="24" customHeight="1">
      <c r="F3509" s="252"/>
      <c r="J3509" s="160"/>
      <c r="K3509" s="242"/>
      <c r="M3509" s="76">
        <f>(1.08/8)</f>
        <v>0.13500000000000001</v>
      </c>
      <c r="N3509" s="76" t="s">
        <v>577</v>
      </c>
      <c r="O3509" s="76" t="s">
        <v>754</v>
      </c>
      <c r="P3509" s="76">
        <f>P3517</f>
        <v>468.6</v>
      </c>
      <c r="Q3509" s="76" t="s">
        <v>577</v>
      </c>
      <c r="R3509" s="76">
        <f>P3509*M3509</f>
        <v>63.26100000000001</v>
      </c>
    </row>
    <row r="3510" spans="6:18" ht="24" customHeight="1">
      <c r="F3510" s="252">
        <v>3</v>
      </c>
      <c r="G3510" s="156" t="s">
        <v>577</v>
      </c>
      <c r="H3510" s="76" t="s">
        <v>3129</v>
      </c>
      <c r="I3510" s="76">
        <f>R3523</f>
        <v>20.27</v>
      </c>
      <c r="J3510" s="160" t="s">
        <v>577</v>
      </c>
      <c r="K3510" s="242">
        <f t="shared" si="310"/>
        <v>60.81</v>
      </c>
    </row>
    <row r="3511" spans="6:18" ht="24" customHeight="1">
      <c r="F3511" s="252"/>
      <c r="J3511" s="160"/>
      <c r="K3511" s="242"/>
      <c r="O3511" s="242" t="s">
        <v>3130</v>
      </c>
      <c r="R3511" s="76">
        <f>R3509</f>
        <v>63.26100000000001</v>
      </c>
    </row>
    <row r="3512" spans="6:18" ht="24" customHeight="1">
      <c r="F3512" s="252">
        <v>3</v>
      </c>
      <c r="G3512" s="156" t="s">
        <v>577</v>
      </c>
      <c r="H3512" s="76" t="s">
        <v>3131</v>
      </c>
      <c r="I3512" s="76">
        <v>31.65</v>
      </c>
      <c r="J3512" s="160" t="s">
        <v>577</v>
      </c>
      <c r="K3512" s="242">
        <f t="shared" si="310"/>
        <v>94.949999999999989</v>
      </c>
      <c r="O3512" s="242" t="s">
        <v>3132</v>
      </c>
      <c r="R3512" s="76">
        <f>R3511/0.75</f>
        <v>84.348000000000013</v>
      </c>
    </row>
    <row r="3513" spans="6:18" ht="24" customHeight="1">
      <c r="J3513" s="160"/>
      <c r="K3513" s="242"/>
    </row>
    <row r="3514" spans="6:18" ht="24" customHeight="1">
      <c r="H3514" s="76" t="s">
        <v>3133</v>
      </c>
      <c r="J3514" s="160" t="s">
        <v>589</v>
      </c>
      <c r="K3514" s="242">
        <v>0.3</v>
      </c>
      <c r="O3514" s="199" t="s">
        <v>3134</v>
      </c>
    </row>
    <row r="3515" spans="6:18" ht="24" customHeight="1">
      <c r="J3515" s="160"/>
      <c r="K3515" s="242"/>
    </row>
    <row r="3516" spans="6:18" ht="24" customHeight="1">
      <c r="H3516" s="242" t="s">
        <v>3135</v>
      </c>
      <c r="J3516" s="160"/>
      <c r="K3516" s="342">
        <f>SUM(K3502:K3515)</f>
        <v>7449.8460000000005</v>
      </c>
      <c r="M3516" s="76">
        <v>1.8</v>
      </c>
      <c r="N3516" s="76" t="s">
        <v>3</v>
      </c>
      <c r="O3516" s="76" t="s">
        <v>3136</v>
      </c>
      <c r="P3516" s="76">
        <f>AE10</f>
        <v>669.90000000000009</v>
      </c>
      <c r="Q3516" s="76" t="s">
        <v>332</v>
      </c>
      <c r="R3516" s="76">
        <f>P3516*M3516</f>
        <v>1205.8200000000002</v>
      </c>
    </row>
    <row r="3517" spans="6:18" ht="24" customHeight="1">
      <c r="H3517" s="242" t="s">
        <v>3137</v>
      </c>
      <c r="J3517" s="160"/>
      <c r="K3517" s="199">
        <f>K3516/F3508</f>
        <v>2483.2820000000002</v>
      </c>
      <c r="M3517" s="76">
        <v>17.7</v>
      </c>
      <c r="N3517" s="76" t="s">
        <v>3</v>
      </c>
      <c r="O3517" s="76" t="s">
        <v>3138</v>
      </c>
      <c r="P3517" s="76">
        <f>AE11</f>
        <v>468.6</v>
      </c>
      <c r="Q3517" s="76" t="s">
        <v>332</v>
      </c>
      <c r="R3517" s="76">
        <f>P3517*M3517</f>
        <v>8294.2199999999993</v>
      </c>
    </row>
    <row r="3518" spans="6:18" ht="24" customHeight="1">
      <c r="J3518" s="160"/>
      <c r="K3518" s="595" t="s">
        <v>528</v>
      </c>
      <c r="M3518" s="76">
        <v>14.1</v>
      </c>
      <c r="N3518" s="76" t="s">
        <v>3</v>
      </c>
      <c r="O3518" s="76" t="s">
        <v>3139</v>
      </c>
      <c r="P3518" s="76">
        <f>AE12</f>
        <v>404.8</v>
      </c>
      <c r="Q3518" s="76" t="s">
        <v>332</v>
      </c>
      <c r="R3518" s="76">
        <f>P3518*M3518</f>
        <v>5707.68</v>
      </c>
    </row>
    <row r="3520" spans="6:18" ht="24" customHeight="1">
      <c r="O3520" s="242" t="s">
        <v>3140</v>
      </c>
      <c r="R3520" s="76">
        <f>SUM(R3516:R3519)</f>
        <v>15207.72</v>
      </c>
    </row>
    <row r="3521" spans="6:18" ht="24" customHeight="1">
      <c r="O3521" s="242" t="s">
        <v>3132</v>
      </c>
      <c r="R3521" s="76">
        <f>R3520/10</f>
        <v>1520.7719999999999</v>
      </c>
    </row>
    <row r="3522" spans="6:18" ht="24" customHeight="1">
      <c r="F3522" s="596"/>
      <c r="G3522" s="597"/>
      <c r="H3522" s="596" t="s">
        <v>3141</v>
      </c>
      <c r="I3522" s="596"/>
      <c r="J3522" s="598"/>
      <c r="O3522" s="242"/>
    </row>
    <row r="3523" spans="6:18" ht="24" customHeight="1">
      <c r="H3523" s="599" t="s">
        <v>3142</v>
      </c>
      <c r="I3523" s="596">
        <v>2.56</v>
      </c>
      <c r="O3523" s="199" t="s">
        <v>3143</v>
      </c>
      <c r="R3523" s="199">
        <v>20.27</v>
      </c>
    </row>
    <row r="3524" spans="6:18" ht="24" customHeight="1">
      <c r="F3524" s="596">
        <f>I3523</f>
        <v>2.56</v>
      </c>
      <c r="G3524" s="597" t="s">
        <v>916</v>
      </c>
      <c r="H3524" s="596" t="s">
        <v>3144</v>
      </c>
      <c r="I3524" s="600">
        <v>2190</v>
      </c>
      <c r="J3524" s="597" t="s">
        <v>916</v>
      </c>
      <c r="K3524" s="596">
        <f>I3524*F3524</f>
        <v>5606.4000000000005</v>
      </c>
    </row>
    <row r="3525" spans="6:18" ht="24" customHeight="1">
      <c r="F3525" s="596">
        <f>F3524</f>
        <v>2.56</v>
      </c>
      <c r="G3525" s="597" t="s">
        <v>916</v>
      </c>
      <c r="H3525" s="596" t="s">
        <v>3145</v>
      </c>
      <c r="I3525" s="600">
        <v>216</v>
      </c>
      <c r="J3525" s="597" t="s">
        <v>916</v>
      </c>
      <c r="K3525" s="596">
        <f t="shared" ref="K3525:K3533" si="311">I3525*F3525</f>
        <v>552.96</v>
      </c>
    </row>
    <row r="3526" spans="6:18" ht="24" customHeight="1">
      <c r="F3526" s="596">
        <v>4</v>
      </c>
      <c r="G3526" s="597" t="s">
        <v>680</v>
      </c>
      <c r="H3526" s="596" t="s">
        <v>3146</v>
      </c>
      <c r="I3526" s="596">
        <f>P3230</f>
        <v>50.4</v>
      </c>
      <c r="J3526" s="597" t="s">
        <v>680</v>
      </c>
      <c r="K3526" s="596">
        <f t="shared" si="311"/>
        <v>201.6</v>
      </c>
      <c r="M3526" s="596"/>
      <c r="N3526" s="597"/>
      <c r="O3526" s="601" t="s">
        <v>3147</v>
      </c>
      <c r="P3526" s="596"/>
      <c r="Q3526" s="598"/>
    </row>
    <row r="3527" spans="6:18" ht="24" customHeight="1">
      <c r="F3527" s="596">
        <v>10</v>
      </c>
      <c r="G3527" s="597" t="s">
        <v>680</v>
      </c>
      <c r="H3527" s="596" t="s">
        <v>3148</v>
      </c>
      <c r="I3527" s="596">
        <f>P3231</f>
        <v>78.400000000000006</v>
      </c>
      <c r="J3527" s="597" t="s">
        <v>680</v>
      </c>
      <c r="K3527" s="596">
        <f t="shared" si="311"/>
        <v>784</v>
      </c>
      <c r="N3527" s="156"/>
      <c r="O3527" s="602" t="s">
        <v>3149</v>
      </c>
      <c r="P3527" s="602">
        <f>1.4*2.325</f>
        <v>3.2549999999999999</v>
      </c>
      <c r="Q3527" s="158"/>
    </row>
    <row r="3528" spans="6:18" ht="24" customHeight="1">
      <c r="F3528" s="596">
        <v>3</v>
      </c>
      <c r="G3528" s="597" t="s">
        <v>680</v>
      </c>
      <c r="H3528" s="596" t="s">
        <v>3150</v>
      </c>
      <c r="I3528" s="596">
        <f>C284</f>
        <v>56.7</v>
      </c>
      <c r="J3528" s="597" t="s">
        <v>680</v>
      </c>
      <c r="K3528" s="596">
        <f t="shared" si="311"/>
        <v>170.10000000000002</v>
      </c>
      <c r="M3528" s="596">
        <f>P3527</f>
        <v>3.2549999999999999</v>
      </c>
      <c r="N3528" s="597" t="s">
        <v>916</v>
      </c>
      <c r="O3528" s="596" t="s">
        <v>3151</v>
      </c>
      <c r="P3528" s="596">
        <f>I3524</f>
        <v>2190</v>
      </c>
      <c r="Q3528" s="597" t="s">
        <v>916</v>
      </c>
      <c r="R3528" s="596">
        <f t="shared" ref="R3528:R3536" si="312">P3528*M3528</f>
        <v>7128.45</v>
      </c>
    </row>
    <row r="3529" spans="6:18" ht="24" customHeight="1">
      <c r="F3529" s="596">
        <v>1</v>
      </c>
      <c r="G3529" s="597" t="s">
        <v>680</v>
      </c>
      <c r="H3529" s="596" t="s">
        <v>3152</v>
      </c>
      <c r="I3529" s="596">
        <f>C286</f>
        <v>158.19999999999999</v>
      </c>
      <c r="J3529" s="597" t="s">
        <v>680</v>
      </c>
      <c r="K3529" s="596">
        <f t="shared" si="311"/>
        <v>158.19999999999999</v>
      </c>
      <c r="M3529" s="596">
        <f>M3528</f>
        <v>3.2549999999999999</v>
      </c>
      <c r="N3529" s="597" t="s">
        <v>916</v>
      </c>
      <c r="O3529" s="596" t="s">
        <v>3153</v>
      </c>
      <c r="P3529" s="596">
        <f t="shared" ref="P3529:P3536" si="313">I3525</f>
        <v>216</v>
      </c>
      <c r="Q3529" s="597" t="s">
        <v>916</v>
      </c>
      <c r="R3529" s="596">
        <f t="shared" si="312"/>
        <v>703.07999999999993</v>
      </c>
    </row>
    <row r="3530" spans="6:18" ht="24" customHeight="1">
      <c r="F3530" s="596">
        <v>162</v>
      </c>
      <c r="G3530" s="597" t="s">
        <v>680</v>
      </c>
      <c r="H3530" s="596" t="s">
        <v>3154</v>
      </c>
      <c r="I3530" s="596">
        <f>P3450</f>
        <v>2.35</v>
      </c>
      <c r="J3530" s="597" t="s">
        <v>680</v>
      </c>
      <c r="K3530" s="596">
        <f t="shared" si="311"/>
        <v>380.7</v>
      </c>
      <c r="M3530" s="596">
        <v>4</v>
      </c>
      <c r="N3530" s="597" t="s">
        <v>680</v>
      </c>
      <c r="O3530" s="596" t="s">
        <v>3155</v>
      </c>
      <c r="P3530" s="596">
        <f t="shared" si="313"/>
        <v>50.4</v>
      </c>
      <c r="Q3530" s="597" t="s">
        <v>680</v>
      </c>
      <c r="R3530" s="596">
        <f t="shared" si="312"/>
        <v>201.6</v>
      </c>
    </row>
    <row r="3531" spans="6:18" ht="24" customHeight="1">
      <c r="F3531" s="596">
        <v>2</v>
      </c>
      <c r="G3531" s="597" t="s">
        <v>680</v>
      </c>
      <c r="H3531" s="596" t="s">
        <v>3156</v>
      </c>
      <c r="I3531" s="596">
        <f>P3199</f>
        <v>22.5</v>
      </c>
      <c r="J3531" s="597" t="s">
        <v>680</v>
      </c>
      <c r="K3531" s="596">
        <f t="shared" si="311"/>
        <v>45</v>
      </c>
      <c r="M3531" s="596">
        <v>10</v>
      </c>
      <c r="N3531" s="597" t="s">
        <v>680</v>
      </c>
      <c r="O3531" s="596" t="s">
        <v>3157</v>
      </c>
      <c r="P3531" s="596">
        <f t="shared" si="313"/>
        <v>78.400000000000006</v>
      </c>
      <c r="Q3531" s="597" t="s">
        <v>680</v>
      </c>
      <c r="R3531" s="596">
        <f t="shared" si="312"/>
        <v>784</v>
      </c>
    </row>
    <row r="3532" spans="6:18" ht="24" customHeight="1">
      <c r="F3532" s="596">
        <v>2</v>
      </c>
      <c r="G3532" s="597" t="s">
        <v>680</v>
      </c>
      <c r="H3532" s="596" t="s">
        <v>3158</v>
      </c>
      <c r="I3532" s="596">
        <f>P3405</f>
        <v>43.8</v>
      </c>
      <c r="J3532" s="597" t="s">
        <v>680</v>
      </c>
      <c r="K3532" s="596">
        <f t="shared" si="311"/>
        <v>87.6</v>
      </c>
      <c r="M3532" s="596">
        <v>3</v>
      </c>
      <c r="N3532" s="597" t="s">
        <v>680</v>
      </c>
      <c r="O3532" s="596" t="s">
        <v>3159</v>
      </c>
      <c r="P3532" s="596">
        <f t="shared" si="313"/>
        <v>56.7</v>
      </c>
      <c r="Q3532" s="597" t="s">
        <v>680</v>
      </c>
      <c r="R3532" s="596">
        <f t="shared" si="312"/>
        <v>170.10000000000002</v>
      </c>
    </row>
    <row r="3533" spans="6:18" ht="24" customHeight="1">
      <c r="F3533" s="603">
        <v>0.41099999999999998</v>
      </c>
      <c r="G3533" s="597" t="s">
        <v>916</v>
      </c>
      <c r="H3533" s="596" t="s">
        <v>3160</v>
      </c>
      <c r="I3533" s="596">
        <f>I1136</f>
        <v>148.78800000000001</v>
      </c>
      <c r="J3533" s="597" t="s">
        <v>916</v>
      </c>
      <c r="K3533" s="596">
        <f t="shared" si="311"/>
        <v>61.151868</v>
      </c>
      <c r="M3533" s="596">
        <v>1</v>
      </c>
      <c r="N3533" s="597" t="s">
        <v>680</v>
      </c>
      <c r="O3533" s="596" t="s">
        <v>3117</v>
      </c>
      <c r="P3533" s="596">
        <f t="shared" si="313"/>
        <v>158.19999999999999</v>
      </c>
      <c r="Q3533" s="597" t="s">
        <v>680</v>
      </c>
      <c r="R3533" s="596">
        <f t="shared" si="312"/>
        <v>158.19999999999999</v>
      </c>
    </row>
    <row r="3534" spans="6:18" ht="24" customHeight="1">
      <c r="F3534" s="596"/>
      <c r="G3534" s="597"/>
      <c r="H3534" s="596" t="s">
        <v>3161</v>
      </c>
      <c r="I3534" s="596"/>
      <c r="J3534" s="598"/>
      <c r="K3534" s="596">
        <f>SUM(K3524:K3533)</f>
        <v>8047.7118680000012</v>
      </c>
      <c r="M3534" s="596">
        <v>162</v>
      </c>
      <c r="N3534" s="597" t="s">
        <v>680</v>
      </c>
      <c r="O3534" s="596" t="s">
        <v>3154</v>
      </c>
      <c r="P3534" s="596">
        <f t="shared" si="313"/>
        <v>2.35</v>
      </c>
      <c r="Q3534" s="597" t="s">
        <v>680</v>
      </c>
      <c r="R3534" s="596">
        <f t="shared" si="312"/>
        <v>380.7</v>
      </c>
    </row>
    <row r="3535" spans="6:18" ht="24" customHeight="1">
      <c r="F3535" s="596"/>
      <c r="G3535" s="597"/>
      <c r="H3535" s="596" t="s">
        <v>2662</v>
      </c>
      <c r="I3535" s="596"/>
      <c r="J3535" s="598"/>
      <c r="K3535" s="596">
        <f>K3534/F3525</f>
        <v>3143.6374484375006</v>
      </c>
      <c r="M3535" s="596">
        <v>2</v>
      </c>
      <c r="N3535" s="597" t="s">
        <v>680</v>
      </c>
      <c r="O3535" s="596" t="s">
        <v>3162</v>
      </c>
      <c r="P3535" s="596">
        <f t="shared" si="313"/>
        <v>22.5</v>
      </c>
      <c r="Q3535" s="597" t="s">
        <v>680</v>
      </c>
      <c r="R3535" s="596">
        <f t="shared" si="312"/>
        <v>45</v>
      </c>
    </row>
    <row r="3536" spans="6:18" ht="24" customHeight="1">
      <c r="H3536" s="596"/>
      <c r="K3536" s="596"/>
      <c r="M3536" s="596">
        <v>2</v>
      </c>
      <c r="N3536" s="597" t="s">
        <v>680</v>
      </c>
      <c r="O3536" s="596" t="s">
        <v>3158</v>
      </c>
      <c r="P3536" s="596">
        <f t="shared" si="313"/>
        <v>43.8</v>
      </c>
      <c r="Q3536" s="597" t="s">
        <v>680</v>
      </c>
      <c r="R3536" s="596">
        <f t="shared" si="312"/>
        <v>87.6</v>
      </c>
    </row>
    <row r="3537" spans="6:33" ht="24" customHeight="1">
      <c r="M3537" s="603">
        <v>0</v>
      </c>
      <c r="N3537" s="597" t="s">
        <v>916</v>
      </c>
      <c r="O3537" s="596" t="s">
        <v>3160</v>
      </c>
      <c r="P3537" s="596">
        <f>I3533</f>
        <v>148.78800000000001</v>
      </c>
      <c r="Q3537" s="597" t="s">
        <v>916</v>
      </c>
      <c r="R3537" s="596">
        <f>P3537*M3537</f>
        <v>0</v>
      </c>
    </row>
    <row r="3538" spans="6:33" ht="24" customHeight="1">
      <c r="F3538" s="596"/>
      <c r="G3538" s="597"/>
      <c r="H3538" s="596" t="s">
        <v>3163</v>
      </c>
      <c r="I3538" s="596"/>
      <c r="J3538" s="598"/>
      <c r="M3538" s="596"/>
      <c r="N3538" s="597"/>
      <c r="O3538" s="596" t="s">
        <v>3164</v>
      </c>
      <c r="P3538" s="596"/>
      <c r="Q3538" s="598"/>
      <c r="R3538" s="596">
        <f>SUM(R3528:R3537)</f>
        <v>9658.7300000000032</v>
      </c>
      <c r="S3538" s="596"/>
      <c r="T3538" s="597"/>
      <c r="U3538" s="596" t="s">
        <v>3165</v>
      </c>
      <c r="V3538" s="596"/>
      <c r="W3538" s="598"/>
      <c r="AB3538" s="596"/>
      <c r="AC3538" s="597"/>
      <c r="AD3538" s="596" t="s">
        <v>3166</v>
      </c>
      <c r="AE3538" s="596"/>
      <c r="AF3538" s="598"/>
    </row>
    <row r="3539" spans="6:33" ht="24" customHeight="1">
      <c r="H3539" s="596" t="s">
        <v>3167</v>
      </c>
      <c r="I3539" s="76">
        <f>0.9*2.025</f>
        <v>1.8225</v>
      </c>
      <c r="M3539" s="596"/>
      <c r="N3539" s="597"/>
      <c r="O3539" s="596" t="s">
        <v>2662</v>
      </c>
      <c r="P3539" s="596"/>
      <c r="Q3539" s="598"/>
      <c r="R3539" s="596">
        <f>R3538/M3529</f>
        <v>2967.351766513058</v>
      </c>
      <c r="S3539" s="76"/>
      <c r="T3539" s="156"/>
      <c r="U3539" s="596" t="s">
        <v>3168</v>
      </c>
      <c r="V3539" s="76">
        <f>0.9*2.325</f>
        <v>2.0925000000000002</v>
      </c>
      <c r="W3539" s="158"/>
      <c r="AC3539" s="156"/>
      <c r="AD3539" s="596" t="s">
        <v>3167</v>
      </c>
      <c r="AE3539" s="76">
        <f>0.8*2.025</f>
        <v>1.62</v>
      </c>
      <c r="AF3539" s="158"/>
    </row>
    <row r="3540" spans="6:33" ht="24" customHeight="1">
      <c r="F3540" s="596">
        <f>I3539</f>
        <v>1.8225</v>
      </c>
      <c r="G3540" s="597" t="s">
        <v>916</v>
      </c>
      <c r="H3540" s="596" t="s">
        <v>3169</v>
      </c>
      <c r="I3540" s="600">
        <v>2190</v>
      </c>
      <c r="J3540" s="597" t="s">
        <v>916</v>
      </c>
      <c r="K3540" s="596">
        <f>I3540*F3540</f>
        <v>3991.2750000000001</v>
      </c>
      <c r="Q3540" s="597"/>
      <c r="R3540" s="601"/>
      <c r="S3540" s="596">
        <f>V3539</f>
        <v>2.0925000000000002</v>
      </c>
      <c r="T3540" s="597" t="s">
        <v>916</v>
      </c>
      <c r="U3540" s="596" t="s">
        <v>3169</v>
      </c>
      <c r="V3540" s="596">
        <f>I3540</f>
        <v>2190</v>
      </c>
      <c r="W3540" s="597" t="s">
        <v>916</v>
      </c>
      <c r="X3540" s="596">
        <f>V3540*S3540</f>
        <v>4582.5750000000007</v>
      </c>
      <c r="AB3540" s="596">
        <f>AE3539</f>
        <v>1.62</v>
      </c>
      <c r="AC3540" s="597" t="s">
        <v>916</v>
      </c>
      <c r="AD3540" s="596" t="s">
        <v>3170</v>
      </c>
      <c r="AE3540" s="600">
        <v>2090</v>
      </c>
      <c r="AF3540" s="597" t="s">
        <v>916</v>
      </c>
      <c r="AG3540" s="596">
        <f>AE3540*AB3540</f>
        <v>3385.8</v>
      </c>
    </row>
    <row r="3541" spans="6:33" ht="24" customHeight="1">
      <c r="F3541" s="596">
        <f>I3539</f>
        <v>1.8225</v>
      </c>
      <c r="G3541" s="597" t="s">
        <v>916</v>
      </c>
      <c r="H3541" s="596" t="s">
        <v>3171</v>
      </c>
      <c r="I3541" s="600">
        <v>140</v>
      </c>
      <c r="J3541" s="597" t="s">
        <v>916</v>
      </c>
      <c r="K3541" s="596">
        <f t="shared" ref="K3541:K3548" si="314">I3541*F3541</f>
        <v>255.15</v>
      </c>
      <c r="S3541" s="596">
        <f>V3539</f>
        <v>2.0925000000000002</v>
      </c>
      <c r="T3541" s="597" t="s">
        <v>916</v>
      </c>
      <c r="U3541" s="596" t="s">
        <v>3172</v>
      </c>
      <c r="V3541" s="596">
        <f t="shared" ref="V3541:V3549" si="315">I3541</f>
        <v>140</v>
      </c>
      <c r="W3541" s="597" t="s">
        <v>916</v>
      </c>
      <c r="X3541" s="596">
        <f t="shared" ref="X3541:X3548" si="316">V3541*S3541</f>
        <v>292.95000000000005</v>
      </c>
      <c r="AB3541" s="596">
        <f>AE3539</f>
        <v>1.62</v>
      </c>
      <c r="AC3541" s="597" t="s">
        <v>916</v>
      </c>
      <c r="AD3541" s="596" t="s">
        <v>3173</v>
      </c>
      <c r="AE3541" s="600">
        <f>I3541</f>
        <v>140</v>
      </c>
      <c r="AF3541" s="597" t="s">
        <v>916</v>
      </c>
      <c r="AG3541" s="596">
        <f t="shared" ref="AG3541:AG3548" si="317">AE3541*AB3541</f>
        <v>226.8</v>
      </c>
    </row>
    <row r="3542" spans="6:33" ht="24" customHeight="1">
      <c r="F3542" s="596">
        <v>2</v>
      </c>
      <c r="G3542" s="597" t="s">
        <v>680</v>
      </c>
      <c r="H3542" s="596" t="s">
        <v>3155</v>
      </c>
      <c r="I3542" s="596">
        <f t="shared" ref="I3542:I3548" si="318">I3526</f>
        <v>50.4</v>
      </c>
      <c r="J3542" s="597" t="s">
        <v>680</v>
      </c>
      <c r="K3542" s="596">
        <f t="shared" si="314"/>
        <v>100.8</v>
      </c>
      <c r="M3542" s="596"/>
      <c r="N3542" s="597"/>
      <c r="O3542" s="596" t="s">
        <v>3174</v>
      </c>
      <c r="P3542" s="596"/>
      <c r="Q3542" s="598"/>
      <c r="S3542" s="596">
        <v>2</v>
      </c>
      <c r="T3542" s="597" t="s">
        <v>680</v>
      </c>
      <c r="U3542" s="596" t="s">
        <v>3155</v>
      </c>
      <c r="V3542" s="596">
        <f t="shared" si="315"/>
        <v>50.4</v>
      </c>
      <c r="W3542" s="597" t="s">
        <v>680</v>
      </c>
      <c r="X3542" s="596">
        <f t="shared" si="316"/>
        <v>100.8</v>
      </c>
      <c r="AB3542" s="596">
        <v>2</v>
      </c>
      <c r="AC3542" s="597" t="s">
        <v>680</v>
      </c>
      <c r="AD3542" s="596" t="s">
        <v>3155</v>
      </c>
      <c r="AE3542" s="600">
        <f t="shared" ref="AE3542:AE3549" si="319">I3542</f>
        <v>50.4</v>
      </c>
      <c r="AF3542" s="597" t="s">
        <v>680</v>
      </c>
      <c r="AG3542" s="596">
        <f t="shared" si="317"/>
        <v>100.8</v>
      </c>
    </row>
    <row r="3543" spans="6:33" ht="24" customHeight="1">
      <c r="F3543" s="596">
        <v>5</v>
      </c>
      <c r="G3543" s="597" t="s">
        <v>680</v>
      </c>
      <c r="H3543" s="596" t="s">
        <v>3157</v>
      </c>
      <c r="I3543" s="596">
        <f t="shared" si="318"/>
        <v>78.400000000000006</v>
      </c>
      <c r="J3543" s="597" t="s">
        <v>680</v>
      </c>
      <c r="K3543" s="596">
        <f t="shared" si="314"/>
        <v>392</v>
      </c>
      <c r="N3543" s="156"/>
      <c r="O3543" s="602" t="s">
        <v>3175</v>
      </c>
      <c r="P3543" s="602">
        <f>1.1*2.325</f>
        <v>2.5575000000000006</v>
      </c>
      <c r="Q3543" s="158"/>
      <c r="S3543" s="596">
        <v>6</v>
      </c>
      <c r="T3543" s="597" t="s">
        <v>680</v>
      </c>
      <c r="U3543" s="596" t="s">
        <v>3157</v>
      </c>
      <c r="V3543" s="596">
        <f t="shared" si="315"/>
        <v>78.400000000000006</v>
      </c>
      <c r="W3543" s="597" t="s">
        <v>680</v>
      </c>
      <c r="X3543" s="596">
        <f t="shared" si="316"/>
        <v>470.40000000000003</v>
      </c>
      <c r="AB3543" s="596">
        <v>5</v>
      </c>
      <c r="AC3543" s="597" t="s">
        <v>680</v>
      </c>
      <c r="AD3543" s="596" t="s">
        <v>3157</v>
      </c>
      <c r="AE3543" s="600">
        <f t="shared" si="319"/>
        <v>78.400000000000006</v>
      </c>
      <c r="AF3543" s="597" t="s">
        <v>680</v>
      </c>
      <c r="AG3543" s="596">
        <f t="shared" si="317"/>
        <v>392</v>
      </c>
    </row>
    <row r="3544" spans="6:33" ht="24" customHeight="1">
      <c r="F3544" s="596">
        <v>2</v>
      </c>
      <c r="G3544" s="597" t="s">
        <v>680</v>
      </c>
      <c r="H3544" s="596" t="s">
        <v>3159</v>
      </c>
      <c r="I3544" s="596">
        <f t="shared" si="318"/>
        <v>56.7</v>
      </c>
      <c r="J3544" s="597" t="s">
        <v>680</v>
      </c>
      <c r="K3544" s="596">
        <f t="shared" si="314"/>
        <v>113.4</v>
      </c>
      <c r="M3544" s="596">
        <f>P3543</f>
        <v>2.5575000000000006</v>
      </c>
      <c r="N3544" s="597" t="s">
        <v>916</v>
      </c>
      <c r="O3544" s="596" t="s">
        <v>3169</v>
      </c>
      <c r="P3544" s="596">
        <f>I3540</f>
        <v>2190</v>
      </c>
      <c r="Q3544" s="597" t="s">
        <v>916</v>
      </c>
      <c r="R3544" s="596">
        <f>P3544*M3544</f>
        <v>5600.9250000000011</v>
      </c>
      <c r="S3544" s="596">
        <v>2</v>
      </c>
      <c r="T3544" s="597" t="s">
        <v>680</v>
      </c>
      <c r="U3544" s="596" t="s">
        <v>3159</v>
      </c>
      <c r="V3544" s="596">
        <f t="shared" si="315"/>
        <v>56.7</v>
      </c>
      <c r="W3544" s="597" t="s">
        <v>680</v>
      </c>
      <c r="X3544" s="596">
        <f t="shared" si="316"/>
        <v>113.4</v>
      </c>
      <c r="AB3544" s="596">
        <v>2</v>
      </c>
      <c r="AC3544" s="597" t="s">
        <v>680</v>
      </c>
      <c r="AD3544" s="596" t="s">
        <v>3159</v>
      </c>
      <c r="AE3544" s="600">
        <f t="shared" si="319"/>
        <v>56.7</v>
      </c>
      <c r="AF3544" s="597" t="s">
        <v>680</v>
      </c>
      <c r="AG3544" s="596">
        <f t="shared" si="317"/>
        <v>113.4</v>
      </c>
    </row>
    <row r="3545" spans="6:33" ht="24" customHeight="1">
      <c r="F3545" s="596">
        <v>1</v>
      </c>
      <c r="G3545" s="597" t="s">
        <v>680</v>
      </c>
      <c r="H3545" s="596" t="s">
        <v>3117</v>
      </c>
      <c r="I3545" s="596">
        <f t="shared" si="318"/>
        <v>158.19999999999999</v>
      </c>
      <c r="J3545" s="597" t="s">
        <v>680</v>
      </c>
      <c r="K3545" s="596">
        <f t="shared" si="314"/>
        <v>158.19999999999999</v>
      </c>
      <c r="M3545" s="596">
        <f>P3543</f>
        <v>2.5575000000000006</v>
      </c>
      <c r="N3545" s="597" t="s">
        <v>916</v>
      </c>
      <c r="O3545" s="596" t="s">
        <v>3176</v>
      </c>
      <c r="P3545" s="596">
        <v>122</v>
      </c>
      <c r="Q3545" s="597" t="s">
        <v>916</v>
      </c>
      <c r="R3545" s="596">
        <f t="shared" ref="R3545:R3553" si="320">P3545*M3545</f>
        <v>312.01500000000004</v>
      </c>
      <c r="S3545" s="596">
        <v>1</v>
      </c>
      <c r="T3545" s="597" t="s">
        <v>680</v>
      </c>
      <c r="U3545" s="596" t="s">
        <v>3117</v>
      </c>
      <c r="V3545" s="596">
        <f t="shared" si="315"/>
        <v>158.19999999999999</v>
      </c>
      <c r="W3545" s="597" t="s">
        <v>680</v>
      </c>
      <c r="X3545" s="596">
        <f t="shared" si="316"/>
        <v>158.19999999999999</v>
      </c>
      <c r="AB3545" s="596">
        <v>1</v>
      </c>
      <c r="AC3545" s="597" t="s">
        <v>680</v>
      </c>
      <c r="AD3545" s="596" t="s">
        <v>3117</v>
      </c>
      <c r="AE3545" s="600">
        <f t="shared" si="319"/>
        <v>158.19999999999999</v>
      </c>
      <c r="AF3545" s="597" t="s">
        <v>680</v>
      </c>
      <c r="AG3545" s="596">
        <f t="shared" si="317"/>
        <v>158.19999999999999</v>
      </c>
    </row>
    <row r="3546" spans="6:33" ht="24" customHeight="1">
      <c r="F3546" s="596">
        <v>92</v>
      </c>
      <c r="G3546" s="597" t="s">
        <v>680</v>
      </c>
      <c r="H3546" s="596" t="s">
        <v>3154</v>
      </c>
      <c r="I3546" s="596">
        <f t="shared" si="318"/>
        <v>2.35</v>
      </c>
      <c r="J3546" s="597" t="s">
        <v>680</v>
      </c>
      <c r="K3546" s="596">
        <f t="shared" si="314"/>
        <v>216.20000000000002</v>
      </c>
      <c r="M3546" s="596">
        <v>2</v>
      </c>
      <c r="N3546" s="597" t="s">
        <v>680</v>
      </c>
      <c r="O3546" s="596" t="s">
        <v>3155</v>
      </c>
      <c r="P3546" s="596">
        <f t="shared" ref="P3546:P3552" si="321">P3530</f>
        <v>50.4</v>
      </c>
      <c r="Q3546" s="597" t="s">
        <v>680</v>
      </c>
      <c r="R3546" s="596">
        <f t="shared" si="320"/>
        <v>100.8</v>
      </c>
      <c r="S3546" s="596">
        <v>92</v>
      </c>
      <c r="T3546" s="597" t="s">
        <v>680</v>
      </c>
      <c r="U3546" s="596" t="s">
        <v>3154</v>
      </c>
      <c r="V3546" s="596">
        <f t="shared" si="315"/>
        <v>2.35</v>
      </c>
      <c r="W3546" s="597" t="s">
        <v>680</v>
      </c>
      <c r="X3546" s="596">
        <f t="shared" si="316"/>
        <v>216.20000000000002</v>
      </c>
      <c r="AB3546" s="596">
        <v>92</v>
      </c>
      <c r="AC3546" s="597" t="s">
        <v>680</v>
      </c>
      <c r="AD3546" s="596" t="s">
        <v>3154</v>
      </c>
      <c r="AE3546" s="600">
        <f t="shared" si="319"/>
        <v>2.35</v>
      </c>
      <c r="AF3546" s="597" t="s">
        <v>680</v>
      </c>
      <c r="AG3546" s="596">
        <f t="shared" si="317"/>
        <v>216.20000000000002</v>
      </c>
    </row>
    <row r="3547" spans="6:33" ht="24" customHeight="1">
      <c r="F3547" s="596">
        <v>1</v>
      </c>
      <c r="G3547" s="597" t="s">
        <v>680</v>
      </c>
      <c r="H3547" s="596" t="s">
        <v>3162</v>
      </c>
      <c r="I3547" s="596">
        <f t="shared" si="318"/>
        <v>22.5</v>
      </c>
      <c r="J3547" s="597" t="s">
        <v>680</v>
      </c>
      <c r="K3547" s="596">
        <f t="shared" si="314"/>
        <v>22.5</v>
      </c>
      <c r="M3547" s="596">
        <v>5</v>
      </c>
      <c r="N3547" s="597" t="s">
        <v>680</v>
      </c>
      <c r="O3547" s="596" t="s">
        <v>3157</v>
      </c>
      <c r="P3547" s="596">
        <f t="shared" si="321"/>
        <v>78.400000000000006</v>
      </c>
      <c r="Q3547" s="597" t="s">
        <v>680</v>
      </c>
      <c r="R3547" s="596">
        <f t="shared" si="320"/>
        <v>392</v>
      </c>
      <c r="S3547" s="596">
        <v>1</v>
      </c>
      <c r="T3547" s="597" t="s">
        <v>680</v>
      </c>
      <c r="U3547" s="596" t="s">
        <v>3162</v>
      </c>
      <c r="V3547" s="596">
        <f t="shared" si="315"/>
        <v>22.5</v>
      </c>
      <c r="W3547" s="597" t="s">
        <v>680</v>
      </c>
      <c r="X3547" s="596">
        <f t="shared" si="316"/>
        <v>22.5</v>
      </c>
      <c r="AB3547" s="596">
        <v>1</v>
      </c>
      <c r="AC3547" s="597" t="s">
        <v>680</v>
      </c>
      <c r="AD3547" s="596" t="s">
        <v>3162</v>
      </c>
      <c r="AE3547" s="600">
        <f t="shared" si="319"/>
        <v>22.5</v>
      </c>
      <c r="AF3547" s="597" t="s">
        <v>680</v>
      </c>
      <c r="AG3547" s="596">
        <f t="shared" si="317"/>
        <v>22.5</v>
      </c>
    </row>
    <row r="3548" spans="6:33" ht="24" customHeight="1">
      <c r="F3548" s="596">
        <v>1</v>
      </c>
      <c r="G3548" s="597" t="s">
        <v>680</v>
      </c>
      <c r="H3548" s="596" t="s">
        <v>3158</v>
      </c>
      <c r="I3548" s="596">
        <f t="shared" si="318"/>
        <v>43.8</v>
      </c>
      <c r="J3548" s="597" t="s">
        <v>680</v>
      </c>
      <c r="K3548" s="596">
        <f t="shared" si="314"/>
        <v>43.8</v>
      </c>
      <c r="M3548" s="596">
        <v>2</v>
      </c>
      <c r="N3548" s="597" t="s">
        <v>680</v>
      </c>
      <c r="O3548" s="596" t="s">
        <v>3159</v>
      </c>
      <c r="P3548" s="596">
        <f t="shared" si="321"/>
        <v>56.7</v>
      </c>
      <c r="Q3548" s="597" t="s">
        <v>680</v>
      </c>
      <c r="R3548" s="596">
        <f t="shared" si="320"/>
        <v>113.4</v>
      </c>
      <c r="S3548" s="596">
        <v>1</v>
      </c>
      <c r="T3548" s="597" t="s">
        <v>680</v>
      </c>
      <c r="U3548" s="596" t="s">
        <v>3158</v>
      </c>
      <c r="V3548" s="596">
        <f t="shared" si="315"/>
        <v>43.8</v>
      </c>
      <c r="W3548" s="597" t="s">
        <v>680</v>
      </c>
      <c r="X3548" s="596">
        <f t="shared" si="316"/>
        <v>43.8</v>
      </c>
      <c r="AB3548" s="596">
        <v>1</v>
      </c>
      <c r="AC3548" s="597" t="s">
        <v>680</v>
      </c>
      <c r="AD3548" s="596" t="s">
        <v>3158</v>
      </c>
      <c r="AE3548" s="600">
        <f t="shared" si="319"/>
        <v>43.8</v>
      </c>
      <c r="AF3548" s="597" t="s">
        <v>680</v>
      </c>
      <c r="AG3548" s="596">
        <f t="shared" si="317"/>
        <v>43.8</v>
      </c>
    </row>
    <row r="3549" spans="6:33" ht="24" customHeight="1">
      <c r="F3549" s="604">
        <v>0.35</v>
      </c>
      <c r="G3549" s="605" t="s">
        <v>916</v>
      </c>
      <c r="H3549" s="600" t="s">
        <v>3177</v>
      </c>
      <c r="I3549" s="600">
        <f>K1540</f>
        <v>189.04319999999998</v>
      </c>
      <c r="J3549" s="605" t="s">
        <v>916</v>
      </c>
      <c r="K3549" s="600"/>
      <c r="M3549" s="596">
        <v>1</v>
      </c>
      <c r="N3549" s="597" t="s">
        <v>680</v>
      </c>
      <c r="O3549" s="596" t="s">
        <v>3117</v>
      </c>
      <c r="P3549" s="596">
        <f t="shared" si="321"/>
        <v>158.19999999999999</v>
      </c>
      <c r="Q3549" s="597" t="s">
        <v>680</v>
      </c>
      <c r="R3549" s="596">
        <f t="shared" si="320"/>
        <v>158.19999999999999</v>
      </c>
      <c r="S3549" s="604">
        <v>0.39</v>
      </c>
      <c r="T3549" s="605" t="s">
        <v>916</v>
      </c>
      <c r="U3549" s="600" t="s">
        <v>3177</v>
      </c>
      <c r="V3549" s="596">
        <f t="shared" si="315"/>
        <v>189.04319999999998</v>
      </c>
      <c r="W3549" s="605" t="s">
        <v>916</v>
      </c>
      <c r="X3549" s="600"/>
      <c r="AB3549" s="604">
        <v>0.35</v>
      </c>
      <c r="AC3549" s="605" t="s">
        <v>916</v>
      </c>
      <c r="AD3549" s="600" t="s">
        <v>3177</v>
      </c>
      <c r="AE3549" s="600">
        <f t="shared" si="319"/>
        <v>189.04319999999998</v>
      </c>
      <c r="AF3549" s="605" t="s">
        <v>916</v>
      </c>
      <c r="AG3549" s="596"/>
    </row>
    <row r="3550" spans="6:33" ht="24" customHeight="1">
      <c r="F3550" s="596"/>
      <c r="G3550" s="597"/>
      <c r="H3550" s="596" t="s">
        <v>3178</v>
      </c>
      <c r="I3550" s="596"/>
      <c r="J3550" s="598"/>
      <c r="K3550" s="596">
        <f>SUM(K3540:K3549)</f>
        <v>5293.3249999999998</v>
      </c>
      <c r="M3550" s="596">
        <v>92</v>
      </c>
      <c r="N3550" s="597" t="s">
        <v>680</v>
      </c>
      <c r="O3550" s="596" t="s">
        <v>3154</v>
      </c>
      <c r="P3550" s="596">
        <f t="shared" si="321"/>
        <v>2.35</v>
      </c>
      <c r="Q3550" s="597" t="s">
        <v>680</v>
      </c>
      <c r="R3550" s="596">
        <f t="shared" si="320"/>
        <v>216.20000000000002</v>
      </c>
      <c r="S3550" s="596"/>
      <c r="T3550" s="597"/>
      <c r="U3550" s="596" t="s">
        <v>3179</v>
      </c>
      <c r="V3550" s="596"/>
      <c r="W3550" s="598"/>
      <c r="X3550" s="596">
        <f>SUM(X3540:X3549)</f>
        <v>6000.8249999999998</v>
      </c>
      <c r="AB3550" s="596"/>
      <c r="AC3550" s="597"/>
      <c r="AD3550" s="596" t="s">
        <v>3180</v>
      </c>
      <c r="AE3550" s="596"/>
      <c r="AF3550" s="598"/>
      <c r="AG3550" s="596">
        <f>SUM(AG3540:AG3549)</f>
        <v>4659.5</v>
      </c>
    </row>
    <row r="3551" spans="6:33" ht="24" customHeight="1">
      <c r="F3551" s="596"/>
      <c r="G3551" s="597"/>
      <c r="H3551" s="596" t="s">
        <v>2662</v>
      </c>
      <c r="I3551" s="596"/>
      <c r="J3551" s="598"/>
      <c r="K3551" s="596">
        <f>K3550/F3541</f>
        <v>2904.4307270233194</v>
      </c>
      <c r="M3551" s="596">
        <v>1</v>
      </c>
      <c r="N3551" s="597" t="s">
        <v>680</v>
      </c>
      <c r="O3551" s="596" t="s">
        <v>3162</v>
      </c>
      <c r="P3551" s="596">
        <f t="shared" si="321"/>
        <v>22.5</v>
      </c>
      <c r="Q3551" s="597" t="s">
        <v>680</v>
      </c>
      <c r="R3551" s="596">
        <f t="shared" si="320"/>
        <v>22.5</v>
      </c>
      <c r="S3551" s="596"/>
      <c r="T3551" s="597"/>
      <c r="U3551" s="596" t="s">
        <v>2662</v>
      </c>
      <c r="V3551" s="596"/>
      <c r="W3551" s="598"/>
      <c r="X3551" s="596">
        <f>X3550/S3541</f>
        <v>2867.7777777777774</v>
      </c>
      <c r="AB3551" s="596"/>
      <c r="AC3551" s="597"/>
      <c r="AD3551" s="596" t="s">
        <v>2662</v>
      </c>
      <c r="AE3551" s="596"/>
      <c r="AF3551" s="598"/>
      <c r="AG3551" s="596">
        <f>AG3550/AB3541</f>
        <v>2876.2345679012342</v>
      </c>
    </row>
    <row r="3552" spans="6:33" ht="24" customHeight="1">
      <c r="M3552" s="596">
        <v>1</v>
      </c>
      <c r="N3552" s="597" t="s">
        <v>680</v>
      </c>
      <c r="O3552" s="596" t="s">
        <v>3158</v>
      </c>
      <c r="P3552" s="596">
        <f t="shared" si="321"/>
        <v>43.8</v>
      </c>
      <c r="Q3552" s="597" t="s">
        <v>680</v>
      </c>
      <c r="R3552" s="596">
        <f t="shared" si="320"/>
        <v>43.8</v>
      </c>
      <c r="AC3552" s="156"/>
      <c r="AF3552" s="158"/>
    </row>
    <row r="3553" spans="6:24" ht="24" customHeight="1">
      <c r="M3553" s="603"/>
      <c r="N3553" s="597" t="s">
        <v>916</v>
      </c>
      <c r="O3553" s="596" t="s">
        <v>3160</v>
      </c>
      <c r="P3553" s="596">
        <f>P3537</f>
        <v>148.78800000000001</v>
      </c>
      <c r="Q3553" s="597" t="s">
        <v>916</v>
      </c>
      <c r="R3553" s="596">
        <f t="shared" si="320"/>
        <v>0</v>
      </c>
    </row>
    <row r="3554" spans="6:24" ht="24" customHeight="1">
      <c r="F3554" s="200"/>
      <c r="G3554" s="165" t="s">
        <v>307</v>
      </c>
      <c r="H3554" s="154" t="s">
        <v>2360</v>
      </c>
      <c r="M3554" s="596"/>
      <c r="N3554" s="597"/>
      <c r="O3554" s="596" t="s">
        <v>3181</v>
      </c>
      <c r="P3554" s="596"/>
      <c r="Q3554" s="598"/>
      <c r="R3554" s="596">
        <f>SUM(R3544:R3553)</f>
        <v>6959.8400000000011</v>
      </c>
      <c r="S3554" s="596"/>
      <c r="T3554" s="597"/>
      <c r="U3554" s="596" t="s">
        <v>3182</v>
      </c>
      <c r="V3554" s="596"/>
      <c r="W3554" s="598"/>
    </row>
    <row r="3555" spans="6:24" ht="24" customHeight="1">
      <c r="H3555" s="157" t="s">
        <v>3183</v>
      </c>
      <c r="M3555" s="596"/>
      <c r="N3555" s="597"/>
      <c r="O3555" s="596" t="s">
        <v>2662</v>
      </c>
      <c r="P3555" s="596"/>
      <c r="Q3555" s="598"/>
      <c r="R3555" s="596">
        <f>R3554/M3545</f>
        <v>2721.3450635386116</v>
      </c>
      <c r="S3555" s="76"/>
      <c r="T3555" s="156"/>
      <c r="U3555" s="596" t="s">
        <v>3184</v>
      </c>
      <c r="V3555" s="76">
        <f>1.4*2.025</f>
        <v>2.8349999999999995</v>
      </c>
      <c r="W3555" s="158"/>
    </row>
    <row r="3556" spans="6:24" ht="24" customHeight="1">
      <c r="H3556" s="154" t="s">
        <v>2362</v>
      </c>
      <c r="N3556" s="156"/>
      <c r="Q3556" s="158"/>
      <c r="S3556" s="596">
        <f>V3555</f>
        <v>2.8349999999999995</v>
      </c>
      <c r="T3556" s="597" t="s">
        <v>916</v>
      </c>
      <c r="U3556" s="596" t="s">
        <v>3169</v>
      </c>
      <c r="V3556" s="596">
        <f>P3528</f>
        <v>2190</v>
      </c>
      <c r="W3556" s="597" t="s">
        <v>916</v>
      </c>
      <c r="X3556" s="596">
        <f>V3556*S3556</f>
        <v>6208.6499999999987</v>
      </c>
    </row>
    <row r="3557" spans="6:24" ht="24" customHeight="1">
      <c r="H3557" s="154" t="s">
        <v>2363</v>
      </c>
      <c r="S3557" s="596">
        <f>V3555</f>
        <v>2.8349999999999995</v>
      </c>
      <c r="T3557" s="597" t="s">
        <v>916</v>
      </c>
      <c r="U3557" s="596" t="s">
        <v>3172</v>
      </c>
      <c r="V3557" s="596">
        <f>P3529</f>
        <v>216</v>
      </c>
      <c r="W3557" s="597" t="s">
        <v>916</v>
      </c>
      <c r="X3557" s="596">
        <f t="shared" ref="X3557:X3565" si="322">V3557*S3557</f>
        <v>612.3599999999999</v>
      </c>
    </row>
    <row r="3558" spans="6:24" ht="46.5" customHeight="1">
      <c r="H3558" s="162" t="s">
        <v>534</v>
      </c>
      <c r="S3558" s="596">
        <v>4</v>
      </c>
      <c r="T3558" s="597" t="s">
        <v>680</v>
      </c>
      <c r="U3558" s="596" t="s">
        <v>3155</v>
      </c>
      <c r="V3558" s="596">
        <f t="shared" ref="V3558:V3565" si="323">V3542</f>
        <v>50.4</v>
      </c>
      <c r="W3558" s="597" t="s">
        <v>680</v>
      </c>
      <c r="X3558" s="596">
        <f t="shared" si="322"/>
        <v>201.6</v>
      </c>
    </row>
    <row r="3559" spans="6:24" ht="33.75" customHeight="1">
      <c r="F3559" s="402">
        <v>1</v>
      </c>
      <c r="G3559" s="402" t="s">
        <v>576</v>
      </c>
      <c r="H3559" s="210" t="s">
        <v>3185</v>
      </c>
      <c r="I3559" s="606">
        <v>1625</v>
      </c>
      <c r="J3559" s="404" t="s">
        <v>576</v>
      </c>
      <c r="K3559" s="402">
        <f>(F3559*I3559)</f>
        <v>1625</v>
      </c>
      <c r="S3559" s="596">
        <v>10</v>
      </c>
      <c r="T3559" s="597" t="s">
        <v>680</v>
      </c>
      <c r="U3559" s="596" t="s">
        <v>3157</v>
      </c>
      <c r="V3559" s="596">
        <f t="shared" si="323"/>
        <v>78.400000000000006</v>
      </c>
      <c r="W3559" s="597" t="s">
        <v>680</v>
      </c>
      <c r="X3559" s="596">
        <f t="shared" si="322"/>
        <v>784</v>
      </c>
    </row>
    <row r="3560" spans="6:24" ht="24" customHeight="1">
      <c r="F3560" s="167"/>
      <c r="G3560" s="165"/>
      <c r="H3560" s="186"/>
      <c r="I3560" s="167"/>
      <c r="J3560" s="154"/>
      <c r="K3560" s="167"/>
      <c r="S3560" s="596">
        <v>3</v>
      </c>
      <c r="T3560" s="597" t="s">
        <v>680</v>
      </c>
      <c r="U3560" s="596" t="s">
        <v>3159</v>
      </c>
      <c r="V3560" s="596">
        <f t="shared" si="323"/>
        <v>56.7</v>
      </c>
      <c r="W3560" s="597" t="s">
        <v>680</v>
      </c>
      <c r="X3560" s="596">
        <f t="shared" si="322"/>
        <v>170.10000000000002</v>
      </c>
    </row>
    <row r="3561" spans="6:24" ht="24" customHeight="1">
      <c r="F3561" s="167"/>
      <c r="G3561" s="165"/>
      <c r="H3561" s="186"/>
      <c r="I3561" s="167"/>
      <c r="J3561" s="155"/>
      <c r="K3561" s="167"/>
      <c r="S3561" s="596">
        <v>1</v>
      </c>
      <c r="T3561" s="597" t="s">
        <v>680</v>
      </c>
      <c r="U3561" s="596" t="s">
        <v>3117</v>
      </c>
      <c r="V3561" s="596">
        <f t="shared" si="323"/>
        <v>158.19999999999999</v>
      </c>
      <c r="W3561" s="597" t="s">
        <v>680</v>
      </c>
      <c r="X3561" s="596">
        <f t="shared" si="322"/>
        <v>158.19999999999999</v>
      </c>
    </row>
    <row r="3562" spans="6:24" ht="24" customHeight="1">
      <c r="F3562" s="405">
        <v>1</v>
      </c>
      <c r="G3562" s="405" t="s">
        <v>576</v>
      </c>
      <c r="H3562" s="186" t="s">
        <v>3186</v>
      </c>
      <c r="I3562" s="418">
        <f>I1939</f>
        <v>-159</v>
      </c>
      <c r="J3562" s="186" t="s">
        <v>576</v>
      </c>
      <c r="K3562" s="405">
        <f>(F3562*I3562)</f>
        <v>-159</v>
      </c>
      <c r="S3562" s="596">
        <v>162</v>
      </c>
      <c r="T3562" s="597" t="s">
        <v>680</v>
      </c>
      <c r="U3562" s="596" t="s">
        <v>3154</v>
      </c>
      <c r="V3562" s="596">
        <f t="shared" si="323"/>
        <v>2.35</v>
      </c>
      <c r="W3562" s="597" t="s">
        <v>680</v>
      </c>
      <c r="X3562" s="596">
        <f t="shared" si="322"/>
        <v>380.7</v>
      </c>
    </row>
    <row r="3563" spans="6:24" ht="24" customHeight="1">
      <c r="F3563" s="173"/>
      <c r="G3563" s="398"/>
      <c r="H3563" s="186"/>
      <c r="I3563" s="173"/>
      <c r="J3563" s="229"/>
      <c r="K3563" s="173"/>
      <c r="S3563" s="596">
        <v>2</v>
      </c>
      <c r="T3563" s="597" t="s">
        <v>680</v>
      </c>
      <c r="U3563" s="596" t="s">
        <v>3162</v>
      </c>
      <c r="V3563" s="596">
        <f t="shared" si="323"/>
        <v>22.5</v>
      </c>
      <c r="W3563" s="597" t="s">
        <v>680</v>
      </c>
      <c r="X3563" s="596">
        <f t="shared" si="322"/>
        <v>45</v>
      </c>
    </row>
    <row r="3564" spans="6:24" ht="24" customHeight="1">
      <c r="F3564" s="173">
        <v>1</v>
      </c>
      <c r="G3564" s="398" t="s">
        <v>576</v>
      </c>
      <c r="H3564" s="186" t="s">
        <v>2366</v>
      </c>
      <c r="I3564" s="607">
        <v>250</v>
      </c>
      <c r="J3564" s="186" t="s">
        <v>576</v>
      </c>
      <c r="K3564" s="608">
        <f>(F3564*I3564)</f>
        <v>250</v>
      </c>
      <c r="S3564" s="596">
        <v>2</v>
      </c>
      <c r="T3564" s="597" t="s">
        <v>680</v>
      </c>
      <c r="U3564" s="596" t="s">
        <v>3158</v>
      </c>
      <c r="V3564" s="596">
        <f t="shared" si="323"/>
        <v>43.8</v>
      </c>
      <c r="W3564" s="597" t="s">
        <v>680</v>
      </c>
      <c r="X3564" s="596">
        <f t="shared" si="322"/>
        <v>87.6</v>
      </c>
    </row>
    <row r="3565" spans="6:24" ht="24" customHeight="1">
      <c r="F3565" s="167"/>
      <c r="G3565" s="165"/>
      <c r="H3565" s="154"/>
      <c r="I3565" s="167"/>
      <c r="J3565" s="154"/>
      <c r="K3565" s="167"/>
      <c r="S3565" s="604">
        <v>0.65</v>
      </c>
      <c r="T3565" s="605" t="s">
        <v>916</v>
      </c>
      <c r="U3565" s="600" t="s">
        <v>3177</v>
      </c>
      <c r="V3565" s="596">
        <f t="shared" si="323"/>
        <v>189.04319999999998</v>
      </c>
      <c r="W3565" s="605" t="s">
        <v>916</v>
      </c>
      <c r="X3565" s="600">
        <f t="shared" si="322"/>
        <v>122.87808</v>
      </c>
    </row>
    <row r="3566" spans="6:24" ht="24" customHeight="1">
      <c r="F3566" s="167">
        <v>0.5</v>
      </c>
      <c r="G3566" s="165" t="s">
        <v>576</v>
      </c>
      <c r="H3566" s="154" t="s">
        <v>2202</v>
      </c>
      <c r="I3566" s="167">
        <f>I1943</f>
        <v>622.6</v>
      </c>
      <c r="J3566" s="154" t="s">
        <v>576</v>
      </c>
      <c r="K3566" s="167">
        <f>(F3566*I3566)</f>
        <v>311.3</v>
      </c>
      <c r="S3566" s="596"/>
      <c r="T3566" s="597"/>
      <c r="U3566" s="596" t="s">
        <v>3187</v>
      </c>
      <c r="V3566" s="596"/>
      <c r="W3566" s="598"/>
      <c r="X3566" s="596">
        <f>SUM(X3556:X3565)</f>
        <v>8771.0880799999995</v>
      </c>
    </row>
    <row r="3567" spans="6:24" ht="24" customHeight="1">
      <c r="F3567" s="167">
        <v>1</v>
      </c>
      <c r="G3567" s="165" t="s">
        <v>576</v>
      </c>
      <c r="H3567" s="154" t="s">
        <v>754</v>
      </c>
      <c r="I3567" s="167">
        <f>I1944</f>
        <v>468.6</v>
      </c>
      <c r="J3567" s="154" t="s">
        <v>576</v>
      </c>
      <c r="K3567" s="167">
        <f>(F3567*I3567)</f>
        <v>468.6</v>
      </c>
      <c r="S3567" s="596"/>
      <c r="T3567" s="597"/>
      <c r="U3567" s="596" t="s">
        <v>2662</v>
      </c>
      <c r="V3567" s="596"/>
      <c r="W3567" s="598"/>
      <c r="X3567" s="596">
        <f>X3566/S3557</f>
        <v>3093.8582292768965</v>
      </c>
    </row>
    <row r="3568" spans="6:24" ht="24" customHeight="1">
      <c r="F3568" s="167">
        <v>0.5</v>
      </c>
      <c r="G3568" s="165" t="s">
        <v>576</v>
      </c>
      <c r="H3568" s="154" t="s">
        <v>778</v>
      </c>
      <c r="I3568" s="167">
        <f>I1945</f>
        <v>717.2</v>
      </c>
      <c r="J3568" s="154" t="s">
        <v>576</v>
      </c>
      <c r="K3568" s="167">
        <f>(F3568*I3568)</f>
        <v>358.6</v>
      </c>
    </row>
    <row r="3569" spans="6:24" ht="24" customHeight="1">
      <c r="G3569" s="165" t="s">
        <v>589</v>
      </c>
      <c r="H3569" s="154" t="s">
        <v>2367</v>
      </c>
      <c r="J3569" s="154" t="s">
        <v>589</v>
      </c>
      <c r="K3569" s="167">
        <v>0.82</v>
      </c>
    </row>
    <row r="3570" spans="6:24" ht="24" customHeight="1">
      <c r="K3570" s="162" t="s">
        <v>534</v>
      </c>
      <c r="S3570" s="596"/>
      <c r="T3570" s="597"/>
      <c r="U3570" s="596" t="s">
        <v>3188</v>
      </c>
      <c r="V3570" s="596"/>
      <c r="W3570" s="598"/>
    </row>
    <row r="3571" spans="6:24" ht="24" customHeight="1">
      <c r="H3571" s="154" t="s">
        <v>1299</v>
      </c>
      <c r="K3571" s="166">
        <f>SUM(K3559:K3569)</f>
        <v>2855.32</v>
      </c>
      <c r="S3571" s="76"/>
      <c r="T3571" s="156"/>
      <c r="U3571" s="596" t="s">
        <v>3189</v>
      </c>
      <c r="V3571" s="76">
        <f>1.4*2.325</f>
        <v>3.2549999999999999</v>
      </c>
      <c r="W3571" s="158"/>
    </row>
    <row r="3572" spans="6:24" ht="24" customHeight="1">
      <c r="K3572" s="162" t="s">
        <v>534</v>
      </c>
      <c r="S3572" s="596">
        <f>V3571</f>
        <v>3.2549999999999999</v>
      </c>
      <c r="T3572" s="597" t="s">
        <v>916</v>
      </c>
      <c r="U3572" s="596" t="s">
        <v>3169</v>
      </c>
      <c r="V3572" s="596">
        <f>V3556</f>
        <v>2190</v>
      </c>
      <c r="W3572" s="597" t="s">
        <v>916</v>
      </c>
      <c r="X3572" s="596">
        <f>V3572*S3572</f>
        <v>7128.45</v>
      </c>
    </row>
    <row r="3573" spans="6:24" ht="24" customHeight="1">
      <c r="G3573" s="76"/>
      <c r="I3573" s="159"/>
      <c r="J3573" s="76"/>
      <c r="S3573" s="596">
        <f>V3571</f>
        <v>3.2549999999999999</v>
      </c>
      <c r="T3573" s="597" t="s">
        <v>916</v>
      </c>
      <c r="U3573" s="596" t="s">
        <v>3172</v>
      </c>
      <c r="V3573" s="596">
        <f t="shared" ref="V3573:V3581" si="324">V3557</f>
        <v>216</v>
      </c>
      <c r="W3573" s="597" t="s">
        <v>916</v>
      </c>
      <c r="X3573" s="596">
        <f t="shared" ref="X3573:X3581" si="325">V3573*S3573</f>
        <v>703.07999999999993</v>
      </c>
    </row>
    <row r="3574" spans="6:24" ht="35.1" customHeight="1">
      <c r="G3574" s="76"/>
      <c r="H3574" s="609" t="s">
        <v>3190</v>
      </c>
      <c r="I3574" s="159"/>
      <c r="J3574" s="76"/>
      <c r="S3574" s="596">
        <v>4</v>
      </c>
      <c r="T3574" s="597" t="s">
        <v>680</v>
      </c>
      <c r="U3574" s="596" t="s">
        <v>3155</v>
      </c>
      <c r="V3574" s="596">
        <f t="shared" si="324"/>
        <v>50.4</v>
      </c>
      <c r="W3574" s="597" t="s">
        <v>680</v>
      </c>
      <c r="X3574" s="596">
        <f t="shared" si="325"/>
        <v>201.6</v>
      </c>
    </row>
    <row r="3575" spans="6:24" ht="35.1" customHeight="1">
      <c r="F3575" s="76">
        <v>70</v>
      </c>
      <c r="G3575" s="156" t="s">
        <v>41</v>
      </c>
      <c r="H3575" s="260" t="s">
        <v>3191</v>
      </c>
      <c r="I3575" s="264">
        <f>P1353</f>
        <v>33</v>
      </c>
      <c r="J3575" s="158" t="s">
        <v>3192</v>
      </c>
      <c r="K3575" s="76">
        <f>I3575*F3575</f>
        <v>2310</v>
      </c>
      <c r="S3575" s="596">
        <v>12</v>
      </c>
      <c r="T3575" s="597" t="s">
        <v>680</v>
      </c>
      <c r="U3575" s="596" t="s">
        <v>3157</v>
      </c>
      <c r="V3575" s="596">
        <f t="shared" si="324"/>
        <v>78.400000000000006</v>
      </c>
      <c r="W3575" s="597" t="s">
        <v>680</v>
      </c>
      <c r="X3575" s="596">
        <f t="shared" si="325"/>
        <v>940.80000000000007</v>
      </c>
    </row>
    <row r="3576" spans="6:24" ht="35.1" customHeight="1">
      <c r="F3576" s="76">
        <v>0.3</v>
      </c>
      <c r="G3576" s="156" t="s">
        <v>421</v>
      </c>
      <c r="H3576" s="260" t="s">
        <v>3193</v>
      </c>
      <c r="I3576" s="264">
        <f>P1355</f>
        <v>17600</v>
      </c>
      <c r="J3576" s="158" t="s">
        <v>3194</v>
      </c>
      <c r="K3576" s="76">
        <f>I3576*F3576</f>
        <v>5280</v>
      </c>
      <c r="S3576" s="596">
        <v>3</v>
      </c>
      <c r="T3576" s="597" t="s">
        <v>680</v>
      </c>
      <c r="U3576" s="596" t="s">
        <v>3159</v>
      </c>
      <c r="V3576" s="596">
        <f t="shared" si="324"/>
        <v>56.7</v>
      </c>
      <c r="W3576" s="597" t="s">
        <v>680</v>
      </c>
      <c r="X3576" s="596">
        <f t="shared" si="325"/>
        <v>170.10000000000002</v>
      </c>
    </row>
    <row r="3577" spans="6:24" ht="35.1" customHeight="1">
      <c r="H3577" s="76" t="s">
        <v>3195</v>
      </c>
      <c r="K3577" s="76">
        <f>SUM(K3575:K3576)</f>
        <v>7590</v>
      </c>
      <c r="S3577" s="596">
        <v>1</v>
      </c>
      <c r="T3577" s="597" t="s">
        <v>680</v>
      </c>
      <c r="U3577" s="596" t="s">
        <v>3117</v>
      </c>
      <c r="V3577" s="596">
        <f t="shared" si="324"/>
        <v>158.19999999999999</v>
      </c>
      <c r="W3577" s="597" t="s">
        <v>680</v>
      </c>
      <c r="X3577" s="596">
        <f t="shared" si="325"/>
        <v>158.19999999999999</v>
      </c>
    </row>
    <row r="3578" spans="6:24" ht="35.1" customHeight="1">
      <c r="H3578" s="199" t="s">
        <v>3196</v>
      </c>
      <c r="I3578" s="199"/>
      <c r="J3578" s="207"/>
      <c r="K3578" s="199">
        <f>K3577/10</f>
        <v>759</v>
      </c>
      <c r="S3578" s="596">
        <v>162</v>
      </c>
      <c r="T3578" s="597" t="s">
        <v>680</v>
      </c>
      <c r="U3578" s="596" t="s">
        <v>3154</v>
      </c>
      <c r="V3578" s="596">
        <f t="shared" si="324"/>
        <v>2.35</v>
      </c>
      <c r="W3578" s="597" t="s">
        <v>680</v>
      </c>
      <c r="X3578" s="596">
        <f t="shared" si="325"/>
        <v>380.7</v>
      </c>
    </row>
    <row r="3579" spans="6:24" ht="35.1" customHeight="1">
      <c r="F3579" s="76">
        <v>1</v>
      </c>
      <c r="G3579" s="156" t="s">
        <v>3197</v>
      </c>
      <c r="H3579" s="76" t="s">
        <v>3198</v>
      </c>
      <c r="I3579" s="76">
        <f>K3578</f>
        <v>759</v>
      </c>
      <c r="J3579" s="158" t="s">
        <v>3197</v>
      </c>
      <c r="K3579" s="76">
        <f>I3579*F3579</f>
        <v>759</v>
      </c>
      <c r="S3579" s="596">
        <v>2</v>
      </c>
      <c r="T3579" s="597" t="s">
        <v>680</v>
      </c>
      <c r="U3579" s="596" t="s">
        <v>3162</v>
      </c>
      <c r="V3579" s="596">
        <f t="shared" si="324"/>
        <v>22.5</v>
      </c>
      <c r="W3579" s="597" t="s">
        <v>680</v>
      </c>
      <c r="X3579" s="596">
        <f t="shared" si="325"/>
        <v>45</v>
      </c>
    </row>
    <row r="3580" spans="6:24" ht="35.1" customHeight="1">
      <c r="F3580" s="76">
        <v>2</v>
      </c>
      <c r="G3580" s="156" t="s">
        <v>3</v>
      </c>
      <c r="H3580" s="260" t="s">
        <v>2605</v>
      </c>
      <c r="I3580" s="264">
        <f>I2349</f>
        <v>468.6</v>
      </c>
      <c r="J3580" s="158" t="s">
        <v>332</v>
      </c>
      <c r="K3580" s="76">
        <f>I3580*F3580</f>
        <v>937.2</v>
      </c>
      <c r="S3580" s="596">
        <v>2</v>
      </c>
      <c r="T3580" s="597" t="s">
        <v>680</v>
      </c>
      <c r="U3580" s="596" t="s">
        <v>3158</v>
      </c>
      <c r="V3580" s="596">
        <f t="shared" si="324"/>
        <v>43.8</v>
      </c>
      <c r="W3580" s="597" t="s">
        <v>680</v>
      </c>
      <c r="X3580" s="596">
        <f t="shared" si="325"/>
        <v>87.6</v>
      </c>
    </row>
    <row r="3581" spans="6:24" ht="35.1" customHeight="1">
      <c r="H3581" s="76" t="s">
        <v>3199</v>
      </c>
      <c r="K3581" s="76">
        <v>10.3</v>
      </c>
      <c r="S3581" s="604">
        <v>0.73</v>
      </c>
      <c r="T3581" s="605" t="s">
        <v>916</v>
      </c>
      <c r="U3581" s="600" t="s">
        <v>3177</v>
      </c>
      <c r="V3581" s="596">
        <f t="shared" si="324"/>
        <v>189.04319999999998</v>
      </c>
      <c r="W3581" s="605" t="s">
        <v>916</v>
      </c>
      <c r="X3581" s="600">
        <f t="shared" si="325"/>
        <v>138.00153599999999</v>
      </c>
    </row>
    <row r="3582" spans="6:24" ht="35.1" customHeight="1">
      <c r="H3582" s="76" t="s">
        <v>3200</v>
      </c>
      <c r="K3582" s="76">
        <f>SUM(K3579:K3581)</f>
        <v>1706.5</v>
      </c>
      <c r="S3582" s="596"/>
      <c r="T3582" s="597"/>
      <c r="U3582" s="596" t="s">
        <v>3164</v>
      </c>
      <c r="V3582" s="596"/>
      <c r="W3582" s="598"/>
      <c r="X3582" s="596">
        <f>SUM(X3572:X3581)</f>
        <v>9953.5315360000022</v>
      </c>
    </row>
    <row r="3583" spans="6:24" s="199" customFormat="1" ht="35.1" customHeight="1">
      <c r="G3583" s="227"/>
      <c r="H3583" s="199" t="s">
        <v>3201</v>
      </c>
      <c r="J3583" s="207"/>
      <c r="K3583" s="199">
        <f>K3582/6</f>
        <v>284.41666666666669</v>
      </c>
      <c r="S3583" s="596"/>
      <c r="T3583" s="597"/>
      <c r="U3583" s="596" t="s">
        <v>2662</v>
      </c>
      <c r="V3583" s="596"/>
      <c r="W3583" s="598"/>
      <c r="X3583" s="596">
        <f>X3582/S3573</f>
        <v>3057.9205947772666</v>
      </c>
    </row>
    <row r="3584" spans="6:24" ht="35.1" customHeight="1">
      <c r="H3584" s="199" t="s">
        <v>3202</v>
      </c>
    </row>
    <row r="3585" spans="6:24" ht="35.1" customHeight="1">
      <c r="F3585" s="76">
        <v>49</v>
      </c>
      <c r="G3585" s="156" t="s">
        <v>3203</v>
      </c>
      <c r="H3585" s="76" t="s">
        <v>3204</v>
      </c>
      <c r="I3585" s="76">
        <f>I3575</f>
        <v>33</v>
      </c>
      <c r="J3585" s="158" t="s">
        <v>3192</v>
      </c>
      <c r="K3585" s="76">
        <f>F3585*I3585</f>
        <v>1617</v>
      </c>
      <c r="S3585" s="596"/>
      <c r="T3585" s="597"/>
      <c r="U3585" s="596" t="s">
        <v>3205</v>
      </c>
      <c r="V3585" s="596"/>
      <c r="W3585" s="598"/>
    </row>
    <row r="3586" spans="6:24" ht="35.1" customHeight="1">
      <c r="F3586" s="76">
        <v>0.3</v>
      </c>
      <c r="G3586" s="156" t="s">
        <v>421</v>
      </c>
      <c r="H3586" s="76" t="s">
        <v>3206</v>
      </c>
      <c r="I3586" s="76">
        <f>I3576</f>
        <v>17600</v>
      </c>
      <c r="J3586" s="158" t="s">
        <v>421</v>
      </c>
      <c r="K3586" s="76">
        <f>F3586*I3586</f>
        <v>5280</v>
      </c>
      <c r="S3586" s="76"/>
      <c r="T3586" s="156"/>
      <c r="U3586" s="599" t="s">
        <v>3207</v>
      </c>
      <c r="V3586" s="596">
        <f>1.7*2.325</f>
        <v>3.9525000000000001</v>
      </c>
      <c r="W3586" s="158"/>
    </row>
    <row r="3587" spans="6:24" ht="35.1" customHeight="1">
      <c r="H3587" s="199" t="s">
        <v>3208</v>
      </c>
      <c r="K3587" s="199">
        <f>SUM(K3585:K3586)</f>
        <v>6897</v>
      </c>
      <c r="S3587" s="596">
        <f>V3586</f>
        <v>3.9525000000000001</v>
      </c>
      <c r="T3587" s="597" t="s">
        <v>916</v>
      </c>
      <c r="U3587" s="596" t="s">
        <v>3169</v>
      </c>
      <c r="V3587" s="596">
        <f>V3572</f>
        <v>2190</v>
      </c>
      <c r="W3587" s="597" t="s">
        <v>916</v>
      </c>
      <c r="X3587" s="596">
        <f>V3587*S3587</f>
        <v>8655.9750000000004</v>
      </c>
    </row>
    <row r="3588" spans="6:24" ht="35.1" customHeight="1">
      <c r="H3588" s="199" t="s">
        <v>3196</v>
      </c>
      <c r="K3588" s="199">
        <f>K3587/10</f>
        <v>689.7</v>
      </c>
      <c r="S3588" s="596">
        <f>S3587</f>
        <v>3.9525000000000001</v>
      </c>
      <c r="T3588" s="597" t="s">
        <v>916</v>
      </c>
      <c r="U3588" s="596" t="s">
        <v>3172</v>
      </c>
      <c r="V3588" s="596">
        <f t="shared" ref="V3588:V3595" si="326">V3573</f>
        <v>216</v>
      </c>
      <c r="W3588" s="597" t="s">
        <v>916</v>
      </c>
      <c r="X3588" s="596">
        <f t="shared" ref="X3588:X3596" si="327">V3588*S3588</f>
        <v>853.74</v>
      </c>
    </row>
    <row r="3589" spans="6:24" ht="35.1" customHeight="1">
      <c r="F3589" s="76">
        <v>2</v>
      </c>
      <c r="G3589" s="156" t="s">
        <v>2280</v>
      </c>
      <c r="H3589" s="264" t="s">
        <v>2605</v>
      </c>
      <c r="I3589" s="76">
        <f>I3580</f>
        <v>468.6</v>
      </c>
      <c r="J3589" s="158" t="s">
        <v>2280</v>
      </c>
      <c r="K3589" s="76">
        <f>F3589*I3589</f>
        <v>937.2</v>
      </c>
      <c r="S3589" s="596">
        <v>4</v>
      </c>
      <c r="T3589" s="597" t="s">
        <v>680</v>
      </c>
      <c r="U3589" s="596" t="s">
        <v>3155</v>
      </c>
      <c r="V3589" s="596">
        <f t="shared" si="326"/>
        <v>50.4</v>
      </c>
      <c r="W3589" s="597" t="s">
        <v>680</v>
      </c>
      <c r="X3589" s="596">
        <f t="shared" si="327"/>
        <v>201.6</v>
      </c>
    </row>
    <row r="3590" spans="6:24" ht="35.1" customHeight="1">
      <c r="H3590" s="264" t="s">
        <v>3209</v>
      </c>
      <c r="K3590" s="76">
        <v>4.3499999999999996</v>
      </c>
      <c r="S3590" s="596">
        <v>10</v>
      </c>
      <c r="T3590" s="597" t="s">
        <v>680</v>
      </c>
      <c r="U3590" s="596" t="s">
        <v>3157</v>
      </c>
      <c r="V3590" s="596">
        <f t="shared" si="326"/>
        <v>78.400000000000006</v>
      </c>
      <c r="W3590" s="597" t="s">
        <v>680</v>
      </c>
      <c r="X3590" s="596">
        <f t="shared" si="327"/>
        <v>784</v>
      </c>
    </row>
    <row r="3591" spans="6:24" ht="35.1" customHeight="1">
      <c r="H3591" s="264" t="s">
        <v>3210</v>
      </c>
      <c r="K3591" s="76">
        <f>SUM(K3588:K3590)</f>
        <v>1631.25</v>
      </c>
      <c r="S3591" s="596">
        <v>3</v>
      </c>
      <c r="T3591" s="597" t="s">
        <v>680</v>
      </c>
      <c r="U3591" s="596" t="s">
        <v>3159</v>
      </c>
      <c r="V3591" s="596">
        <f t="shared" si="326"/>
        <v>56.7</v>
      </c>
      <c r="W3591" s="597" t="s">
        <v>680</v>
      </c>
      <c r="X3591" s="596">
        <f t="shared" si="327"/>
        <v>170.10000000000002</v>
      </c>
    </row>
    <row r="3592" spans="6:24" ht="35.1" customHeight="1">
      <c r="H3592" s="199" t="s">
        <v>3211</v>
      </c>
      <c r="I3592" s="199"/>
      <c r="J3592" s="207"/>
      <c r="K3592" s="199">
        <f>K3591/6</f>
        <v>271.875</v>
      </c>
      <c r="S3592" s="596">
        <v>1</v>
      </c>
      <c r="T3592" s="597" t="s">
        <v>680</v>
      </c>
      <c r="U3592" s="596" t="s">
        <v>3117</v>
      </c>
      <c r="V3592" s="596">
        <f t="shared" si="326"/>
        <v>158.19999999999999</v>
      </c>
      <c r="W3592" s="597" t="s">
        <v>680</v>
      </c>
      <c r="X3592" s="596">
        <f t="shared" si="327"/>
        <v>158.19999999999999</v>
      </c>
    </row>
    <row r="3593" spans="6:24" s="199" customFormat="1" ht="35.1" customHeight="1">
      <c r="G3593" s="227"/>
      <c r="H3593" s="264" t="s">
        <v>3212</v>
      </c>
      <c r="I3593" s="264"/>
      <c r="J3593" s="296"/>
      <c r="K3593" s="264">
        <f>K3583</f>
        <v>284.41666666666669</v>
      </c>
      <c r="S3593" s="596">
        <v>118</v>
      </c>
      <c r="T3593" s="597" t="s">
        <v>680</v>
      </c>
      <c r="U3593" s="596" t="s">
        <v>3154</v>
      </c>
      <c r="V3593" s="596">
        <f t="shared" si="326"/>
        <v>2.35</v>
      </c>
      <c r="W3593" s="597" t="s">
        <v>680</v>
      </c>
      <c r="X3593" s="596">
        <f t="shared" si="327"/>
        <v>277.3</v>
      </c>
    </row>
    <row r="3594" spans="6:24" s="199" customFormat="1" ht="35.1" customHeight="1">
      <c r="G3594" s="227"/>
      <c r="H3594" s="264" t="s">
        <v>3213</v>
      </c>
      <c r="I3594" s="264">
        <f>K3593</f>
        <v>284.41666666666669</v>
      </c>
      <c r="J3594" s="296">
        <f>K3592</f>
        <v>271.875</v>
      </c>
      <c r="K3594" s="264">
        <f>SUM(I3594:J3594)</f>
        <v>556.29166666666674</v>
      </c>
      <c r="S3594" s="596">
        <v>2</v>
      </c>
      <c r="T3594" s="597" t="s">
        <v>680</v>
      </c>
      <c r="U3594" s="596" t="s">
        <v>3162</v>
      </c>
      <c r="V3594" s="596">
        <f t="shared" si="326"/>
        <v>22.5</v>
      </c>
      <c r="W3594" s="597" t="s">
        <v>680</v>
      </c>
      <c r="X3594" s="596">
        <f t="shared" si="327"/>
        <v>45</v>
      </c>
    </row>
    <row r="3595" spans="6:24" s="199" customFormat="1" ht="35.1" customHeight="1">
      <c r="G3595" s="227"/>
      <c r="H3595" s="264" t="s">
        <v>3214</v>
      </c>
      <c r="I3595" s="264">
        <f>K3594</f>
        <v>556.29166666666674</v>
      </c>
      <c r="J3595" s="296">
        <f>J3594</f>
        <v>271.875</v>
      </c>
      <c r="K3595" s="264">
        <f>SUM(I3595:J3595)</f>
        <v>828.16666666666674</v>
      </c>
      <c r="S3595" s="596">
        <v>2</v>
      </c>
      <c r="T3595" s="597" t="s">
        <v>680</v>
      </c>
      <c r="U3595" s="596" t="s">
        <v>3158</v>
      </c>
      <c r="V3595" s="596">
        <f t="shared" si="326"/>
        <v>43.8</v>
      </c>
      <c r="W3595" s="597" t="s">
        <v>680</v>
      </c>
      <c r="X3595" s="596">
        <f t="shared" si="327"/>
        <v>87.6</v>
      </c>
    </row>
    <row r="3596" spans="6:24" s="199" customFormat="1" ht="35.1" customHeight="1">
      <c r="G3596" s="227"/>
      <c r="H3596" s="264" t="s">
        <v>3215</v>
      </c>
      <c r="I3596" s="264">
        <f>K3595</f>
        <v>828.16666666666674</v>
      </c>
      <c r="J3596" s="296">
        <f>J3595</f>
        <v>271.875</v>
      </c>
      <c r="K3596" s="264">
        <f>SUM(I3596:J3596)</f>
        <v>1100.0416666666667</v>
      </c>
      <c r="S3596" s="603"/>
      <c r="T3596" s="597"/>
      <c r="U3596" s="596"/>
      <c r="V3596" s="596"/>
      <c r="W3596" s="597" t="s">
        <v>916</v>
      </c>
      <c r="X3596" s="596">
        <f t="shared" si="327"/>
        <v>0</v>
      </c>
    </row>
    <row r="3597" spans="6:24" s="199" customFormat="1" ht="35.1" customHeight="1">
      <c r="G3597" s="227"/>
      <c r="H3597" s="264" t="s">
        <v>3216</v>
      </c>
      <c r="I3597" s="264">
        <f>K3596</f>
        <v>1100.0416666666667</v>
      </c>
      <c r="J3597" s="296">
        <f>J3596</f>
        <v>271.875</v>
      </c>
      <c r="K3597" s="264">
        <f>SUM(I3597:J3597)</f>
        <v>1371.9166666666667</v>
      </c>
      <c r="S3597" s="596"/>
      <c r="T3597" s="597"/>
      <c r="U3597" s="596" t="s">
        <v>3217</v>
      </c>
      <c r="V3597" s="596"/>
      <c r="W3597" s="598"/>
      <c r="X3597" s="596">
        <f>SUM(X3587:X3596)</f>
        <v>11233.515000000001</v>
      </c>
    </row>
    <row r="3598" spans="6:24" ht="24" customHeight="1">
      <c r="S3598" s="596"/>
      <c r="T3598" s="597"/>
      <c r="U3598" s="596" t="s">
        <v>2662</v>
      </c>
      <c r="V3598" s="596"/>
      <c r="W3598" s="598"/>
      <c r="X3598" s="596">
        <f>X3597/S3588</f>
        <v>2842.1290322580649</v>
      </c>
    </row>
    <row r="3599" spans="6:24" ht="24" customHeight="1">
      <c r="F3599" s="155"/>
      <c r="G3599" s="165" t="s">
        <v>307</v>
      </c>
      <c r="H3599" s="157" t="s">
        <v>3218</v>
      </c>
      <c r="L3599" s="158"/>
      <c r="S3599" s="76"/>
      <c r="T3599" s="156"/>
      <c r="U3599" s="596"/>
      <c r="W3599" s="158"/>
      <c r="X3599" s="596"/>
    </row>
    <row r="3600" spans="6:24" ht="24" customHeight="1">
      <c r="H3600" s="157" t="s">
        <v>3219</v>
      </c>
      <c r="L3600" s="154"/>
    </row>
    <row r="3601" spans="6:24" ht="24" customHeight="1">
      <c r="H3601" s="162" t="s">
        <v>534</v>
      </c>
      <c r="L3601" s="154"/>
    </row>
    <row r="3602" spans="6:24" ht="24" customHeight="1">
      <c r="F3602" s="286">
        <v>7.0699999999999999E-2</v>
      </c>
      <c r="G3602" s="165" t="s">
        <v>421</v>
      </c>
      <c r="H3602" s="154" t="s">
        <v>1855</v>
      </c>
      <c r="I3602" s="167">
        <f>I2816</f>
        <v>99400</v>
      </c>
      <c r="J3602" s="154" t="s">
        <v>577</v>
      </c>
      <c r="K3602" s="167">
        <f t="shared" ref="K3602:K3610" si="328">(F3602*I3602)</f>
        <v>7027.58</v>
      </c>
      <c r="L3602" s="154"/>
      <c r="S3602" s="596"/>
      <c r="T3602" s="597"/>
      <c r="U3602" s="596" t="s">
        <v>3220</v>
      </c>
      <c r="V3602" s="596"/>
      <c r="W3602" s="598"/>
    </row>
    <row r="3603" spans="6:24" ht="24" customHeight="1">
      <c r="F3603" s="286">
        <v>5.16</v>
      </c>
      <c r="G3603" s="165" t="s">
        <v>916</v>
      </c>
      <c r="H3603" s="154" t="s">
        <v>3221</v>
      </c>
      <c r="I3603" s="167">
        <v>537</v>
      </c>
      <c r="J3603" s="154" t="s">
        <v>577</v>
      </c>
      <c r="K3603" s="167">
        <f t="shared" si="328"/>
        <v>2770.92</v>
      </c>
      <c r="L3603" s="154"/>
      <c r="S3603" s="76"/>
      <c r="T3603" s="156"/>
      <c r="U3603" s="599" t="s">
        <v>3222</v>
      </c>
      <c r="V3603" s="596">
        <f>1.7*2.025</f>
        <v>3.4424999999999999</v>
      </c>
      <c r="W3603" s="158"/>
    </row>
    <row r="3604" spans="6:24" ht="24" customHeight="1">
      <c r="F3604" s="286">
        <v>3.6659999999999999</v>
      </c>
      <c r="G3604" s="165" t="s">
        <v>916</v>
      </c>
      <c r="H3604" s="154" t="s">
        <v>3223</v>
      </c>
      <c r="I3604" s="195">
        <f>P1395</f>
        <v>208.8</v>
      </c>
      <c r="J3604" s="154" t="s">
        <v>916</v>
      </c>
      <c r="K3604" s="167">
        <f t="shared" si="328"/>
        <v>765.46080000000006</v>
      </c>
      <c r="L3604" s="154"/>
      <c r="S3604" s="596">
        <f>V3603</f>
        <v>3.4424999999999999</v>
      </c>
      <c r="T3604" s="597" t="s">
        <v>916</v>
      </c>
      <c r="U3604" s="596" t="s">
        <v>3169</v>
      </c>
      <c r="V3604" s="596">
        <f>V3587</f>
        <v>2190</v>
      </c>
      <c r="W3604" s="597" t="s">
        <v>916</v>
      </c>
      <c r="X3604" s="596">
        <f>V3604*S3604</f>
        <v>7539.0749999999998</v>
      </c>
    </row>
    <row r="3605" spans="6:24" ht="24" customHeight="1">
      <c r="F3605" s="167">
        <v>22.66</v>
      </c>
      <c r="G3605" s="165" t="s">
        <v>41</v>
      </c>
      <c r="H3605" s="154" t="s">
        <v>3224</v>
      </c>
      <c r="I3605" s="167">
        <v>14.4</v>
      </c>
      <c r="J3605" s="165" t="s">
        <v>41</v>
      </c>
      <c r="K3605" s="167">
        <f t="shared" si="328"/>
        <v>326.30400000000003</v>
      </c>
      <c r="L3605" s="154"/>
      <c r="S3605" s="596">
        <f>S3604</f>
        <v>3.4424999999999999</v>
      </c>
      <c r="T3605" s="597" t="s">
        <v>916</v>
      </c>
      <c r="U3605" s="596" t="s">
        <v>3172</v>
      </c>
      <c r="V3605" s="596">
        <f t="shared" ref="V3605:V3612" si="329">V3588</f>
        <v>216</v>
      </c>
      <c r="W3605" s="597" t="s">
        <v>916</v>
      </c>
      <c r="X3605" s="596">
        <f t="shared" ref="X3605:X3613" si="330">V3605*S3605</f>
        <v>743.57999999999993</v>
      </c>
    </row>
    <row r="3606" spans="6:24" ht="24" customHeight="1">
      <c r="F3606" s="167">
        <v>15</v>
      </c>
      <c r="G3606" s="165" t="s">
        <v>576</v>
      </c>
      <c r="H3606" s="154" t="s">
        <v>1813</v>
      </c>
      <c r="I3606" s="167">
        <v>69.849999999999994</v>
      </c>
      <c r="J3606" s="154" t="s">
        <v>576</v>
      </c>
      <c r="K3606" s="167">
        <f>(F3605*I3606)</f>
        <v>1582.8009999999999</v>
      </c>
      <c r="L3606" s="154"/>
      <c r="S3606" s="596">
        <v>4</v>
      </c>
      <c r="T3606" s="597" t="s">
        <v>680</v>
      </c>
      <c r="U3606" s="596" t="s">
        <v>3155</v>
      </c>
      <c r="V3606" s="596">
        <f t="shared" si="329"/>
        <v>50.4</v>
      </c>
      <c r="W3606" s="597" t="s">
        <v>680</v>
      </c>
      <c r="X3606" s="596">
        <f t="shared" si="330"/>
        <v>201.6</v>
      </c>
    </row>
    <row r="3607" spans="6:24" ht="24" customHeight="1">
      <c r="F3607" s="167">
        <v>10</v>
      </c>
      <c r="G3607" s="165" t="s">
        <v>576</v>
      </c>
      <c r="H3607" s="154" t="s">
        <v>3225</v>
      </c>
      <c r="I3607" s="167">
        <v>64.05</v>
      </c>
      <c r="J3607" s="154" t="s">
        <v>576</v>
      </c>
      <c r="K3607" s="167">
        <f>(F3606*I3607)</f>
        <v>960.75</v>
      </c>
      <c r="L3607" s="154"/>
      <c r="S3607" s="596">
        <v>10</v>
      </c>
      <c r="T3607" s="597" t="s">
        <v>680</v>
      </c>
      <c r="U3607" s="596" t="s">
        <v>3157</v>
      </c>
      <c r="V3607" s="596">
        <f t="shared" si="329"/>
        <v>78.400000000000006</v>
      </c>
      <c r="W3607" s="597" t="s">
        <v>680</v>
      </c>
      <c r="X3607" s="596">
        <f t="shared" si="330"/>
        <v>784</v>
      </c>
    </row>
    <row r="3608" spans="6:24" ht="24" customHeight="1">
      <c r="F3608" s="167">
        <v>5</v>
      </c>
      <c r="G3608" s="165" t="s">
        <v>576</v>
      </c>
      <c r="H3608" s="154" t="s">
        <v>3226</v>
      </c>
      <c r="I3608" s="167">
        <v>50.6</v>
      </c>
      <c r="J3608" s="154" t="s">
        <v>576</v>
      </c>
      <c r="K3608" s="167">
        <f>(F3609*I3608)</f>
        <v>253</v>
      </c>
      <c r="L3608" s="158"/>
      <c r="S3608" s="596">
        <v>3</v>
      </c>
      <c r="T3608" s="597" t="s">
        <v>680</v>
      </c>
      <c r="U3608" s="596" t="s">
        <v>3159</v>
      </c>
      <c r="V3608" s="596">
        <f t="shared" si="329"/>
        <v>56.7</v>
      </c>
      <c r="W3608" s="597" t="s">
        <v>680</v>
      </c>
      <c r="X3608" s="596">
        <f t="shared" si="330"/>
        <v>170.10000000000002</v>
      </c>
    </row>
    <row r="3609" spans="6:24" ht="24" customHeight="1">
      <c r="F3609" s="167">
        <v>5</v>
      </c>
      <c r="G3609" s="165" t="s">
        <v>576</v>
      </c>
      <c r="H3609" s="154" t="s">
        <v>1861</v>
      </c>
      <c r="I3609" s="167">
        <v>7.3</v>
      </c>
      <c r="J3609" s="154" t="s">
        <v>576</v>
      </c>
      <c r="K3609" s="167">
        <f>(F3607*I3609)</f>
        <v>73</v>
      </c>
      <c r="L3609" s="158"/>
      <c r="S3609" s="596">
        <v>1</v>
      </c>
      <c r="T3609" s="597" t="s">
        <v>680</v>
      </c>
      <c r="U3609" s="596" t="s">
        <v>3117</v>
      </c>
      <c r="V3609" s="596">
        <f t="shared" si="329"/>
        <v>158.19999999999999</v>
      </c>
      <c r="W3609" s="597" t="s">
        <v>680</v>
      </c>
      <c r="X3609" s="596">
        <f t="shared" si="330"/>
        <v>158.19999999999999</v>
      </c>
    </row>
    <row r="3610" spans="6:24" ht="24" customHeight="1">
      <c r="F3610" s="167">
        <v>10</v>
      </c>
      <c r="H3610" s="154" t="s">
        <v>1815</v>
      </c>
      <c r="I3610" s="167">
        <f>I3432</f>
        <v>2.35</v>
      </c>
      <c r="J3610" s="154" t="s">
        <v>576</v>
      </c>
      <c r="K3610" s="167">
        <f t="shared" si="328"/>
        <v>23.5</v>
      </c>
      <c r="L3610" s="158"/>
      <c r="S3610" s="596">
        <v>118</v>
      </c>
      <c r="T3610" s="597" t="s">
        <v>680</v>
      </c>
      <c r="U3610" s="596" t="s">
        <v>3154</v>
      </c>
      <c r="V3610" s="596">
        <f t="shared" si="329"/>
        <v>2.35</v>
      </c>
      <c r="W3610" s="597" t="s">
        <v>680</v>
      </c>
      <c r="X3610" s="596">
        <f t="shared" si="330"/>
        <v>277.3</v>
      </c>
    </row>
    <row r="3611" spans="6:24" ht="24" customHeight="1">
      <c r="K3611" s="162" t="s">
        <v>534</v>
      </c>
      <c r="L3611" s="158"/>
      <c r="S3611" s="596">
        <v>2</v>
      </c>
      <c r="T3611" s="597" t="s">
        <v>680</v>
      </c>
      <c r="U3611" s="596" t="s">
        <v>3162</v>
      </c>
      <c r="V3611" s="596">
        <f t="shared" si="329"/>
        <v>22.5</v>
      </c>
      <c r="W3611" s="597" t="s">
        <v>680</v>
      </c>
      <c r="X3611" s="596">
        <f t="shared" si="330"/>
        <v>45</v>
      </c>
    </row>
    <row r="3612" spans="6:24" ht="24" customHeight="1">
      <c r="H3612" s="155" t="s">
        <v>3227</v>
      </c>
      <c r="K3612" s="167">
        <f>SUM(K3598:K3610)</f>
        <v>13783.3158</v>
      </c>
      <c r="L3612" s="158"/>
      <c r="S3612" s="596">
        <v>2</v>
      </c>
      <c r="T3612" s="597" t="s">
        <v>680</v>
      </c>
      <c r="U3612" s="596" t="s">
        <v>3158</v>
      </c>
      <c r="V3612" s="596">
        <f t="shared" si="329"/>
        <v>43.8</v>
      </c>
      <c r="W3612" s="597" t="s">
        <v>680</v>
      </c>
      <c r="X3612" s="596">
        <f t="shared" si="330"/>
        <v>87.6</v>
      </c>
    </row>
    <row r="3613" spans="6:24" ht="24" customHeight="1">
      <c r="K3613" s="162" t="s">
        <v>534</v>
      </c>
      <c r="L3613" s="158"/>
      <c r="S3613" s="603"/>
      <c r="T3613" s="597"/>
      <c r="U3613" s="596"/>
      <c r="V3613" s="596"/>
      <c r="W3613" s="597" t="s">
        <v>916</v>
      </c>
      <c r="X3613" s="596">
        <f t="shared" si="330"/>
        <v>0</v>
      </c>
    </row>
    <row r="3614" spans="6:24" ht="24" customHeight="1">
      <c r="H3614" s="169" t="s">
        <v>881</v>
      </c>
      <c r="I3614" s="154" t="s">
        <v>22</v>
      </c>
      <c r="K3614" s="166">
        <f>K3612/F3603</f>
        <v>2671.1852325581394</v>
      </c>
      <c r="S3614" s="596"/>
      <c r="T3614" s="597"/>
      <c r="U3614" s="596" t="s">
        <v>3228</v>
      </c>
      <c r="V3614" s="596"/>
      <c r="W3614" s="598"/>
      <c r="X3614" s="596">
        <f>SUM(X3604:X3613)</f>
        <v>10006.455</v>
      </c>
    </row>
    <row r="3615" spans="6:24" ht="24" customHeight="1">
      <c r="K3615" s="162" t="s">
        <v>528</v>
      </c>
      <c r="S3615" s="596"/>
      <c r="T3615" s="597"/>
      <c r="U3615" s="596" t="s">
        <v>2662</v>
      </c>
      <c r="V3615" s="596"/>
      <c r="W3615" s="598"/>
      <c r="X3615" s="596">
        <f>X3614/S3605</f>
        <v>2906.7407407407409</v>
      </c>
    </row>
    <row r="3616" spans="6:24" ht="24" customHeight="1">
      <c r="F3616" s="155" t="s">
        <v>1869</v>
      </c>
      <c r="G3616" s="165" t="s">
        <v>307</v>
      </c>
      <c r="H3616" s="154" t="s">
        <v>3229</v>
      </c>
      <c r="S3616" s="76"/>
    </row>
    <row r="3617" spans="6:24" ht="24" customHeight="1">
      <c r="H3617" s="154" t="s">
        <v>3230</v>
      </c>
      <c r="S3617" s="596"/>
      <c r="T3617" s="597"/>
      <c r="U3617" s="596" t="s">
        <v>3231</v>
      </c>
      <c r="V3617" s="596"/>
      <c r="W3617" s="598"/>
    </row>
    <row r="3618" spans="6:24" ht="18.75" customHeight="1">
      <c r="H3618" s="162" t="s">
        <v>534</v>
      </c>
      <c r="S3618" s="76"/>
      <c r="T3618" s="156"/>
      <c r="U3618" s="599" t="s">
        <v>3232</v>
      </c>
      <c r="W3618" s="158">
        <f>1.1*2.025</f>
        <v>2.2275</v>
      </c>
    </row>
    <row r="3619" spans="6:24" ht="18.75" customHeight="1">
      <c r="H3619" s="338" t="s">
        <v>3233</v>
      </c>
      <c r="I3619" s="486" t="s">
        <v>528</v>
      </c>
      <c r="J3619" s="570">
        <f>0.65*0.65</f>
        <v>0.42250000000000004</v>
      </c>
      <c r="K3619" s="482" t="s">
        <v>250</v>
      </c>
      <c r="S3619" s="596">
        <f>W3618</f>
        <v>2.2275</v>
      </c>
      <c r="T3619" s="597" t="s">
        <v>916</v>
      </c>
      <c r="U3619" s="596" t="s">
        <v>3169</v>
      </c>
      <c r="V3619" s="596">
        <f>V3540</f>
        <v>2190</v>
      </c>
      <c r="W3619" s="597" t="s">
        <v>916</v>
      </c>
      <c r="X3619" s="596">
        <f>V3619*S3619</f>
        <v>4878.2250000000004</v>
      </c>
    </row>
    <row r="3620" spans="6:24" ht="18.75" customHeight="1">
      <c r="H3620" s="338"/>
      <c r="I3620" s="486"/>
      <c r="J3620" s="569"/>
      <c r="K3620" s="482"/>
      <c r="S3620" s="596">
        <f>S3619</f>
        <v>2.2275</v>
      </c>
      <c r="T3620" s="597" t="s">
        <v>916</v>
      </c>
      <c r="U3620" s="596" t="s">
        <v>3172</v>
      </c>
      <c r="V3620" s="596">
        <f>P3545</f>
        <v>122</v>
      </c>
      <c r="W3620" s="597" t="s">
        <v>916</v>
      </c>
      <c r="X3620" s="596">
        <f>V3620*S3620</f>
        <v>271.755</v>
      </c>
    </row>
    <row r="3621" spans="6:24" ht="18.75" customHeight="1">
      <c r="H3621" s="338" t="s">
        <v>3234</v>
      </c>
      <c r="I3621" s="486" t="s">
        <v>528</v>
      </c>
      <c r="J3621" s="570">
        <v>5.1999999999999998E-2</v>
      </c>
      <c r="K3621" s="482" t="s">
        <v>238</v>
      </c>
      <c r="S3621" s="596">
        <v>2</v>
      </c>
      <c r="T3621" s="597" t="s">
        <v>680</v>
      </c>
      <c r="U3621" s="596" t="s">
        <v>3155</v>
      </c>
      <c r="V3621" s="596">
        <f t="shared" ref="V3621:V3627" si="331">V3606</f>
        <v>50.4</v>
      </c>
      <c r="W3621" s="597" t="s">
        <v>680</v>
      </c>
      <c r="X3621" s="596">
        <f>V3620*S3621</f>
        <v>244</v>
      </c>
    </row>
    <row r="3622" spans="6:24" ht="18.75" customHeight="1">
      <c r="H3622" s="338" t="s">
        <v>2999</v>
      </c>
      <c r="J3622" s="571"/>
      <c r="K3622" s="482"/>
      <c r="S3622" s="596">
        <v>5</v>
      </c>
      <c r="T3622" s="597" t="s">
        <v>680</v>
      </c>
      <c r="U3622" s="596" t="s">
        <v>3157</v>
      </c>
      <c r="V3622" s="596">
        <f t="shared" si="331"/>
        <v>78.400000000000006</v>
      </c>
      <c r="W3622" s="597" t="s">
        <v>680</v>
      </c>
      <c r="X3622" s="596">
        <f>V3621*S3622</f>
        <v>252</v>
      </c>
    </row>
    <row r="3623" spans="6:24" ht="18.75" customHeight="1">
      <c r="H3623" s="338" t="s">
        <v>3235</v>
      </c>
      <c r="I3623" s="486" t="s">
        <v>528</v>
      </c>
      <c r="J3623" s="572">
        <v>1.772E-2</v>
      </c>
      <c r="K3623" s="482"/>
      <c r="S3623" s="596">
        <v>2</v>
      </c>
      <c r="T3623" s="597" t="s">
        <v>680</v>
      </c>
      <c r="U3623" s="596" t="s">
        <v>3159</v>
      </c>
      <c r="V3623" s="596">
        <f t="shared" si="331"/>
        <v>56.7</v>
      </c>
      <c r="W3623" s="597" t="s">
        <v>680</v>
      </c>
      <c r="X3623" s="596">
        <f>V3622*S3623</f>
        <v>156.80000000000001</v>
      </c>
    </row>
    <row r="3624" spans="6:24" ht="18.75" customHeight="1">
      <c r="H3624" s="162"/>
      <c r="S3624" s="596">
        <v>1</v>
      </c>
      <c r="T3624" s="597" t="s">
        <v>680</v>
      </c>
      <c r="U3624" s="596" t="s">
        <v>3117</v>
      </c>
      <c r="V3624" s="596">
        <f t="shared" si="331"/>
        <v>158.19999999999999</v>
      </c>
      <c r="W3624" s="597" t="s">
        <v>680</v>
      </c>
      <c r="X3624" s="596">
        <f>V3623*S3624</f>
        <v>56.7</v>
      </c>
    </row>
    <row r="3625" spans="6:24" ht="24" customHeight="1">
      <c r="F3625" s="286">
        <v>5.3E-3</v>
      </c>
      <c r="G3625" s="165" t="s">
        <v>421</v>
      </c>
      <c r="H3625" s="154" t="s">
        <v>1855</v>
      </c>
      <c r="I3625" s="167">
        <f>C2604</f>
        <v>0</v>
      </c>
      <c r="J3625" s="154" t="s">
        <v>577</v>
      </c>
      <c r="K3625" s="167">
        <f t="shared" ref="K3625:K3631" si="332">(F3625*I3625)</f>
        <v>0</v>
      </c>
      <c r="S3625" s="596">
        <v>92</v>
      </c>
      <c r="T3625" s="597" t="s">
        <v>680</v>
      </c>
      <c r="U3625" s="596" t="s">
        <v>3154</v>
      </c>
      <c r="V3625" s="596">
        <f t="shared" si="331"/>
        <v>2.35</v>
      </c>
      <c r="W3625" s="597" t="s">
        <v>680</v>
      </c>
      <c r="X3625" s="596">
        <f>V3625*S3625</f>
        <v>216.20000000000002</v>
      </c>
    </row>
    <row r="3626" spans="6:24" ht="24" customHeight="1">
      <c r="F3626" s="286">
        <v>0.27450000000000002</v>
      </c>
      <c r="G3626" s="165" t="s">
        <v>916</v>
      </c>
      <c r="H3626" s="154" t="str">
        <f>H3604</f>
        <v>4 mm thicj frosted glass</v>
      </c>
      <c r="I3626" s="167">
        <f>I3604</f>
        <v>208.8</v>
      </c>
      <c r="J3626" s="154" t="s">
        <v>577</v>
      </c>
      <c r="K3626" s="167">
        <f t="shared" si="332"/>
        <v>57.315600000000011</v>
      </c>
      <c r="S3626" s="596">
        <v>1</v>
      </c>
      <c r="T3626" s="597" t="s">
        <v>680</v>
      </c>
      <c r="U3626" s="596" t="s">
        <v>3162</v>
      </c>
      <c r="V3626" s="596">
        <f t="shared" si="331"/>
        <v>22.5</v>
      </c>
      <c r="W3626" s="597" t="s">
        <v>680</v>
      </c>
      <c r="X3626" s="596">
        <f>V3625*S3626</f>
        <v>2.35</v>
      </c>
    </row>
    <row r="3627" spans="6:24" ht="24" customHeight="1">
      <c r="F3627" s="286">
        <v>0.4</v>
      </c>
      <c r="G3627" s="165" t="s">
        <v>916</v>
      </c>
      <c r="H3627" s="154" t="s">
        <v>935</v>
      </c>
      <c r="I3627" s="167">
        <f>D2547</f>
        <v>0</v>
      </c>
      <c r="J3627" s="154" t="s">
        <v>916</v>
      </c>
      <c r="K3627" s="167">
        <f t="shared" si="332"/>
        <v>0</v>
      </c>
      <c r="S3627" s="596">
        <v>1</v>
      </c>
      <c r="T3627" s="597" t="s">
        <v>680</v>
      </c>
      <c r="U3627" s="596" t="s">
        <v>3158</v>
      </c>
      <c r="V3627" s="596">
        <f t="shared" si="331"/>
        <v>43.8</v>
      </c>
      <c r="W3627" s="597" t="s">
        <v>680</v>
      </c>
      <c r="X3627" s="596">
        <f>V3626*S3627</f>
        <v>22.5</v>
      </c>
    </row>
    <row r="3628" spans="6:24" ht="24" customHeight="1">
      <c r="F3628" s="167">
        <v>2</v>
      </c>
      <c r="G3628" s="165" t="s">
        <v>1872</v>
      </c>
      <c r="H3628" s="154" t="s">
        <v>1873</v>
      </c>
      <c r="I3628" s="167">
        <f>C2822</f>
        <v>0</v>
      </c>
      <c r="J3628" s="154" t="s">
        <v>1872</v>
      </c>
      <c r="K3628" s="167">
        <f t="shared" si="332"/>
        <v>0</v>
      </c>
      <c r="S3628" s="603"/>
      <c r="T3628" s="597" t="s">
        <v>916</v>
      </c>
      <c r="U3628" s="596"/>
      <c r="W3628" s="597" t="s">
        <v>916</v>
      </c>
      <c r="X3628" s="596">
        <f>V3627*S3628</f>
        <v>0</v>
      </c>
    </row>
    <row r="3629" spans="6:24" ht="24" customHeight="1">
      <c r="F3629" s="167">
        <v>1</v>
      </c>
      <c r="G3629" s="165" t="s">
        <v>576</v>
      </c>
      <c r="H3629" s="154" t="s">
        <v>1874</v>
      </c>
      <c r="I3629" s="167">
        <f>C2810</f>
        <v>0</v>
      </c>
      <c r="J3629" s="154" t="s">
        <v>576</v>
      </c>
      <c r="K3629" s="167">
        <f t="shared" si="332"/>
        <v>0</v>
      </c>
      <c r="S3629" s="596"/>
      <c r="T3629" s="597"/>
      <c r="U3629" s="596" t="s">
        <v>3161</v>
      </c>
      <c r="V3629" s="596"/>
      <c r="W3629" s="598"/>
      <c r="X3629" s="596">
        <f>SUM(X3619:X3628)</f>
        <v>6100.5300000000007</v>
      </c>
    </row>
    <row r="3630" spans="6:24" ht="24" customHeight="1">
      <c r="F3630" s="167">
        <v>1</v>
      </c>
      <c r="G3630" s="165" t="s">
        <v>576</v>
      </c>
      <c r="H3630" s="154" t="s">
        <v>1875</v>
      </c>
      <c r="I3630" s="167">
        <f>C2808</f>
        <v>0</v>
      </c>
      <c r="J3630" s="154" t="s">
        <v>576</v>
      </c>
      <c r="K3630" s="167">
        <f t="shared" si="332"/>
        <v>0</v>
      </c>
      <c r="S3630" s="596"/>
      <c r="T3630" s="597"/>
      <c r="U3630" s="596" t="s">
        <v>2662</v>
      </c>
      <c r="V3630" s="596"/>
      <c r="W3630" s="598"/>
      <c r="X3630" s="596">
        <f>X3629/S3620</f>
        <v>2738.7340067340069</v>
      </c>
    </row>
    <row r="3631" spans="6:24" ht="24" customHeight="1">
      <c r="F3631" s="167">
        <v>10</v>
      </c>
      <c r="H3631" s="154" t="s">
        <v>1815</v>
      </c>
      <c r="I3631" s="167">
        <f>I3610</f>
        <v>2.35</v>
      </c>
      <c r="J3631" s="154" t="s">
        <v>576</v>
      </c>
      <c r="K3631" s="167">
        <f t="shared" si="332"/>
        <v>23.5</v>
      </c>
    </row>
    <row r="3632" spans="6:24" ht="24" customHeight="1">
      <c r="K3632" s="162" t="s">
        <v>534</v>
      </c>
      <c r="S3632" s="76"/>
      <c r="U3632" s="157" t="s">
        <v>432</v>
      </c>
    </row>
    <row r="3633" spans="6:24" ht="24" customHeight="1">
      <c r="H3633" s="155" t="s">
        <v>1876</v>
      </c>
      <c r="K3633" s="167">
        <f>SUM(K3615:K3631)</f>
        <v>80.815600000000018</v>
      </c>
      <c r="S3633" s="76"/>
      <c r="U3633" s="437" t="s">
        <v>3236</v>
      </c>
    </row>
    <row r="3634" spans="6:24" ht="24" customHeight="1">
      <c r="K3634" s="162" t="s">
        <v>534</v>
      </c>
      <c r="S3634" s="76"/>
    </row>
    <row r="3635" spans="6:24" ht="24" customHeight="1">
      <c r="H3635" s="169" t="s">
        <v>881</v>
      </c>
      <c r="I3635" s="154" t="s">
        <v>22</v>
      </c>
      <c r="K3635" s="166">
        <f>K3633/F3627</f>
        <v>202.03900000000004</v>
      </c>
      <c r="S3635" s="76"/>
    </row>
    <row r="3636" spans="6:24" ht="24" customHeight="1">
      <c r="F3636" s="154" t="s">
        <v>22</v>
      </c>
      <c r="S3636" s="294">
        <v>2.2800000000000001E-2</v>
      </c>
      <c r="T3636" s="295" t="s">
        <v>577</v>
      </c>
      <c r="U3636" s="264" t="s">
        <v>1877</v>
      </c>
      <c r="V3636" s="264">
        <f>V3614</f>
        <v>0</v>
      </c>
      <c r="W3636" s="296" t="s">
        <v>577</v>
      </c>
      <c r="X3636" s="264">
        <f>V3636*S3636</f>
        <v>0</v>
      </c>
    </row>
    <row r="3637" spans="6:24" ht="24" customHeight="1">
      <c r="K3637" s="162" t="s">
        <v>528</v>
      </c>
      <c r="S3637" s="294">
        <v>3.5400000000000001E-2</v>
      </c>
      <c r="T3637" s="295" t="s">
        <v>577</v>
      </c>
      <c r="U3637" s="264" t="s">
        <v>1878</v>
      </c>
      <c r="V3637" s="264">
        <f>V3615</f>
        <v>0</v>
      </c>
      <c r="W3637" s="296" t="s">
        <v>577</v>
      </c>
      <c r="X3637" s="264">
        <f t="shared" ref="X3637:X3646" si="333">V3637*S3637</f>
        <v>0</v>
      </c>
    </row>
    <row r="3638" spans="6:24" ht="24" customHeight="1">
      <c r="F3638" s="76">
        <v>45</v>
      </c>
      <c r="H3638" s="1025" t="s">
        <v>3237</v>
      </c>
      <c r="I3638" s="1025"/>
      <c r="J3638" s="1025"/>
      <c r="S3638" s="297">
        <v>3.2300000000000002E-2</v>
      </c>
      <c r="T3638" s="295" t="s">
        <v>577</v>
      </c>
      <c r="U3638" s="264" t="s">
        <v>1879</v>
      </c>
      <c r="V3638" s="264">
        <f>V3616</f>
        <v>0</v>
      </c>
      <c r="W3638" s="296" t="s">
        <v>577</v>
      </c>
      <c r="X3638" s="264">
        <f t="shared" si="333"/>
        <v>0</v>
      </c>
    </row>
    <row r="3639" spans="6:24" ht="24" customHeight="1">
      <c r="H3639" s="1025"/>
      <c r="I3639" s="1025"/>
      <c r="J3639" s="1025"/>
      <c r="S3639" s="298">
        <v>2.835</v>
      </c>
      <c r="T3639" s="295" t="s">
        <v>916</v>
      </c>
      <c r="U3639" s="264" t="s">
        <v>1880</v>
      </c>
      <c r="V3639" s="264">
        <v>698</v>
      </c>
      <c r="W3639" s="296" t="s">
        <v>916</v>
      </c>
      <c r="X3639" s="264">
        <f t="shared" si="333"/>
        <v>1978.83</v>
      </c>
    </row>
    <row r="3640" spans="6:24" ht="24" customHeight="1">
      <c r="S3640" s="264">
        <v>2</v>
      </c>
      <c r="T3640" s="295" t="s">
        <v>1882</v>
      </c>
      <c r="U3640" s="76" t="s">
        <v>2765</v>
      </c>
      <c r="V3640" s="456">
        <v>450</v>
      </c>
      <c r="W3640" s="296" t="s">
        <v>332</v>
      </c>
      <c r="X3640" s="264">
        <f t="shared" si="333"/>
        <v>900</v>
      </c>
    </row>
    <row r="3641" spans="6:24" ht="33" customHeight="1">
      <c r="F3641" s="167">
        <v>0.15</v>
      </c>
      <c r="G3641" s="156" t="s">
        <v>577</v>
      </c>
      <c r="H3641" s="401" t="s">
        <v>3238</v>
      </c>
      <c r="I3641" s="231">
        <v>2502.8200000000002</v>
      </c>
      <c r="J3641" s="158" t="s">
        <v>577</v>
      </c>
      <c r="K3641" s="76">
        <f t="shared" ref="K3641:K3646" si="334">I3641*F3641</f>
        <v>375.423</v>
      </c>
      <c r="S3641" s="264">
        <v>6</v>
      </c>
      <c r="T3641" s="295" t="s">
        <v>1882</v>
      </c>
      <c r="U3641" s="76" t="s">
        <v>2766</v>
      </c>
      <c r="V3641" s="456">
        <v>79</v>
      </c>
      <c r="W3641" s="296" t="s">
        <v>332</v>
      </c>
      <c r="X3641" s="264">
        <f t="shared" si="333"/>
        <v>474</v>
      </c>
    </row>
    <row r="3642" spans="6:24" ht="24" customHeight="1">
      <c r="F3642" s="233">
        <v>7.1999999999999995E-2</v>
      </c>
      <c r="G3642" s="156" t="s">
        <v>567</v>
      </c>
      <c r="H3642" s="76" t="s">
        <v>568</v>
      </c>
      <c r="I3642" s="76">
        <f>I1645</f>
        <v>5750</v>
      </c>
      <c r="J3642" s="158" t="s">
        <v>567</v>
      </c>
      <c r="K3642" s="76">
        <f t="shared" si="334"/>
        <v>413.99999999999994</v>
      </c>
      <c r="S3642" s="264">
        <v>4</v>
      </c>
      <c r="T3642" s="295" t="s">
        <v>1882</v>
      </c>
      <c r="U3642" s="76" t="s">
        <v>2767</v>
      </c>
      <c r="V3642" s="456">
        <v>130</v>
      </c>
      <c r="W3642" s="296" t="s">
        <v>332</v>
      </c>
      <c r="X3642" s="264">
        <f t="shared" si="333"/>
        <v>520</v>
      </c>
    </row>
    <row r="3643" spans="6:24" ht="24" customHeight="1">
      <c r="F3643" s="167">
        <v>1.6</v>
      </c>
      <c r="G3643" s="156" t="s">
        <v>680</v>
      </c>
      <c r="H3643" s="76" t="s">
        <v>778</v>
      </c>
      <c r="I3643" s="76">
        <f>I1646</f>
        <v>717.2</v>
      </c>
      <c r="J3643" s="158" t="s">
        <v>680</v>
      </c>
      <c r="K3643" s="76">
        <f t="shared" si="334"/>
        <v>1147.5200000000002</v>
      </c>
      <c r="S3643" s="264">
        <v>1</v>
      </c>
      <c r="T3643" s="295" t="s">
        <v>1882</v>
      </c>
      <c r="U3643" s="76" t="s">
        <v>2768</v>
      </c>
      <c r="V3643" s="456">
        <v>985</v>
      </c>
      <c r="W3643" s="296" t="s">
        <v>332</v>
      </c>
      <c r="X3643" s="264">
        <f t="shared" si="333"/>
        <v>985</v>
      </c>
    </row>
    <row r="3644" spans="6:24" ht="24" customHeight="1">
      <c r="F3644" s="167">
        <v>0.5</v>
      </c>
      <c r="G3644" s="156" t="s">
        <v>680</v>
      </c>
      <c r="H3644" s="76" t="s">
        <v>754</v>
      </c>
      <c r="I3644" s="76">
        <f>I1647</f>
        <v>468.6</v>
      </c>
      <c r="J3644" s="158" t="s">
        <v>680</v>
      </c>
      <c r="K3644" s="76">
        <f t="shared" si="334"/>
        <v>234.3</v>
      </c>
      <c r="S3644" s="264">
        <v>2</v>
      </c>
      <c r="T3644" s="295" t="s">
        <v>1882</v>
      </c>
      <c r="U3644" s="76" t="s">
        <v>2769</v>
      </c>
      <c r="V3644" s="456">
        <v>24.2</v>
      </c>
      <c r="W3644" s="296" t="s">
        <v>332</v>
      </c>
      <c r="X3644" s="264">
        <f t="shared" si="333"/>
        <v>48.4</v>
      </c>
    </row>
    <row r="3645" spans="6:24" ht="24" customHeight="1">
      <c r="F3645" s="167">
        <v>1.1000000000000001</v>
      </c>
      <c r="G3645" s="156" t="s">
        <v>680</v>
      </c>
      <c r="H3645" s="76" t="s">
        <v>756</v>
      </c>
      <c r="I3645" s="76">
        <f>I1648</f>
        <v>404.8</v>
      </c>
      <c r="J3645" s="158" t="s">
        <v>680</v>
      </c>
      <c r="K3645" s="76">
        <f t="shared" si="334"/>
        <v>445.28000000000003</v>
      </c>
      <c r="S3645" s="264">
        <v>2</v>
      </c>
      <c r="T3645" s="295" t="s">
        <v>1882</v>
      </c>
      <c r="U3645" s="264" t="s">
        <v>941</v>
      </c>
      <c r="V3645" s="264">
        <v>48.9</v>
      </c>
      <c r="W3645" s="296" t="s">
        <v>332</v>
      </c>
      <c r="X3645" s="264">
        <f t="shared" si="333"/>
        <v>97.8</v>
      </c>
    </row>
    <row r="3646" spans="6:24" ht="24" customHeight="1">
      <c r="F3646" s="167">
        <v>14.5</v>
      </c>
      <c r="G3646" s="156" t="s">
        <v>2300</v>
      </c>
      <c r="H3646" s="76" t="s">
        <v>3239</v>
      </c>
      <c r="I3646" s="76">
        <f>I3749</f>
        <v>24.3</v>
      </c>
      <c r="J3646" s="158" t="s">
        <v>2300</v>
      </c>
      <c r="K3646" s="76">
        <f t="shared" si="334"/>
        <v>352.35</v>
      </c>
      <c r="S3646" s="264">
        <v>118</v>
      </c>
      <c r="T3646" s="227"/>
      <c r="U3646" s="264" t="s">
        <v>1815</v>
      </c>
      <c r="V3646" s="264">
        <v>2.4</v>
      </c>
      <c r="W3646" s="296"/>
      <c r="X3646" s="264">
        <f t="shared" si="333"/>
        <v>283.2</v>
      </c>
    </row>
    <row r="3647" spans="6:24" ht="24" customHeight="1">
      <c r="G3647" s="156" t="s">
        <v>519</v>
      </c>
      <c r="H3647" s="76" t="s">
        <v>590</v>
      </c>
      <c r="J3647" s="158" t="s">
        <v>519</v>
      </c>
      <c r="K3647" s="76">
        <v>7</v>
      </c>
      <c r="S3647" s="76"/>
      <c r="W3647" s="296"/>
      <c r="X3647" s="199">
        <f>SUM(X3636:X3646)</f>
        <v>5287.23</v>
      </c>
    </row>
    <row r="3648" spans="6:24" ht="24" customHeight="1">
      <c r="S3648" s="264"/>
      <c r="T3648" s="227"/>
      <c r="U3648" s="199"/>
      <c r="V3648" s="264"/>
      <c r="W3648" s="296"/>
      <c r="X3648" s="299" t="s">
        <v>1892</v>
      </c>
    </row>
    <row r="3649" spans="6:25" ht="24" customHeight="1">
      <c r="H3649" s="76" t="s">
        <v>879</v>
      </c>
      <c r="K3649" s="76">
        <f>SUM(K3641:K3648)</f>
        <v>2975.8730000000005</v>
      </c>
      <c r="S3649" s="264"/>
      <c r="T3649" s="227"/>
      <c r="U3649" s="199" t="s">
        <v>1895</v>
      </c>
      <c r="V3649" s="264"/>
      <c r="W3649" s="296"/>
      <c r="X3649" s="199">
        <f>X3647/2.835</f>
        <v>1864.9841269841268</v>
      </c>
    </row>
    <row r="3650" spans="6:25" ht="24" customHeight="1">
      <c r="H3650" s="76" t="s">
        <v>881</v>
      </c>
      <c r="K3650" s="76">
        <f>K3649/10</f>
        <v>297.58730000000003</v>
      </c>
      <c r="S3650" s="264"/>
      <c r="T3650" s="227"/>
      <c r="W3650" s="158"/>
      <c r="X3650" s="202" t="s">
        <v>1892</v>
      </c>
    </row>
    <row r="3651" spans="6:25" ht="24" customHeight="1">
      <c r="S3651" s="76"/>
    </row>
    <row r="3652" spans="6:25" ht="24" customHeight="1">
      <c r="K3652" s="76" t="s">
        <v>528</v>
      </c>
      <c r="S3652" s="610" t="s">
        <v>3240</v>
      </c>
      <c r="T3652" s="610"/>
      <c r="U3652" s="610"/>
      <c r="V3652" s="610"/>
      <c r="W3652" s="611"/>
      <c r="X3652" s="611"/>
      <c r="Y3652" s="349"/>
    </row>
    <row r="3653" spans="6:25" ht="24" customHeight="1">
      <c r="S3653" s="351"/>
      <c r="T3653" s="352"/>
      <c r="U3653" s="353"/>
      <c r="V3653" s="354"/>
      <c r="W3653" s="352"/>
      <c r="X3653" s="354"/>
      <c r="Y3653" s="349"/>
    </row>
    <row r="3654" spans="6:25" ht="24" customHeight="1">
      <c r="G3654" s="76"/>
      <c r="H3654" s="169" t="s">
        <v>3241</v>
      </c>
      <c r="J3654" s="76"/>
      <c r="S3654" s="351"/>
      <c r="T3654" s="352"/>
      <c r="U3654" s="355"/>
      <c r="V3654" s="354"/>
      <c r="W3654" s="352"/>
      <c r="X3654" s="354"/>
      <c r="Y3654" s="349"/>
    </row>
    <row r="3655" spans="6:25" ht="24" customHeight="1">
      <c r="G3655" s="76"/>
      <c r="H3655" s="162" t="s">
        <v>534</v>
      </c>
      <c r="J3655" s="76"/>
      <c r="S3655" s="351">
        <v>28.49</v>
      </c>
      <c r="T3655" s="352" t="s">
        <v>31</v>
      </c>
      <c r="U3655" s="612" t="s">
        <v>3242</v>
      </c>
      <c r="V3655" s="354">
        <f>I3783</f>
        <v>287</v>
      </c>
      <c r="W3655" s="352" t="s">
        <v>31</v>
      </c>
      <c r="X3655" s="354">
        <f>V3655*S3655</f>
        <v>8176.6299999999992</v>
      </c>
      <c r="Y3655" s="349"/>
    </row>
    <row r="3656" spans="6:25" ht="24" customHeight="1">
      <c r="G3656" s="154" t="s">
        <v>307</v>
      </c>
      <c r="H3656" s="157" t="s">
        <v>3243</v>
      </c>
      <c r="J3656" s="76"/>
      <c r="S3656" s="613">
        <v>3.82</v>
      </c>
      <c r="T3656" s="352" t="s">
        <v>41</v>
      </c>
      <c r="U3656" s="355" t="s">
        <v>3244</v>
      </c>
      <c r="V3656" s="354">
        <v>35.5</v>
      </c>
      <c r="W3656" s="352" t="s">
        <v>41</v>
      </c>
      <c r="X3656" s="354">
        <v>501.66</v>
      </c>
      <c r="Y3656" s="349"/>
    </row>
    <row r="3657" spans="6:25" ht="24" customHeight="1">
      <c r="G3657" s="76"/>
      <c r="H3657" s="157" t="s">
        <v>3245</v>
      </c>
      <c r="J3657" s="76"/>
      <c r="S3657" s="351">
        <v>1.52</v>
      </c>
      <c r="T3657" s="352" t="s">
        <v>141</v>
      </c>
      <c r="U3657" s="355" t="s">
        <v>3246</v>
      </c>
      <c r="V3657" s="354">
        <v>336</v>
      </c>
      <c r="W3657" s="352" t="s">
        <v>141</v>
      </c>
      <c r="X3657" s="354">
        <f t="shared" ref="X3657:X3666" si="335">V3657*S3657</f>
        <v>510.72</v>
      </c>
      <c r="Y3657" s="349"/>
    </row>
    <row r="3658" spans="6:25" ht="24" customHeight="1">
      <c r="G3658" s="76"/>
      <c r="H3658" s="157" t="s">
        <v>1117</v>
      </c>
      <c r="J3658" s="76"/>
      <c r="S3658" s="351">
        <v>1.52</v>
      </c>
      <c r="T3658" s="352" t="s">
        <v>141</v>
      </c>
      <c r="U3658" s="355" t="s">
        <v>3247</v>
      </c>
      <c r="V3658" s="354">
        <v>695</v>
      </c>
      <c r="W3658" s="352" t="s">
        <v>680</v>
      </c>
      <c r="X3658" s="354">
        <f t="shared" si="335"/>
        <v>1056.4000000000001</v>
      </c>
      <c r="Y3658" s="349"/>
    </row>
    <row r="3659" spans="6:25" ht="24" customHeight="1">
      <c r="G3659" s="76"/>
      <c r="H3659" s="162" t="s">
        <v>534</v>
      </c>
      <c r="J3659" s="76"/>
      <c r="S3659" s="351">
        <v>3</v>
      </c>
      <c r="T3659" s="352" t="s">
        <v>301</v>
      </c>
      <c r="U3659" s="355" t="s">
        <v>3248</v>
      </c>
      <c r="V3659" s="354">
        <v>11.1</v>
      </c>
      <c r="W3659" s="352" t="s">
        <v>301</v>
      </c>
      <c r="X3659" s="354">
        <f t="shared" si="335"/>
        <v>33.299999999999997</v>
      </c>
      <c r="Y3659" s="349"/>
    </row>
    <row r="3660" spans="6:25" ht="24" customHeight="1">
      <c r="G3660" s="154" t="s">
        <v>1118</v>
      </c>
      <c r="H3660" s="614" t="s">
        <v>3249</v>
      </c>
      <c r="J3660" s="76"/>
      <c r="S3660" s="351">
        <v>4.2</v>
      </c>
      <c r="T3660" s="352" t="s">
        <v>332</v>
      </c>
      <c r="U3660" s="355" t="s">
        <v>3250</v>
      </c>
      <c r="V3660" s="354">
        <v>7.2</v>
      </c>
      <c r="W3660" s="352" t="s">
        <v>680</v>
      </c>
      <c r="X3660" s="354">
        <f t="shared" si="335"/>
        <v>30.240000000000002</v>
      </c>
      <c r="Y3660" s="349"/>
    </row>
    <row r="3661" spans="6:25" ht="24" customHeight="1">
      <c r="G3661" s="76"/>
      <c r="H3661" s="162" t="s">
        <v>534</v>
      </c>
      <c r="J3661" s="76"/>
      <c r="S3661" s="351">
        <v>3.15</v>
      </c>
      <c r="T3661" s="352" t="s">
        <v>250</v>
      </c>
      <c r="U3661" s="355" t="s">
        <v>2158</v>
      </c>
      <c r="V3661" s="349">
        <f>X3677</f>
        <v>1437.15</v>
      </c>
      <c r="W3661" s="352" t="s">
        <v>250</v>
      </c>
      <c r="X3661" s="354">
        <f t="shared" si="335"/>
        <v>4527.0225</v>
      </c>
      <c r="Y3661" s="349"/>
    </row>
    <row r="3662" spans="6:25" ht="24" customHeight="1">
      <c r="F3662" s="167">
        <v>18.899999999999999</v>
      </c>
      <c r="G3662" s="154" t="s">
        <v>577</v>
      </c>
      <c r="H3662" s="154" t="s">
        <v>1122</v>
      </c>
      <c r="I3662" s="167">
        <f>P431</f>
        <v>160.82</v>
      </c>
      <c r="J3662" s="154" t="s">
        <v>577</v>
      </c>
      <c r="K3662" s="167">
        <f>(F3662*I3662)</f>
        <v>3039.4979999999996</v>
      </c>
      <c r="S3662" s="199">
        <v>1</v>
      </c>
      <c r="T3662" s="227" t="s">
        <v>1882</v>
      </c>
      <c r="U3662" s="199" t="s">
        <v>3251</v>
      </c>
      <c r="V3662" s="199">
        <v>43.8</v>
      </c>
      <c r="W3662" s="207" t="s">
        <v>332</v>
      </c>
      <c r="X3662" s="199">
        <f t="shared" si="335"/>
        <v>43.8</v>
      </c>
      <c r="Y3662" s="349"/>
    </row>
    <row r="3663" spans="6:25" ht="24" customHeight="1">
      <c r="F3663" s="167">
        <v>18.63</v>
      </c>
      <c r="G3663" s="154" t="s">
        <v>577</v>
      </c>
      <c r="H3663" s="154" t="s">
        <v>1123</v>
      </c>
      <c r="I3663" s="167">
        <f>P432</f>
        <v>28.05</v>
      </c>
      <c r="J3663" s="154" t="s">
        <v>577</v>
      </c>
      <c r="K3663" s="167">
        <f>(F3663*I3663)</f>
        <v>522.57150000000001</v>
      </c>
      <c r="S3663" s="199">
        <v>1</v>
      </c>
      <c r="T3663" s="227" t="s">
        <v>1882</v>
      </c>
      <c r="U3663" s="199" t="s">
        <v>3252</v>
      </c>
      <c r="V3663" s="199">
        <v>890</v>
      </c>
      <c r="W3663" s="207" t="s">
        <v>332</v>
      </c>
      <c r="X3663" s="199">
        <f t="shared" si="335"/>
        <v>890</v>
      </c>
      <c r="Y3663" s="349"/>
    </row>
    <row r="3664" spans="6:25" ht="45.75" customHeight="1">
      <c r="F3664" s="167">
        <v>30</v>
      </c>
      <c r="G3664" s="154" t="s">
        <v>410</v>
      </c>
      <c r="H3664" s="208" t="s">
        <v>3253</v>
      </c>
      <c r="I3664" s="166">
        <v>226</v>
      </c>
      <c r="J3664" s="154" t="s">
        <v>410</v>
      </c>
      <c r="K3664" s="167">
        <f>(F3664*I3664)</f>
        <v>6780</v>
      </c>
      <c r="S3664" s="615">
        <v>45</v>
      </c>
      <c r="T3664" s="616" t="s">
        <v>1882</v>
      </c>
      <c r="U3664" s="615" t="s">
        <v>3254</v>
      </c>
      <c r="V3664" s="617">
        <v>1.45</v>
      </c>
      <c r="W3664" s="618" t="s">
        <v>42</v>
      </c>
      <c r="X3664" s="354">
        <f t="shared" si="335"/>
        <v>65.25</v>
      </c>
      <c r="Y3664" s="349"/>
    </row>
    <row r="3665" spans="6:25" ht="24" customHeight="1">
      <c r="G3665" s="76"/>
      <c r="J3665" s="76"/>
      <c r="S3665" s="615">
        <v>2</v>
      </c>
      <c r="T3665" s="616" t="s">
        <v>1882</v>
      </c>
      <c r="U3665" s="615" t="s">
        <v>3255</v>
      </c>
      <c r="V3665" s="617">
        <v>108.7</v>
      </c>
      <c r="W3665" s="207" t="s">
        <v>332</v>
      </c>
      <c r="X3665" s="354">
        <f t="shared" si="335"/>
        <v>217.4</v>
      </c>
      <c r="Y3665" s="349"/>
    </row>
    <row r="3666" spans="6:25" ht="24" customHeight="1">
      <c r="F3666" s="167">
        <v>30</v>
      </c>
      <c r="G3666" s="154" t="s">
        <v>410</v>
      </c>
      <c r="H3666" s="154" t="s">
        <v>1124</v>
      </c>
      <c r="I3666" s="167">
        <v>11.02</v>
      </c>
      <c r="J3666" s="154" t="s">
        <v>410</v>
      </c>
      <c r="K3666" s="167">
        <f>(F3666*I3666)</f>
        <v>330.59999999999997</v>
      </c>
      <c r="S3666" s="615">
        <v>2</v>
      </c>
      <c r="T3666" s="616" t="s">
        <v>1882</v>
      </c>
      <c r="U3666" s="615" t="s">
        <v>3256</v>
      </c>
      <c r="V3666" s="617">
        <v>54</v>
      </c>
      <c r="W3666" s="207" t="s">
        <v>332</v>
      </c>
      <c r="X3666" s="354">
        <f t="shared" si="335"/>
        <v>108</v>
      </c>
      <c r="Y3666" s="349"/>
    </row>
    <row r="3667" spans="6:25" ht="24" customHeight="1">
      <c r="G3667" s="76"/>
      <c r="H3667" s="154" t="s">
        <v>1125</v>
      </c>
      <c r="J3667" s="76"/>
      <c r="S3667" s="76"/>
      <c r="X3667" s="159"/>
      <c r="Y3667" s="349"/>
    </row>
    <row r="3668" spans="6:25" ht="24" customHeight="1">
      <c r="G3668" s="76"/>
      <c r="H3668" s="154" t="s">
        <v>1126</v>
      </c>
      <c r="J3668" s="76"/>
      <c r="S3668" s="351"/>
      <c r="T3668" s="352"/>
      <c r="U3668" s="355"/>
      <c r="V3668" s="349"/>
      <c r="W3668" s="356"/>
      <c r="X3668" s="354"/>
      <c r="Y3668" s="349"/>
    </row>
    <row r="3669" spans="6:25" ht="24" customHeight="1">
      <c r="G3669" s="76"/>
      <c r="H3669" s="154" t="s">
        <v>1127</v>
      </c>
      <c r="J3669" s="76"/>
      <c r="S3669" s="351"/>
      <c r="T3669" s="352"/>
      <c r="U3669" s="154" t="s">
        <v>3257</v>
      </c>
      <c r="W3669" s="352"/>
      <c r="X3669" s="354">
        <f>SUM(X3655:X3668)</f>
        <v>16160.422499999995</v>
      </c>
      <c r="Y3669" s="349"/>
    </row>
    <row r="3670" spans="6:25" ht="24" customHeight="1">
      <c r="G3670" s="76"/>
      <c r="H3670" s="154" t="s">
        <v>3258</v>
      </c>
      <c r="J3670" s="76"/>
      <c r="S3670" s="351"/>
      <c r="T3670" s="352"/>
      <c r="U3670" s="154" t="s">
        <v>881</v>
      </c>
      <c r="W3670" s="611"/>
      <c r="X3670" s="358">
        <f>X3669/3.15</f>
        <v>5130.2928571428556</v>
      </c>
      <c r="Y3670" s="360" t="s">
        <v>332</v>
      </c>
    </row>
    <row r="3671" spans="6:25" ht="24.75" customHeight="1">
      <c r="G3671" s="76"/>
      <c r="H3671" s="154"/>
      <c r="J3671" s="76"/>
      <c r="S3671" s="349"/>
      <c r="T3671" s="349"/>
      <c r="U3671" s="361"/>
      <c r="V3671" s="349"/>
      <c r="W3671" s="349"/>
      <c r="X3671" s="349"/>
      <c r="Y3671" s="349"/>
    </row>
    <row r="3672" spans="6:25" ht="30" customHeight="1">
      <c r="F3672" s="167">
        <v>5</v>
      </c>
      <c r="G3672" s="154" t="s">
        <v>680</v>
      </c>
      <c r="H3672" s="210" t="s">
        <v>3259</v>
      </c>
      <c r="I3672" s="174">
        <v>31</v>
      </c>
      <c r="J3672" s="154" t="s">
        <v>680</v>
      </c>
      <c r="K3672" s="167">
        <f>(F3672*I3672)</f>
        <v>155</v>
      </c>
      <c r="S3672" s="354">
        <v>1</v>
      </c>
      <c r="T3672" s="352" t="s">
        <v>576</v>
      </c>
      <c r="U3672" s="355" t="s">
        <v>2163</v>
      </c>
      <c r="V3672" s="354">
        <f>AE17</f>
        <v>633.6</v>
      </c>
      <c r="W3672" s="355" t="s">
        <v>576</v>
      </c>
      <c r="X3672" s="354">
        <f>V3672*S3672</f>
        <v>633.6</v>
      </c>
      <c r="Y3672" s="349"/>
    </row>
    <row r="3673" spans="6:25" ht="24" customHeight="1">
      <c r="F3673" s="167">
        <v>1</v>
      </c>
      <c r="G3673" s="154" t="s">
        <v>589</v>
      </c>
      <c r="H3673" s="154" t="s">
        <v>1136</v>
      </c>
      <c r="I3673" s="167">
        <v>12.1</v>
      </c>
      <c r="J3673" s="154" t="s">
        <v>589</v>
      </c>
      <c r="K3673" s="167">
        <f>(F3673*I3673)</f>
        <v>12.1</v>
      </c>
      <c r="S3673" s="354">
        <v>1</v>
      </c>
      <c r="T3673" s="352" t="s">
        <v>576</v>
      </c>
      <c r="U3673" s="355" t="s">
        <v>2164</v>
      </c>
      <c r="V3673" s="354">
        <f>AE11</f>
        <v>468.6</v>
      </c>
      <c r="W3673" s="355" t="s">
        <v>576</v>
      </c>
      <c r="X3673" s="354">
        <f>V3673*S3673</f>
        <v>468.6</v>
      </c>
      <c r="Y3673" s="349"/>
    </row>
    <row r="3674" spans="6:25" ht="24" customHeight="1">
      <c r="F3674" s="167"/>
      <c r="G3674" s="154" t="s">
        <v>589</v>
      </c>
      <c r="H3674" s="154" t="s">
        <v>590</v>
      </c>
      <c r="J3674" s="154" t="s">
        <v>589</v>
      </c>
      <c r="K3674" s="167">
        <v>17.100000000000001</v>
      </c>
      <c r="S3674" s="354">
        <v>0.5</v>
      </c>
      <c r="T3674" s="352" t="s">
        <v>576</v>
      </c>
      <c r="U3674" s="355" t="s">
        <v>2165</v>
      </c>
      <c r="V3674" s="354">
        <f>AE20</f>
        <v>669.90000000000009</v>
      </c>
      <c r="W3674" s="355" t="s">
        <v>576</v>
      </c>
      <c r="X3674" s="354">
        <f>V3674*S3674</f>
        <v>334.95000000000005</v>
      </c>
      <c r="Y3674" s="349"/>
    </row>
    <row r="3675" spans="6:25" ht="24" customHeight="1">
      <c r="G3675" s="76"/>
      <c r="J3675" s="76"/>
      <c r="S3675" s="349"/>
      <c r="T3675" s="352" t="s">
        <v>589</v>
      </c>
      <c r="U3675" s="355"/>
      <c r="V3675" s="354"/>
      <c r="W3675" s="355" t="s">
        <v>589</v>
      </c>
      <c r="X3675" s="354"/>
      <c r="Y3675" s="349"/>
    </row>
    <row r="3676" spans="6:25" ht="24" customHeight="1">
      <c r="G3676" s="76"/>
      <c r="J3676" s="76"/>
      <c r="K3676" s="162" t="s">
        <v>534</v>
      </c>
      <c r="S3676" s="349"/>
      <c r="T3676" s="357"/>
      <c r="U3676" s="349"/>
      <c r="V3676" s="349"/>
      <c r="W3676" s="362"/>
      <c r="X3676" s="363" t="s">
        <v>534</v>
      </c>
      <c r="Y3676" s="349"/>
    </row>
    <row r="3677" spans="6:25" ht="24" customHeight="1">
      <c r="G3677" s="76"/>
      <c r="H3677" s="154" t="s">
        <v>1138</v>
      </c>
      <c r="J3677" s="76"/>
      <c r="K3677" s="167">
        <f>SUM(K3662:K3674)</f>
        <v>10856.869500000001</v>
      </c>
      <c r="S3677" s="349"/>
      <c r="T3677" s="357"/>
      <c r="U3677" s="355" t="s">
        <v>2166</v>
      </c>
      <c r="V3677" s="349"/>
      <c r="W3677" s="362"/>
      <c r="X3677" s="358">
        <f>SUM(X3672:X3676)</f>
        <v>1437.15</v>
      </c>
      <c r="Y3677" s="349"/>
    </row>
    <row r="3678" spans="6:25" ht="24" customHeight="1">
      <c r="G3678" s="76"/>
      <c r="J3678" s="76"/>
      <c r="K3678" s="162" t="s">
        <v>534</v>
      </c>
      <c r="S3678" s="349"/>
      <c r="T3678" s="357"/>
      <c r="U3678" s="349"/>
      <c r="V3678" s="349"/>
      <c r="W3678" s="362"/>
      <c r="X3678" s="363" t="s">
        <v>534</v>
      </c>
      <c r="Y3678" s="349"/>
    </row>
    <row r="3679" spans="6:25" ht="24" customHeight="1">
      <c r="G3679" s="76"/>
      <c r="H3679" s="154" t="s">
        <v>1139</v>
      </c>
      <c r="J3679" s="76"/>
      <c r="K3679" s="166">
        <f>(K3677/30)</f>
        <v>361.89565000000005</v>
      </c>
      <c r="S3679" s="76"/>
    </row>
    <row r="3680" spans="6:25" ht="24" customHeight="1">
      <c r="G3680" s="76"/>
      <c r="J3680" s="76"/>
      <c r="K3680" s="162" t="s">
        <v>534</v>
      </c>
      <c r="S3680" s="76"/>
    </row>
    <row r="3681" spans="6:24" ht="24" customHeight="1">
      <c r="G3681" s="154" t="s">
        <v>7</v>
      </c>
      <c r="H3681" s="614" t="s">
        <v>3260</v>
      </c>
      <c r="J3681" s="76"/>
      <c r="S3681" s="619"/>
      <c r="T3681" s="619"/>
      <c r="U3681" s="619"/>
      <c r="V3681" s="619"/>
      <c r="W3681" s="619"/>
      <c r="X3681" s="619"/>
    </row>
    <row r="3682" spans="6:24" ht="24" customHeight="1">
      <c r="G3682" s="76"/>
      <c r="H3682" s="162" t="s">
        <v>534</v>
      </c>
      <c r="J3682" s="76"/>
      <c r="S3682" s="1012" t="s">
        <v>3261</v>
      </c>
      <c r="T3682" s="1012"/>
      <c r="U3682" s="1012"/>
      <c r="V3682" s="1012"/>
      <c r="W3682" s="611"/>
      <c r="X3682" s="611"/>
    </row>
    <row r="3683" spans="6:24" ht="24" customHeight="1">
      <c r="F3683" s="167">
        <f>F3662</f>
        <v>18.899999999999999</v>
      </c>
      <c r="G3683" s="154" t="s">
        <v>577</v>
      </c>
      <c r="H3683" s="154" t="str">
        <f>H3662</f>
        <v>E.W EXCLUDING REFILLING</v>
      </c>
      <c r="I3683" s="167">
        <f>I3662</f>
        <v>160.82</v>
      </c>
      <c r="J3683" s="154" t="s">
        <v>577</v>
      </c>
      <c r="K3683" s="167">
        <f>(F3683*I3683)</f>
        <v>3039.4979999999996</v>
      </c>
      <c r="S3683" s="351"/>
      <c r="T3683" s="352"/>
      <c r="U3683" s="353"/>
      <c r="V3683" s="354"/>
      <c r="W3683" s="352"/>
      <c r="X3683" s="354"/>
    </row>
    <row r="3684" spans="6:24" ht="24" customHeight="1">
      <c r="F3684" s="167">
        <v>18.3</v>
      </c>
      <c r="G3684" s="154" t="s">
        <v>577</v>
      </c>
      <c r="H3684" s="154" t="str">
        <f>H3663</f>
        <v>REFILLING CHARGE</v>
      </c>
      <c r="I3684" s="167">
        <f>I3663</f>
        <v>28.05</v>
      </c>
      <c r="J3684" s="154" t="s">
        <v>577</v>
      </c>
      <c r="K3684" s="167">
        <f>(F3684*I3684)</f>
        <v>513.31500000000005</v>
      </c>
      <c r="S3684" s="351"/>
      <c r="T3684" s="352"/>
      <c r="U3684" s="355"/>
      <c r="V3684" s="354"/>
      <c r="W3684" s="352"/>
      <c r="X3684" s="354"/>
    </row>
    <row r="3685" spans="6:24" ht="39" customHeight="1">
      <c r="F3685" s="167">
        <f>F3664</f>
        <v>30</v>
      </c>
      <c r="G3685" s="154" t="s">
        <v>410</v>
      </c>
      <c r="H3685" s="208" t="s">
        <v>3262</v>
      </c>
      <c r="I3685" s="166">
        <v>483</v>
      </c>
      <c r="J3685" s="154" t="s">
        <v>410</v>
      </c>
      <c r="K3685" s="167">
        <f>(F3685*I3685)</f>
        <v>14490</v>
      </c>
      <c r="S3685" s="351">
        <v>29.06</v>
      </c>
      <c r="T3685" s="352" t="s">
        <v>31</v>
      </c>
      <c r="U3685" s="612" t="s">
        <v>3242</v>
      </c>
      <c r="V3685" s="354">
        <f>V3655</f>
        <v>287</v>
      </c>
      <c r="W3685" s="352" t="s">
        <v>31</v>
      </c>
      <c r="X3685" s="354">
        <f>V3685*S3685</f>
        <v>8340.2199999999993</v>
      </c>
    </row>
    <row r="3686" spans="6:24" ht="24" customHeight="1">
      <c r="F3686" s="167"/>
      <c r="G3686" s="76"/>
      <c r="H3686" s="154"/>
      <c r="I3686" s="167"/>
      <c r="J3686" s="76"/>
      <c r="K3686" s="167"/>
      <c r="S3686" s="613">
        <v>9.24</v>
      </c>
      <c r="T3686" s="352" t="s">
        <v>41</v>
      </c>
      <c r="U3686" s="355" t="s">
        <v>3263</v>
      </c>
      <c r="V3686" s="354">
        <f t="shared" ref="V3686:V3696" si="336">V3656</f>
        <v>35.5</v>
      </c>
      <c r="W3686" s="352" t="s">
        <v>41</v>
      </c>
      <c r="X3686" s="354">
        <f t="shared" ref="X3686:X3696" si="337">V3686*S3686</f>
        <v>328.02</v>
      </c>
    </row>
    <row r="3687" spans="6:24" ht="24" customHeight="1">
      <c r="F3687" s="167">
        <f>F3666</f>
        <v>30</v>
      </c>
      <c r="G3687" s="76"/>
      <c r="H3687" s="154" t="str">
        <f>H3666</f>
        <v>CONVEYING,LOWERING  ANDLAYING</v>
      </c>
      <c r="I3687" s="167">
        <v>15.54</v>
      </c>
      <c r="J3687" s="154" t="s">
        <v>410</v>
      </c>
      <c r="K3687" s="167">
        <f>(F3687*I3687)</f>
        <v>466.2</v>
      </c>
      <c r="S3687" s="351">
        <v>1.49</v>
      </c>
      <c r="T3687" s="352" t="s">
        <v>141</v>
      </c>
      <c r="U3687" s="355" t="s">
        <v>3246</v>
      </c>
      <c r="V3687" s="354">
        <f t="shared" si="336"/>
        <v>336</v>
      </c>
      <c r="W3687" s="352" t="s">
        <v>141</v>
      </c>
      <c r="X3687" s="354">
        <f t="shared" si="337"/>
        <v>500.64</v>
      </c>
    </row>
    <row r="3688" spans="6:24" ht="24" customHeight="1">
      <c r="F3688" s="167"/>
      <c r="G3688" s="76"/>
      <c r="H3688" s="154" t="str">
        <f>H3667</f>
        <v>TO PROPER GRADEAND</v>
      </c>
      <c r="I3688" s="167"/>
      <c r="J3688" s="76"/>
      <c r="S3688" s="351">
        <v>0.75</v>
      </c>
      <c r="T3688" s="352" t="s">
        <v>141</v>
      </c>
      <c r="U3688" s="355" t="s">
        <v>3247</v>
      </c>
      <c r="V3688" s="354">
        <f t="shared" si="336"/>
        <v>695</v>
      </c>
      <c r="W3688" s="352" t="s">
        <v>680</v>
      </c>
      <c r="X3688" s="354">
        <f t="shared" si="337"/>
        <v>521.25</v>
      </c>
    </row>
    <row r="3689" spans="6:24" ht="24" customHeight="1">
      <c r="F3689" s="167"/>
      <c r="G3689" s="76"/>
      <c r="H3689" s="154" t="str">
        <f>H3668</f>
        <v>ALIGNMENT,JOINTING</v>
      </c>
      <c r="I3689" s="167"/>
      <c r="J3689" s="76"/>
      <c r="S3689" s="620">
        <v>2</v>
      </c>
      <c r="T3689" s="352" t="s">
        <v>301</v>
      </c>
      <c r="U3689" s="355" t="s">
        <v>3248</v>
      </c>
      <c r="V3689" s="354">
        <f t="shared" si="336"/>
        <v>11.1</v>
      </c>
      <c r="W3689" s="352" t="s">
        <v>301</v>
      </c>
      <c r="X3689" s="354">
        <f t="shared" si="337"/>
        <v>22.2</v>
      </c>
    </row>
    <row r="3690" spans="6:24" ht="24" customHeight="1">
      <c r="F3690" s="167"/>
      <c r="G3690" s="154"/>
      <c r="H3690" s="154" t="str">
        <f>H3669</f>
        <v>ETC BUT EXCLUDING  COST OF</v>
      </c>
      <c r="I3690" s="167"/>
      <c r="J3690" s="154"/>
      <c r="K3690" s="167"/>
      <c r="S3690" s="351">
        <v>7.08</v>
      </c>
      <c r="T3690" s="352" t="s">
        <v>332</v>
      </c>
      <c r="U3690" s="355" t="s">
        <v>3250</v>
      </c>
      <c r="V3690" s="354">
        <f t="shared" si="336"/>
        <v>7.2</v>
      </c>
      <c r="W3690" s="352" t="s">
        <v>680</v>
      </c>
      <c r="X3690" s="354">
        <f t="shared" si="337"/>
        <v>50.975999999999999</v>
      </c>
    </row>
    <row r="3691" spans="6:24" ht="24" customHeight="1">
      <c r="F3691" s="167"/>
      <c r="G3691" s="154"/>
      <c r="H3691" s="154" t="str">
        <f>H3670</f>
        <v>JOINTING MATERIALS. (TWAD SR 17-18 11-b)</v>
      </c>
      <c r="I3691" s="167"/>
      <c r="J3691" s="154"/>
      <c r="K3691" s="167"/>
      <c r="S3691" s="351">
        <v>2.1</v>
      </c>
      <c r="T3691" s="352" t="s">
        <v>250</v>
      </c>
      <c r="U3691" s="355" t="s">
        <v>2158</v>
      </c>
      <c r="V3691" s="354">
        <f t="shared" si="336"/>
        <v>1437.15</v>
      </c>
      <c r="W3691" s="352" t="s">
        <v>250</v>
      </c>
      <c r="X3691" s="354">
        <f t="shared" si="337"/>
        <v>3018.0150000000003</v>
      </c>
    </row>
    <row r="3692" spans="6:24" ht="24" customHeight="1">
      <c r="F3692" s="167"/>
      <c r="G3692" s="154"/>
      <c r="H3692" s="154"/>
      <c r="I3692" s="167"/>
      <c r="J3692" s="154"/>
      <c r="K3692" s="167"/>
      <c r="S3692" s="621">
        <v>1</v>
      </c>
      <c r="T3692" s="622" t="s">
        <v>1882</v>
      </c>
      <c r="U3692" s="199" t="s">
        <v>3251</v>
      </c>
      <c r="V3692" s="354">
        <f t="shared" si="336"/>
        <v>43.8</v>
      </c>
      <c r="W3692" s="623" t="s">
        <v>332</v>
      </c>
      <c r="X3692" s="354">
        <f t="shared" si="337"/>
        <v>43.8</v>
      </c>
    </row>
    <row r="3693" spans="6:24" ht="24" customHeight="1">
      <c r="F3693" s="167">
        <f>F3672</f>
        <v>5</v>
      </c>
      <c r="G3693" s="154" t="s">
        <v>589</v>
      </c>
      <c r="H3693" s="154" t="str">
        <f>H3672</f>
        <v>CUTTING CHARGES ( P-32/141)</v>
      </c>
      <c r="I3693" s="174">
        <f>I3672</f>
        <v>31</v>
      </c>
      <c r="J3693" s="154" t="s">
        <v>680</v>
      </c>
      <c r="K3693" s="167">
        <f>(F3693*I3693)</f>
        <v>155</v>
      </c>
      <c r="S3693" s="621">
        <v>1</v>
      </c>
      <c r="T3693" s="622" t="s">
        <v>1882</v>
      </c>
      <c r="U3693" s="199" t="s">
        <v>3252</v>
      </c>
      <c r="V3693" s="354">
        <f t="shared" si="336"/>
        <v>890</v>
      </c>
      <c r="W3693" s="623" t="s">
        <v>332</v>
      </c>
      <c r="X3693" s="354">
        <f t="shared" si="337"/>
        <v>890</v>
      </c>
    </row>
    <row r="3694" spans="6:24" ht="24" customHeight="1">
      <c r="F3694" s="167">
        <f>F3673</f>
        <v>1</v>
      </c>
      <c r="G3694" s="76"/>
      <c r="H3694" s="154" t="str">
        <f>H3673</f>
        <v>COST OF JOINTING  MATERIALS</v>
      </c>
      <c r="I3694" s="167">
        <f>I3673</f>
        <v>12.1</v>
      </c>
      <c r="J3694" s="154" t="s">
        <v>589</v>
      </c>
      <c r="K3694" s="167">
        <f>(F3694*I3694)</f>
        <v>12.1</v>
      </c>
      <c r="S3694" s="615">
        <v>6</v>
      </c>
      <c r="T3694" s="616" t="s">
        <v>1882</v>
      </c>
      <c r="U3694" s="615" t="s">
        <v>3264</v>
      </c>
      <c r="V3694" s="354">
        <f t="shared" si="336"/>
        <v>1.45</v>
      </c>
      <c r="W3694" s="618" t="s">
        <v>42</v>
      </c>
      <c r="X3694" s="354">
        <f t="shared" si="337"/>
        <v>8.6999999999999993</v>
      </c>
    </row>
    <row r="3695" spans="6:24" ht="24" customHeight="1">
      <c r="G3695" s="76"/>
      <c r="H3695" s="154" t="str">
        <f>H3674</f>
        <v>SUNDRIES</v>
      </c>
      <c r="J3695" s="154" t="s">
        <v>589</v>
      </c>
      <c r="K3695" s="167">
        <v>24.3</v>
      </c>
      <c r="S3695" s="615">
        <v>2</v>
      </c>
      <c r="T3695" s="616" t="s">
        <v>1882</v>
      </c>
      <c r="U3695" s="615" t="s">
        <v>3265</v>
      </c>
      <c r="V3695" s="354">
        <f t="shared" si="336"/>
        <v>108.7</v>
      </c>
      <c r="W3695" s="623" t="s">
        <v>332</v>
      </c>
      <c r="X3695" s="354">
        <f t="shared" si="337"/>
        <v>217.4</v>
      </c>
    </row>
    <row r="3696" spans="6:24" ht="24" customHeight="1">
      <c r="G3696" s="76"/>
      <c r="J3696" s="76"/>
      <c r="K3696" s="167"/>
      <c r="S3696" s="615">
        <v>2</v>
      </c>
      <c r="T3696" s="616" t="s">
        <v>1882</v>
      </c>
      <c r="U3696" s="615" t="s">
        <v>3256</v>
      </c>
      <c r="V3696" s="354">
        <f t="shared" si="336"/>
        <v>54</v>
      </c>
      <c r="W3696" s="623" t="s">
        <v>332</v>
      </c>
      <c r="X3696" s="354">
        <f t="shared" si="337"/>
        <v>108</v>
      </c>
    </row>
    <row r="3697" spans="6:26" ht="24" customHeight="1">
      <c r="G3697" s="76"/>
      <c r="H3697" s="154" t="s">
        <v>1138</v>
      </c>
      <c r="J3697" s="76"/>
      <c r="K3697" s="167">
        <f>SUM(K3683:K3696)</f>
        <v>18700.412999999997</v>
      </c>
      <c r="S3697" s="346"/>
      <c r="T3697" s="346"/>
      <c r="U3697" s="154" t="s">
        <v>3266</v>
      </c>
      <c r="W3697" s="352"/>
      <c r="X3697" s="354">
        <f>SUM(X3685:X3696)</f>
        <v>14049.221</v>
      </c>
      <c r="Y3697" s="349"/>
    </row>
    <row r="3698" spans="6:26" ht="24" customHeight="1">
      <c r="G3698" s="76"/>
      <c r="J3698" s="76"/>
      <c r="K3698" s="162" t="s">
        <v>534</v>
      </c>
      <c r="S3698" s="619"/>
      <c r="T3698" s="619"/>
      <c r="U3698" s="154" t="s">
        <v>881</v>
      </c>
      <c r="W3698" s="611"/>
      <c r="X3698" s="358">
        <f>X3697/2.1</f>
        <v>6690.1052380952378</v>
      </c>
      <c r="Y3698" s="360"/>
    </row>
    <row r="3699" spans="6:26" ht="24" customHeight="1">
      <c r="G3699" s="76"/>
      <c r="H3699" s="154" t="s">
        <v>1139</v>
      </c>
      <c r="J3699" s="76"/>
      <c r="K3699" s="166">
        <f>(K3697/30)</f>
        <v>623.34709999999984</v>
      </c>
      <c r="S3699" s="619"/>
      <c r="T3699" s="619"/>
      <c r="U3699" s="619"/>
      <c r="V3699" s="619"/>
      <c r="W3699" s="619"/>
      <c r="X3699" s="619"/>
    </row>
    <row r="3700" spans="6:26" ht="24" customHeight="1">
      <c r="G3700" s="76"/>
      <c r="J3700" s="76"/>
      <c r="S3700" s="76"/>
      <c r="U3700" s="199" t="s">
        <v>3267</v>
      </c>
    </row>
    <row r="3701" spans="6:26" ht="240.75" customHeight="1">
      <c r="S3701" s="610"/>
      <c r="T3701" s="610"/>
      <c r="U3701" s="624" t="s">
        <v>3268</v>
      </c>
      <c r="V3701" s="624"/>
      <c r="W3701" s="624"/>
      <c r="X3701" s="624"/>
      <c r="Y3701" s="624"/>
      <c r="Z3701" s="624"/>
    </row>
    <row r="3702" spans="6:26" ht="25.5" customHeight="1">
      <c r="S3702" s="610"/>
      <c r="T3702" s="610"/>
      <c r="U3702" s="624"/>
      <c r="V3702" s="624"/>
      <c r="W3702" s="624"/>
      <c r="X3702" s="624"/>
      <c r="Y3702" s="624"/>
      <c r="Z3702" s="624"/>
    </row>
    <row r="3703" spans="6:26" ht="24" customHeight="1">
      <c r="F3703" s="619"/>
      <c r="G3703" s="619"/>
      <c r="H3703" s="619"/>
      <c r="I3703" s="619"/>
      <c r="J3703" s="619"/>
      <c r="K3703" s="619"/>
      <c r="L3703" s="619"/>
      <c r="M3703" s="619"/>
      <c r="N3703" s="619"/>
      <c r="S3703" s="351">
        <v>17.440000000000001</v>
      </c>
      <c r="T3703" s="352" t="s">
        <v>31</v>
      </c>
      <c r="U3703" s="612" t="s">
        <v>3269</v>
      </c>
      <c r="V3703" s="354">
        <f>V3685</f>
        <v>287</v>
      </c>
      <c r="W3703" s="352" t="s">
        <v>31</v>
      </c>
      <c r="X3703" s="354">
        <f>V3703*S3703</f>
        <v>5005.2800000000007</v>
      </c>
      <c r="Y3703" s="349"/>
    </row>
    <row r="3704" spans="6:26" ht="24" customHeight="1">
      <c r="F3704" s="619"/>
      <c r="G3704" s="619"/>
      <c r="H3704" s="625" t="s">
        <v>3270</v>
      </c>
      <c r="I3704" s="625"/>
      <c r="J3704" s="625"/>
      <c r="K3704" s="625"/>
      <c r="L3704" s="619"/>
      <c r="M3704" s="619"/>
      <c r="N3704" s="619"/>
      <c r="S3704" s="613">
        <v>13.56</v>
      </c>
      <c r="T3704" s="352" t="s">
        <v>41</v>
      </c>
      <c r="U3704" s="355" t="s">
        <v>3263</v>
      </c>
      <c r="V3704" s="354">
        <v>33.89</v>
      </c>
      <c r="W3704" s="352" t="s">
        <v>41</v>
      </c>
      <c r="X3704" s="354">
        <v>501.66</v>
      </c>
      <c r="Y3704" s="349"/>
    </row>
    <row r="3705" spans="6:26" ht="24" customHeight="1">
      <c r="F3705" s="619">
        <v>11</v>
      </c>
      <c r="G3705" s="626" t="s">
        <v>250</v>
      </c>
      <c r="H3705" s="619" t="s">
        <v>3271</v>
      </c>
      <c r="I3705" s="627">
        <v>378</v>
      </c>
      <c r="J3705" s="626" t="s">
        <v>250</v>
      </c>
      <c r="K3705" s="479">
        <f>I3705*F3705</f>
        <v>4158</v>
      </c>
      <c r="L3705" s="619"/>
      <c r="M3705" s="619"/>
      <c r="N3705" s="619"/>
      <c r="S3705" s="351">
        <v>2.62</v>
      </c>
      <c r="T3705" s="352" t="s">
        <v>141</v>
      </c>
      <c r="U3705" s="355" t="s">
        <v>3272</v>
      </c>
      <c r="V3705" s="354">
        <v>258.52</v>
      </c>
      <c r="W3705" s="352" t="s">
        <v>141</v>
      </c>
      <c r="X3705" s="354">
        <f>V3705*S3705</f>
        <v>677.32240000000002</v>
      </c>
      <c r="Y3705" s="349"/>
    </row>
    <row r="3706" spans="6:26" ht="24" customHeight="1">
      <c r="F3706" s="619">
        <v>2.2000000000000002</v>
      </c>
      <c r="G3706" s="619" t="s">
        <v>332</v>
      </c>
      <c r="H3706" s="619" t="s">
        <v>3273</v>
      </c>
      <c r="I3706" s="346">
        <f>AE17</f>
        <v>633.6</v>
      </c>
      <c r="J3706" s="619" t="s">
        <v>332</v>
      </c>
      <c r="K3706" s="479">
        <f>I3706*F3706</f>
        <v>1393.92</v>
      </c>
      <c r="L3706" s="619"/>
      <c r="M3706" s="619"/>
      <c r="N3706" s="619"/>
      <c r="S3706" s="351">
        <v>8</v>
      </c>
      <c r="T3706" s="352" t="s">
        <v>3</v>
      </c>
      <c r="U3706" s="355" t="s">
        <v>3274</v>
      </c>
      <c r="V3706" s="354">
        <v>13.1</v>
      </c>
      <c r="W3706" s="352" t="s">
        <v>3</v>
      </c>
      <c r="X3706" s="354">
        <f>V3706*S3706</f>
        <v>104.8</v>
      </c>
      <c r="Y3706" s="349"/>
    </row>
    <row r="3707" spans="6:26" ht="24" customHeight="1">
      <c r="F3707" s="619">
        <v>1.1000000000000001</v>
      </c>
      <c r="G3707" s="619" t="s">
        <v>332</v>
      </c>
      <c r="H3707" s="619" t="s">
        <v>3275</v>
      </c>
      <c r="I3707" s="346">
        <f>AE19</f>
        <v>701.80000000000007</v>
      </c>
      <c r="J3707" s="619" t="s">
        <v>332</v>
      </c>
      <c r="K3707" s="479">
        <f>I3707*F3707</f>
        <v>771.98000000000013</v>
      </c>
      <c r="L3707" s="619"/>
      <c r="M3707" s="619"/>
      <c r="N3707" s="619"/>
      <c r="S3707" s="351">
        <v>3</v>
      </c>
      <c r="T3707" s="352" t="s">
        <v>3</v>
      </c>
      <c r="U3707" s="355" t="s">
        <v>3276</v>
      </c>
      <c r="V3707" s="354">
        <v>62.8</v>
      </c>
      <c r="W3707" s="352" t="s">
        <v>301</v>
      </c>
      <c r="X3707" s="354">
        <f>V3707*S3707</f>
        <v>188.39999999999998</v>
      </c>
      <c r="Y3707" s="349"/>
    </row>
    <row r="3708" spans="6:26" ht="24" customHeight="1">
      <c r="F3708" s="619">
        <v>3.2</v>
      </c>
      <c r="G3708" s="619" t="s">
        <v>332</v>
      </c>
      <c r="H3708" s="628" t="s">
        <v>3277</v>
      </c>
      <c r="I3708" s="346">
        <f>AE11</f>
        <v>468.6</v>
      </c>
      <c r="J3708" s="619" t="s">
        <v>332</v>
      </c>
      <c r="K3708" s="479">
        <f>I3708*F3708</f>
        <v>1499.5200000000002</v>
      </c>
      <c r="L3708" s="619"/>
      <c r="M3708" s="619"/>
      <c r="N3708" s="619"/>
      <c r="S3708" s="351">
        <v>4</v>
      </c>
      <c r="T3708" s="352" t="s">
        <v>3</v>
      </c>
      <c r="U3708" s="355" t="s">
        <v>3278</v>
      </c>
      <c r="V3708" s="354">
        <v>29.5</v>
      </c>
      <c r="W3708" s="352" t="s">
        <v>680</v>
      </c>
      <c r="X3708" s="354">
        <f>V3708*S3708</f>
        <v>118</v>
      </c>
      <c r="Y3708" s="349"/>
    </row>
    <row r="3709" spans="6:26" ht="24" customHeight="1">
      <c r="F3709" s="619"/>
      <c r="G3709" s="619" t="s">
        <v>3279</v>
      </c>
      <c r="H3709" s="619" t="s">
        <v>3280</v>
      </c>
      <c r="I3709" s="619" t="s">
        <v>3279</v>
      </c>
      <c r="J3709" s="619"/>
      <c r="K3709" s="619">
        <v>107.11</v>
      </c>
      <c r="L3709" s="619"/>
      <c r="M3709" s="619"/>
      <c r="N3709" s="619"/>
      <c r="S3709" s="351">
        <v>2.4300000000000002</v>
      </c>
      <c r="T3709" s="352" t="s">
        <v>250</v>
      </c>
      <c r="U3709" s="355" t="s">
        <v>2158</v>
      </c>
      <c r="V3709" s="349">
        <f>X3677</f>
        <v>1437.15</v>
      </c>
      <c r="W3709" s="352" t="s">
        <v>250</v>
      </c>
      <c r="X3709" s="354">
        <f>V3709*S3709</f>
        <v>3492.2745000000004</v>
      </c>
      <c r="Y3709" s="349"/>
    </row>
    <row r="3710" spans="6:26" ht="24" customHeight="1">
      <c r="F3710" s="619"/>
      <c r="G3710" s="619"/>
      <c r="H3710" s="619" t="s">
        <v>3281</v>
      </c>
      <c r="I3710" s="619"/>
      <c r="J3710" s="619"/>
      <c r="K3710" s="479">
        <f>SUM(K3705:K3709)</f>
        <v>7930.5300000000007</v>
      </c>
      <c r="L3710" s="619"/>
      <c r="M3710" s="619"/>
      <c r="N3710" s="619"/>
      <c r="S3710" s="199"/>
      <c r="T3710" s="227" t="s">
        <v>519</v>
      </c>
      <c r="U3710" s="199" t="s">
        <v>3282</v>
      </c>
      <c r="V3710" s="199"/>
      <c r="W3710" s="207" t="s">
        <v>519</v>
      </c>
      <c r="X3710" s="199">
        <v>130</v>
      </c>
      <c r="Y3710" s="349"/>
    </row>
    <row r="3711" spans="6:26" ht="24" customHeight="1">
      <c r="F3711" s="619"/>
      <c r="G3711" s="619"/>
      <c r="H3711" s="619" t="s">
        <v>3283</v>
      </c>
      <c r="I3711" s="619"/>
      <c r="J3711" s="619"/>
      <c r="K3711" s="629">
        <f>K3710/10</f>
        <v>793.05300000000011</v>
      </c>
      <c r="L3711" s="619"/>
      <c r="M3711" s="619"/>
      <c r="N3711" s="619">
        <f>L3711</f>
        <v>0</v>
      </c>
      <c r="S3711" s="199"/>
      <c r="T3711" s="227"/>
      <c r="U3711" s="199"/>
      <c r="V3711" s="199"/>
      <c r="W3711" s="207"/>
      <c r="X3711" s="199">
        <f>SUM(X3703:X3710)</f>
        <v>10217.7369</v>
      </c>
      <c r="Y3711" s="349"/>
    </row>
    <row r="3712" spans="6:26" ht="24" customHeight="1">
      <c r="F3712" s="619"/>
      <c r="G3712" s="619"/>
      <c r="H3712" s="619"/>
      <c r="I3712" s="619"/>
      <c r="J3712" s="619"/>
      <c r="K3712" s="619"/>
      <c r="L3712" s="619"/>
      <c r="M3712" s="619"/>
      <c r="N3712" s="619"/>
      <c r="X3712" s="199">
        <f>X3711/S3709</f>
        <v>4204.83</v>
      </c>
      <c r="Y3712" s="349" t="s">
        <v>250</v>
      </c>
    </row>
    <row r="3713" spans="6:25" ht="24" customHeight="1">
      <c r="F3713" s="1021" t="s">
        <v>3284</v>
      </c>
      <c r="G3713" s="1021"/>
      <c r="H3713" s="1021"/>
      <c r="I3713" s="1021"/>
      <c r="J3713" s="1021"/>
      <c r="K3713" s="1021"/>
      <c r="L3713" s="1021"/>
      <c r="M3713" s="1021"/>
      <c r="N3713" s="619"/>
      <c r="W3713" s="76" t="s">
        <v>237</v>
      </c>
      <c r="X3713" s="76">
        <v>3584</v>
      </c>
      <c r="Y3713" s="349"/>
    </row>
    <row r="3714" spans="6:25" ht="36.75" customHeight="1">
      <c r="F3714" s="630"/>
      <c r="G3714" s="630"/>
      <c r="H3714" s="631" t="s">
        <v>3285</v>
      </c>
      <c r="I3714" s="631"/>
      <c r="J3714" s="631"/>
      <c r="K3714" s="631"/>
      <c r="L3714" s="630"/>
      <c r="M3714" s="1021"/>
      <c r="N3714" s="619"/>
      <c r="S3714" s="76"/>
      <c r="U3714" s="199" t="s">
        <v>3286</v>
      </c>
      <c r="Y3714" s="349"/>
    </row>
    <row r="3715" spans="6:25" ht="233.25" customHeight="1">
      <c r="F3715" s="632">
        <v>36</v>
      </c>
      <c r="G3715" s="630" t="s">
        <v>41</v>
      </c>
      <c r="H3715" s="633" t="s">
        <v>3287</v>
      </c>
      <c r="I3715" s="634">
        <v>34.6</v>
      </c>
      <c r="J3715" s="635" t="str">
        <f>G3715</f>
        <v>Rmt</v>
      </c>
      <c r="K3715" s="632">
        <f>I3715*F3715</f>
        <v>1245.6000000000001</v>
      </c>
      <c r="L3715" s="630"/>
      <c r="M3715" s="1021"/>
      <c r="N3715" s="619"/>
      <c r="S3715" s="610"/>
      <c r="T3715" s="610"/>
      <c r="U3715" s="624" t="s">
        <v>3288</v>
      </c>
      <c r="V3715" s="624"/>
      <c r="W3715" s="624"/>
      <c r="X3715" s="624"/>
      <c r="Y3715" s="349"/>
    </row>
    <row r="3716" spans="6:25" ht="36.75" customHeight="1">
      <c r="F3716" s="632">
        <v>9</v>
      </c>
      <c r="G3716" s="635" t="s">
        <v>250</v>
      </c>
      <c r="H3716" s="636" t="s">
        <v>3289</v>
      </c>
      <c r="I3716" s="632">
        <v>350</v>
      </c>
      <c r="J3716" s="635" t="str">
        <f>G3716</f>
        <v>Sqm</v>
      </c>
      <c r="K3716" s="632">
        <f>I3716*F3716</f>
        <v>3150</v>
      </c>
      <c r="L3716" s="630"/>
      <c r="M3716" s="1021"/>
      <c r="N3716" s="619"/>
      <c r="S3716" s="610"/>
      <c r="T3716" s="610"/>
      <c r="U3716" s="624"/>
      <c r="V3716" s="624"/>
      <c r="W3716" s="624"/>
      <c r="X3716" s="624"/>
      <c r="Y3716" s="349"/>
    </row>
    <row r="3717" spans="6:25" ht="36.75" customHeight="1">
      <c r="F3717" s="632">
        <v>9</v>
      </c>
      <c r="G3717" s="635" t="s">
        <v>250</v>
      </c>
      <c r="H3717" s="636" t="s">
        <v>3290</v>
      </c>
      <c r="I3717" s="632">
        <v>860.8</v>
      </c>
      <c r="J3717" s="635" t="str">
        <f>G3717</f>
        <v>Sqm</v>
      </c>
      <c r="K3717" s="632">
        <f>I3717*F3717</f>
        <v>7747.2</v>
      </c>
      <c r="L3717" s="630"/>
      <c r="M3717" s="1021"/>
      <c r="N3717" s="619"/>
      <c r="S3717" s="351">
        <v>14.43</v>
      </c>
      <c r="T3717" s="352" t="s">
        <v>31</v>
      </c>
      <c r="U3717" s="612" t="s">
        <v>3242</v>
      </c>
      <c r="V3717" s="354">
        <f>V3703</f>
        <v>287</v>
      </c>
      <c r="W3717" s="352" t="s">
        <v>31</v>
      </c>
      <c r="X3717" s="354">
        <f>V3717*S3717</f>
        <v>4141.41</v>
      </c>
      <c r="Y3717" s="349"/>
    </row>
    <row r="3718" spans="6:25" ht="36.75" customHeight="1">
      <c r="F3718" s="632">
        <v>9</v>
      </c>
      <c r="G3718" s="635" t="s">
        <v>250</v>
      </c>
      <c r="H3718" s="633" t="s">
        <v>3291</v>
      </c>
      <c r="I3718" s="632">
        <f>R2416</f>
        <v>1159.4266313932981</v>
      </c>
      <c r="J3718" s="635" t="str">
        <f>G3718</f>
        <v>Sqm</v>
      </c>
      <c r="K3718" s="632">
        <f>I3718*F3718</f>
        <v>10434.839682539683</v>
      </c>
      <c r="L3718" s="630"/>
      <c r="M3718" s="1021"/>
      <c r="N3718" s="619"/>
      <c r="S3718" s="613">
        <v>10.433999999999999</v>
      </c>
      <c r="T3718" s="352" t="s">
        <v>41</v>
      </c>
      <c r="U3718" s="355" t="s">
        <v>3263</v>
      </c>
      <c r="V3718" s="354">
        <f t="shared" ref="V3718:V3723" si="338">V3704</f>
        <v>33.89</v>
      </c>
      <c r="W3718" s="352" t="s">
        <v>41</v>
      </c>
      <c r="X3718" s="354">
        <v>501.66</v>
      </c>
      <c r="Y3718" s="349"/>
    </row>
    <row r="3719" spans="6:25" ht="36.75" customHeight="1">
      <c r="F3719" s="632">
        <v>9</v>
      </c>
      <c r="G3719" s="635" t="s">
        <v>250</v>
      </c>
      <c r="H3719" s="630" t="s">
        <v>3292</v>
      </c>
      <c r="I3719" s="632">
        <f>K3727</f>
        <v>1304.6000000000001</v>
      </c>
      <c r="J3719" s="635" t="str">
        <f>G3719</f>
        <v>Sqm</v>
      </c>
      <c r="K3719" s="632">
        <f>I3719*F3719</f>
        <v>11741.400000000001</v>
      </c>
      <c r="L3719" s="630"/>
      <c r="M3719" s="1021"/>
      <c r="N3719" s="619"/>
      <c r="S3719" s="351">
        <v>2.16</v>
      </c>
      <c r="T3719" s="352" t="s">
        <v>141</v>
      </c>
      <c r="U3719" s="355" t="s">
        <v>3272</v>
      </c>
      <c r="V3719" s="354">
        <f t="shared" si="338"/>
        <v>258.52</v>
      </c>
      <c r="W3719" s="352" t="s">
        <v>141</v>
      </c>
      <c r="X3719" s="354">
        <f>V3719*S3719</f>
        <v>558.40319999999997</v>
      </c>
      <c r="Y3719" s="349"/>
    </row>
    <row r="3720" spans="6:25" ht="36.75" customHeight="1">
      <c r="F3720" s="630"/>
      <c r="G3720" s="630"/>
      <c r="H3720" s="630"/>
      <c r="I3720" s="630"/>
      <c r="J3720" s="630"/>
      <c r="K3720" s="632">
        <f>SUM(K3715:K3719)</f>
        <v>34319.039682539682</v>
      </c>
      <c r="L3720" s="630"/>
      <c r="M3720" s="1021"/>
      <c r="N3720" s="619"/>
      <c r="S3720" s="351">
        <v>6</v>
      </c>
      <c r="T3720" s="352" t="s">
        <v>3</v>
      </c>
      <c r="U3720" s="355" t="s">
        <v>3293</v>
      </c>
      <c r="V3720" s="354">
        <f t="shared" si="338"/>
        <v>13.1</v>
      </c>
      <c r="W3720" s="352" t="s">
        <v>3</v>
      </c>
      <c r="X3720" s="354">
        <f>V3720*S3720</f>
        <v>78.599999999999994</v>
      </c>
      <c r="Y3720" s="360"/>
    </row>
    <row r="3721" spans="6:25" ht="36.75" customHeight="1">
      <c r="F3721" s="630"/>
      <c r="G3721" s="630"/>
      <c r="H3721" s="630" t="s">
        <v>3294</v>
      </c>
      <c r="I3721" s="630"/>
      <c r="J3721" s="635"/>
      <c r="K3721" s="632">
        <f>K3720/9</f>
        <v>3813.2266313932978</v>
      </c>
      <c r="L3721" s="630"/>
      <c r="M3721" s="1021"/>
      <c r="N3721" s="619"/>
      <c r="S3721" s="351">
        <v>2</v>
      </c>
      <c r="T3721" s="352" t="s">
        <v>3</v>
      </c>
      <c r="U3721" s="355" t="s">
        <v>3295</v>
      </c>
      <c r="V3721" s="354">
        <f t="shared" si="338"/>
        <v>62.8</v>
      </c>
      <c r="W3721" s="352" t="s">
        <v>301</v>
      </c>
      <c r="X3721" s="354">
        <f>V3721*S3721</f>
        <v>125.6</v>
      </c>
      <c r="Y3721" s="349"/>
    </row>
    <row r="3722" spans="6:25" ht="24" customHeight="1">
      <c r="F3722" s="630"/>
      <c r="G3722" s="630"/>
      <c r="H3722" s="637" t="s">
        <v>266</v>
      </c>
      <c r="I3722" s="631" t="s">
        <v>3296</v>
      </c>
      <c r="J3722" s="630"/>
      <c r="K3722" s="638">
        <v>3282</v>
      </c>
      <c r="L3722" s="630"/>
      <c r="M3722" s="631"/>
      <c r="N3722" s="619"/>
      <c r="S3722" s="351">
        <v>3</v>
      </c>
      <c r="T3722" s="352" t="s">
        <v>3</v>
      </c>
      <c r="U3722" s="355" t="s">
        <v>3297</v>
      </c>
      <c r="V3722" s="354">
        <f t="shared" si="338"/>
        <v>29.5</v>
      </c>
      <c r="W3722" s="352" t="s">
        <v>680</v>
      </c>
      <c r="X3722" s="354">
        <f>V3722*S3722</f>
        <v>88.5</v>
      </c>
      <c r="Y3722" s="349"/>
    </row>
    <row r="3723" spans="6:25" ht="24" customHeight="1">
      <c r="F3723" s="630"/>
      <c r="G3723" s="630"/>
      <c r="H3723" s="630" t="s">
        <v>3298</v>
      </c>
      <c r="I3723" s="630"/>
      <c r="J3723" s="630"/>
      <c r="K3723" s="630"/>
      <c r="L3723" s="630"/>
      <c r="M3723" s="1021"/>
      <c r="N3723" s="619"/>
      <c r="S3723" s="351">
        <v>1.823</v>
      </c>
      <c r="T3723" s="352" t="s">
        <v>250</v>
      </c>
      <c r="U3723" s="355" t="s">
        <v>2158</v>
      </c>
      <c r="V3723" s="354">
        <f t="shared" si="338"/>
        <v>1437.15</v>
      </c>
      <c r="W3723" s="352" t="s">
        <v>250</v>
      </c>
      <c r="X3723" s="354">
        <f>V3723*S3723</f>
        <v>2619.92445</v>
      </c>
      <c r="Y3723" s="349"/>
    </row>
    <row r="3724" spans="6:25" ht="24" customHeight="1">
      <c r="F3724" s="632">
        <v>1</v>
      </c>
      <c r="G3724" s="635" t="s">
        <v>2280</v>
      </c>
      <c r="H3724" s="632" t="s">
        <v>3299</v>
      </c>
      <c r="I3724" s="632">
        <f>AE17</f>
        <v>633.6</v>
      </c>
      <c r="J3724" s="635" t="s">
        <v>2280</v>
      </c>
      <c r="K3724" s="630">
        <f>I3724*F3724</f>
        <v>633.6</v>
      </c>
      <c r="L3724" s="630"/>
      <c r="M3724" s="1021"/>
      <c r="N3724" s="619"/>
      <c r="S3724" s="199"/>
      <c r="T3724" s="227" t="s">
        <v>519</v>
      </c>
      <c r="U3724" s="199" t="s">
        <v>3282</v>
      </c>
      <c r="V3724" s="199"/>
      <c r="W3724" s="207" t="s">
        <v>519</v>
      </c>
      <c r="X3724" s="199">
        <v>110</v>
      </c>
      <c r="Y3724" s="349"/>
    </row>
    <row r="3725" spans="6:25" ht="24" customHeight="1">
      <c r="F3725" s="632">
        <v>1</v>
      </c>
      <c r="G3725" s="635" t="s">
        <v>2280</v>
      </c>
      <c r="H3725" s="633" t="s">
        <v>754</v>
      </c>
      <c r="I3725" s="632">
        <f>AE11</f>
        <v>468.6</v>
      </c>
      <c r="J3725" s="635" t="s">
        <v>2280</v>
      </c>
      <c r="K3725" s="630">
        <f>I3725*F3725</f>
        <v>468.6</v>
      </c>
      <c r="L3725" s="630"/>
      <c r="M3725" s="1021"/>
      <c r="N3725" s="619"/>
      <c r="S3725" s="199"/>
      <c r="T3725" s="227"/>
      <c r="U3725" s="199"/>
      <c r="V3725" s="199"/>
      <c r="W3725" s="207"/>
      <c r="X3725" s="199">
        <f>SUM(X3717:X3724)</f>
        <v>8224.0976499999997</v>
      </c>
      <c r="Y3725" s="349"/>
    </row>
    <row r="3726" spans="6:25" ht="24" customHeight="1">
      <c r="F3726" s="632">
        <v>0.5</v>
      </c>
      <c r="G3726" s="635" t="s">
        <v>2280</v>
      </c>
      <c r="H3726" s="633" t="s">
        <v>756</v>
      </c>
      <c r="I3726" s="632">
        <f>AE12</f>
        <v>404.8</v>
      </c>
      <c r="J3726" s="635" t="s">
        <v>2280</v>
      </c>
      <c r="K3726" s="630">
        <f>I3726*F3726</f>
        <v>202.4</v>
      </c>
      <c r="L3726" s="630"/>
      <c r="M3726" s="1021"/>
      <c r="N3726" s="619"/>
      <c r="X3726" s="199">
        <f>X3725/S3723</f>
        <v>4511.2987657707072</v>
      </c>
      <c r="Y3726" s="349"/>
    </row>
    <row r="3727" spans="6:25" ht="24" customHeight="1">
      <c r="F3727" s="630"/>
      <c r="G3727" s="630"/>
      <c r="H3727" s="630"/>
      <c r="I3727" s="630"/>
      <c r="J3727" s="630"/>
      <c r="K3727" s="630">
        <f>SUM(K3724:K3726)</f>
        <v>1304.6000000000001</v>
      </c>
      <c r="L3727" s="630"/>
      <c r="M3727" s="1021"/>
      <c r="N3727" s="619"/>
      <c r="X3727" s="76">
        <v>3873</v>
      </c>
      <c r="Y3727" s="349"/>
    </row>
    <row r="3728" spans="6:25" ht="24" customHeight="1">
      <c r="F3728" s="630"/>
      <c r="G3728" s="630"/>
      <c r="H3728" s="630"/>
      <c r="I3728" s="630"/>
      <c r="J3728" s="630"/>
      <c r="K3728" s="630"/>
      <c r="L3728" s="630"/>
      <c r="M3728" s="1021"/>
      <c r="N3728" s="619"/>
      <c r="S3728" s="349"/>
      <c r="T3728" s="357"/>
      <c r="U3728" s="349"/>
      <c r="V3728" s="349"/>
      <c r="W3728" s="362"/>
      <c r="X3728" s="363"/>
      <c r="Y3728" s="349"/>
    </row>
    <row r="3729" spans="6:24" ht="24" customHeight="1">
      <c r="F3729" s="619"/>
      <c r="G3729" s="619"/>
      <c r="H3729" s="619"/>
      <c r="I3729" s="619"/>
      <c r="J3729" s="619"/>
      <c r="K3729" s="619"/>
      <c r="L3729" s="619"/>
      <c r="M3729" s="619"/>
      <c r="N3729" s="619"/>
      <c r="S3729" s="76"/>
    </row>
    <row r="3730" spans="6:24" ht="24" customHeight="1">
      <c r="F3730" s="346"/>
      <c r="G3730" s="346"/>
      <c r="H3730" s="263"/>
      <c r="I3730" s="346"/>
      <c r="J3730" s="346"/>
      <c r="K3730" s="619"/>
      <c r="L3730" s="619"/>
      <c r="M3730" s="619"/>
      <c r="N3730" s="619"/>
    </row>
    <row r="3731" spans="6:24" ht="24" customHeight="1">
      <c r="F3731" s="619"/>
      <c r="G3731" s="619"/>
      <c r="H3731" s="639" t="s">
        <v>3300</v>
      </c>
      <c r="I3731" s="625"/>
      <c r="J3731" s="619"/>
      <c r="K3731" s="619"/>
      <c r="L3731" s="619"/>
      <c r="M3731" s="619"/>
      <c r="N3731" s="619"/>
    </row>
    <row r="3732" spans="6:24" ht="24" customHeight="1">
      <c r="F3732" s="619"/>
      <c r="G3732" s="619"/>
      <c r="H3732" s="619"/>
      <c r="I3732" s="619"/>
      <c r="J3732" s="619"/>
      <c r="K3732" s="619"/>
      <c r="L3732" s="619"/>
      <c r="M3732" s="619"/>
      <c r="N3732" s="619"/>
      <c r="X3732" s="76">
        <f>X3727/10.76</f>
        <v>359.94423791821561</v>
      </c>
    </row>
    <row r="3733" spans="6:24" ht="24" customHeight="1">
      <c r="F3733" s="627"/>
      <c r="G3733" s="626"/>
      <c r="H3733" s="640" t="s">
        <v>3301</v>
      </c>
      <c r="I3733" s="627"/>
      <c r="J3733" s="627"/>
      <c r="K3733" s="619"/>
      <c r="L3733" s="619"/>
      <c r="M3733" s="619"/>
      <c r="N3733" s="619"/>
    </row>
    <row r="3734" spans="6:24" ht="24" customHeight="1">
      <c r="F3734" s="627"/>
      <c r="G3734" s="626"/>
      <c r="H3734" s="628"/>
      <c r="I3734" s="627"/>
      <c r="J3734" s="627"/>
      <c r="K3734" s="619"/>
      <c r="L3734" s="619"/>
      <c r="M3734" s="619"/>
      <c r="N3734" s="619"/>
    </row>
    <row r="3735" spans="6:24" ht="24" customHeight="1">
      <c r="F3735" s="619"/>
      <c r="G3735" s="619"/>
      <c r="H3735" s="496" t="s">
        <v>3302</v>
      </c>
      <c r="I3735" s="627"/>
      <c r="J3735" s="619"/>
      <c r="K3735" s="619"/>
      <c r="L3735" s="619"/>
      <c r="M3735" s="619"/>
      <c r="N3735" s="619"/>
    </row>
    <row r="3736" spans="6:24" ht="24" customHeight="1">
      <c r="F3736" s="627">
        <v>5</v>
      </c>
      <c r="G3736" s="626" t="s">
        <v>420</v>
      </c>
      <c r="H3736" s="627" t="s">
        <v>3303</v>
      </c>
      <c r="I3736" s="627">
        <v>27.3</v>
      </c>
      <c r="J3736" s="626" t="s">
        <v>420</v>
      </c>
      <c r="K3736" s="626">
        <f>I3736*F3736</f>
        <v>136.5</v>
      </c>
      <c r="L3736" s="619"/>
      <c r="M3736" s="619"/>
      <c r="N3736" s="619"/>
    </row>
    <row r="3737" spans="6:24" ht="24" customHeight="1">
      <c r="F3737" s="627">
        <v>1</v>
      </c>
      <c r="G3737" s="626" t="s">
        <v>42</v>
      </c>
      <c r="H3737" s="627" t="s">
        <v>3304</v>
      </c>
      <c r="I3737" s="627">
        <f>AE13</f>
        <v>574.20000000000005</v>
      </c>
      <c r="J3737" s="626" t="s">
        <v>42</v>
      </c>
      <c r="K3737" s="626">
        <f>I3737*F3737</f>
        <v>574.20000000000005</v>
      </c>
      <c r="L3737" s="619"/>
      <c r="M3737" s="619"/>
      <c r="N3737" s="619"/>
    </row>
    <row r="3738" spans="6:24" ht="24" customHeight="1">
      <c r="F3738" s="627"/>
      <c r="G3738" s="641" t="s">
        <v>519</v>
      </c>
      <c r="H3738" s="628" t="s">
        <v>2996</v>
      </c>
      <c r="I3738" s="619"/>
      <c r="J3738" s="641" t="s">
        <v>519</v>
      </c>
      <c r="K3738" s="626">
        <v>0.8</v>
      </c>
      <c r="L3738" s="619"/>
      <c r="M3738" s="619"/>
      <c r="N3738" s="619"/>
    </row>
    <row r="3739" spans="6:24" ht="24" customHeight="1">
      <c r="F3739" s="619"/>
      <c r="G3739" s="619"/>
      <c r="H3739" s="628" t="s">
        <v>2609</v>
      </c>
      <c r="I3739" s="619"/>
      <c r="J3739" s="619"/>
      <c r="K3739" s="642">
        <f>SUM(K3736:K3738)</f>
        <v>711.5</v>
      </c>
      <c r="L3739" s="619"/>
      <c r="M3739" s="619"/>
      <c r="N3739" s="619"/>
    </row>
    <row r="3740" spans="6:24" ht="24" customHeight="1">
      <c r="F3740" s="619"/>
      <c r="G3740" s="619"/>
      <c r="H3740" s="628" t="s">
        <v>2662</v>
      </c>
      <c r="I3740" s="619"/>
      <c r="J3740" s="619"/>
      <c r="K3740" s="643">
        <f>K3739/10</f>
        <v>71.150000000000006</v>
      </c>
      <c r="L3740" s="619"/>
      <c r="M3740" s="619"/>
      <c r="N3740" s="619"/>
    </row>
    <row r="3743" spans="6:24" ht="24" customHeight="1">
      <c r="F3743" s="619"/>
      <c r="G3743" s="619"/>
      <c r="H3743" s="619"/>
      <c r="I3743" s="619"/>
      <c r="J3743" s="619"/>
      <c r="K3743" s="619"/>
      <c r="L3743" s="619"/>
      <c r="M3743" s="619"/>
      <c r="N3743" s="619"/>
    </row>
    <row r="3744" spans="6:24" ht="24" customHeight="1">
      <c r="F3744" s="627"/>
      <c r="G3744" s="626"/>
      <c r="H3744" s="640" t="s">
        <v>3305</v>
      </c>
      <c r="I3744" s="627"/>
      <c r="J3744" s="627"/>
      <c r="K3744" s="619"/>
      <c r="L3744" s="619"/>
      <c r="M3744" s="619"/>
      <c r="N3744" s="619"/>
    </row>
    <row r="3745" spans="6:14" ht="24" customHeight="1">
      <c r="F3745" s="627" t="s">
        <v>5</v>
      </c>
      <c r="G3745" s="626" t="s">
        <v>301</v>
      </c>
      <c r="H3745" s="628"/>
      <c r="I3745" s="627" t="s">
        <v>300</v>
      </c>
      <c r="J3745" s="626" t="s">
        <v>301</v>
      </c>
      <c r="K3745" s="626" t="s">
        <v>302</v>
      </c>
      <c r="L3745" s="619"/>
      <c r="M3745" s="619"/>
      <c r="N3745" s="619"/>
    </row>
    <row r="3746" spans="6:14" ht="24" customHeight="1">
      <c r="F3746" s="627"/>
      <c r="G3746" s="626"/>
      <c r="H3746" s="628"/>
      <c r="I3746" s="627"/>
      <c r="J3746" s="627"/>
      <c r="K3746" s="619"/>
      <c r="L3746" s="619"/>
      <c r="M3746" s="619"/>
      <c r="N3746" s="619"/>
    </row>
    <row r="3747" spans="6:14" ht="40.5" customHeight="1">
      <c r="F3747" s="627">
        <v>0.15</v>
      </c>
      <c r="G3747" s="626" t="s">
        <v>238</v>
      </c>
      <c r="H3747" s="644" t="s">
        <v>3306</v>
      </c>
      <c r="I3747" s="645">
        <f>I3641</f>
        <v>2502.8200000000002</v>
      </c>
      <c r="J3747" s="626" t="s">
        <v>238</v>
      </c>
      <c r="K3747" s="627">
        <f t="shared" ref="K3747:K3752" si="339">I3747*F3747</f>
        <v>375.423</v>
      </c>
      <c r="L3747" s="619"/>
      <c r="M3747" s="619"/>
      <c r="N3747" s="619"/>
    </row>
    <row r="3748" spans="6:14" ht="24" customHeight="1">
      <c r="F3748" s="646">
        <v>7.1999999999999995E-2</v>
      </c>
      <c r="G3748" s="626" t="s">
        <v>47</v>
      </c>
      <c r="H3748" s="628" t="s">
        <v>1430</v>
      </c>
      <c r="I3748" s="627">
        <f>I9</f>
        <v>5750</v>
      </c>
      <c r="J3748" s="626" t="s">
        <v>47</v>
      </c>
      <c r="K3748" s="627">
        <f t="shared" si="339"/>
        <v>413.99999999999994</v>
      </c>
      <c r="L3748" s="619"/>
      <c r="M3748" s="619"/>
      <c r="N3748" s="619"/>
    </row>
    <row r="3749" spans="6:14" ht="24" customHeight="1">
      <c r="F3749" s="627">
        <v>14.5</v>
      </c>
      <c r="G3749" s="626" t="s">
        <v>31</v>
      </c>
      <c r="H3749" s="496" t="s">
        <v>3307</v>
      </c>
      <c r="I3749" s="645">
        <f>P2433</f>
        <v>24.3</v>
      </c>
      <c r="J3749" s="626" t="s">
        <v>31</v>
      </c>
      <c r="K3749" s="627">
        <f t="shared" si="339"/>
        <v>352.35</v>
      </c>
      <c r="L3749" s="619"/>
      <c r="M3749" s="619"/>
      <c r="N3749" s="619"/>
    </row>
    <row r="3750" spans="6:14" ht="24" customHeight="1">
      <c r="F3750" s="627">
        <v>1.6</v>
      </c>
      <c r="G3750" s="626" t="s">
        <v>2280</v>
      </c>
      <c r="H3750" s="627" t="s">
        <v>3308</v>
      </c>
      <c r="I3750" s="627">
        <f>AE9</f>
        <v>717.2</v>
      </c>
      <c r="J3750" s="626" t="s">
        <v>2280</v>
      </c>
      <c r="K3750" s="627">
        <f t="shared" si="339"/>
        <v>1147.5200000000002</v>
      </c>
      <c r="L3750" s="619"/>
      <c r="M3750" s="619"/>
      <c r="N3750" s="619"/>
    </row>
    <row r="3751" spans="6:14" ht="24" customHeight="1">
      <c r="F3751" s="627">
        <v>0.5</v>
      </c>
      <c r="G3751" s="626" t="s">
        <v>2280</v>
      </c>
      <c r="H3751" s="628" t="s">
        <v>754</v>
      </c>
      <c r="I3751" s="627">
        <f>AE11</f>
        <v>468.6</v>
      </c>
      <c r="J3751" s="626" t="s">
        <v>2280</v>
      </c>
      <c r="K3751" s="627">
        <f t="shared" si="339"/>
        <v>234.3</v>
      </c>
      <c r="L3751" s="619"/>
      <c r="M3751" s="619"/>
      <c r="N3751" s="619"/>
    </row>
    <row r="3752" spans="6:14" ht="24" customHeight="1">
      <c r="F3752" s="627">
        <v>1.1000000000000001</v>
      </c>
      <c r="G3752" s="626" t="s">
        <v>2280</v>
      </c>
      <c r="H3752" s="628" t="s">
        <v>756</v>
      </c>
      <c r="I3752" s="627">
        <v>280</v>
      </c>
      <c r="J3752" s="626" t="s">
        <v>2280</v>
      </c>
      <c r="K3752" s="627">
        <f t="shared" si="339"/>
        <v>308</v>
      </c>
      <c r="L3752" s="619"/>
      <c r="M3752" s="619"/>
      <c r="N3752" s="619"/>
    </row>
    <row r="3753" spans="6:14" ht="24" customHeight="1">
      <c r="F3753" s="627"/>
      <c r="G3753" s="626"/>
      <c r="H3753" s="628" t="s">
        <v>2996</v>
      </c>
      <c r="I3753" s="647" t="s">
        <v>519</v>
      </c>
      <c r="J3753" s="626"/>
      <c r="K3753" s="627">
        <v>52.63</v>
      </c>
      <c r="L3753" s="619"/>
      <c r="M3753" s="619"/>
      <c r="N3753" s="619"/>
    </row>
    <row r="3754" spans="6:14" ht="24" customHeight="1">
      <c r="F3754" s="627"/>
      <c r="G3754" s="626"/>
      <c r="H3754" s="628" t="s">
        <v>2609</v>
      </c>
      <c r="I3754" s="619"/>
      <c r="J3754" s="619"/>
      <c r="K3754" s="627">
        <f>SUM(K3747:K3753)</f>
        <v>2884.2230000000009</v>
      </c>
      <c r="L3754" s="619"/>
      <c r="M3754" s="619"/>
      <c r="N3754" s="619"/>
    </row>
    <row r="3755" spans="6:14" ht="24" customHeight="1">
      <c r="F3755" s="619"/>
      <c r="G3755" s="619"/>
      <c r="H3755" s="628" t="s">
        <v>2662</v>
      </c>
      <c r="I3755" s="619"/>
      <c r="J3755" s="619"/>
      <c r="K3755" s="648">
        <f>K3754/10</f>
        <v>288.42230000000006</v>
      </c>
      <c r="L3755" s="619"/>
      <c r="M3755" s="619"/>
      <c r="N3755" s="619"/>
    </row>
    <row r="3756" spans="6:14" ht="24" customHeight="1">
      <c r="F3756" s="619"/>
      <c r="G3756" s="619"/>
      <c r="H3756" s="619"/>
      <c r="I3756" s="619"/>
      <c r="J3756" s="619"/>
      <c r="K3756" s="619"/>
      <c r="L3756" s="619"/>
      <c r="M3756" s="619"/>
      <c r="N3756" s="619"/>
    </row>
    <row r="3757" spans="6:14" ht="24" customHeight="1">
      <c r="F3757" s="187"/>
      <c r="G3757" s="165" t="s">
        <v>307</v>
      </c>
      <c r="I3757" s="649"/>
      <c r="J3757" s="650"/>
      <c r="K3757" s="346"/>
      <c r="L3757" s="346"/>
    </row>
    <row r="3758" spans="6:14" ht="24" customHeight="1">
      <c r="F3758" s="346"/>
      <c r="G3758" s="651"/>
      <c r="H3758" s="154"/>
      <c r="I3758" s="346"/>
      <c r="J3758" s="652"/>
      <c r="K3758" s="346"/>
      <c r="L3758" s="346"/>
    </row>
    <row r="3759" spans="6:14" ht="24" customHeight="1">
      <c r="F3759" s="346"/>
      <c r="G3759" s="651"/>
      <c r="H3759" s="653" t="s">
        <v>3309</v>
      </c>
      <c r="I3759" s="346"/>
      <c r="J3759" s="652"/>
      <c r="K3759" s="346"/>
      <c r="L3759" s="346"/>
    </row>
    <row r="3760" spans="6:14" ht="24" customHeight="1">
      <c r="F3760" s="346"/>
      <c r="G3760" s="651"/>
      <c r="H3760" s="162" t="s">
        <v>534</v>
      </c>
      <c r="I3760" s="346"/>
      <c r="J3760" s="652"/>
      <c r="K3760" s="346"/>
      <c r="L3760" s="346"/>
    </row>
    <row r="3761" spans="6:12" ht="24" customHeight="1">
      <c r="F3761" s="167">
        <v>21.55</v>
      </c>
      <c r="G3761" s="165" t="s">
        <v>420</v>
      </c>
      <c r="H3761" s="154" t="s">
        <v>3310</v>
      </c>
      <c r="I3761" s="167">
        <f>I3737</f>
        <v>574.20000000000005</v>
      </c>
      <c r="J3761" s="165" t="s">
        <v>420</v>
      </c>
      <c r="K3761" s="167">
        <f>I3761*F3761</f>
        <v>12374.010000000002</v>
      </c>
      <c r="L3761" s="346"/>
    </row>
    <row r="3762" spans="6:12" ht="24" customHeight="1">
      <c r="F3762" s="167"/>
      <c r="G3762" s="165"/>
      <c r="H3762" s="154" t="s">
        <v>3311</v>
      </c>
      <c r="I3762" s="167"/>
      <c r="J3762" s="165"/>
      <c r="K3762" s="167">
        <f>K3761*10/100</f>
        <v>1237.4010000000003</v>
      </c>
      <c r="L3762" s="346"/>
    </row>
    <row r="3763" spans="6:12" ht="24" customHeight="1">
      <c r="F3763" s="167">
        <v>3.7</v>
      </c>
      <c r="G3763" s="165" t="s">
        <v>420</v>
      </c>
      <c r="H3763" s="154" t="s">
        <v>3312</v>
      </c>
      <c r="I3763" s="167">
        <f>Y32</f>
        <v>45000</v>
      </c>
      <c r="J3763" s="165" t="s">
        <v>47</v>
      </c>
      <c r="K3763" s="167">
        <f>I3763*F3763/10000</f>
        <v>16.649999999999999</v>
      </c>
      <c r="L3763" s="346"/>
    </row>
    <row r="3764" spans="6:12" ht="24" customHeight="1">
      <c r="F3764" s="619"/>
      <c r="G3764" s="619"/>
      <c r="H3764" s="154" t="s">
        <v>3313</v>
      </c>
      <c r="I3764" s="167"/>
      <c r="J3764" s="154"/>
      <c r="K3764" s="167">
        <f>K3763*5/100</f>
        <v>0.83250000000000002</v>
      </c>
      <c r="L3764" s="346"/>
    </row>
    <row r="3765" spans="6:12" ht="24" customHeight="1">
      <c r="F3765" s="167">
        <v>18</v>
      </c>
      <c r="G3765" s="165" t="s">
        <v>1882</v>
      </c>
      <c r="H3765" s="154" t="s">
        <v>3314</v>
      </c>
      <c r="I3765" s="167">
        <v>15</v>
      </c>
      <c r="J3765" s="165" t="s">
        <v>3</v>
      </c>
      <c r="K3765" s="167">
        <f>I3765*F3765</f>
        <v>270</v>
      </c>
      <c r="L3765" s="346"/>
    </row>
    <row r="3766" spans="6:12" ht="24" customHeight="1">
      <c r="F3766" s="167"/>
      <c r="G3766" s="165"/>
      <c r="H3766" s="154" t="s">
        <v>3315</v>
      </c>
      <c r="I3766" s="167"/>
      <c r="J3766" s="154"/>
      <c r="K3766" s="167">
        <f>K3765*10/100</f>
        <v>27</v>
      </c>
      <c r="L3766" s="346"/>
    </row>
    <row r="3767" spans="6:12" ht="24" customHeight="1">
      <c r="F3767" s="167">
        <v>28</v>
      </c>
      <c r="G3767" s="165" t="s">
        <v>1882</v>
      </c>
      <c r="H3767" s="154" t="s">
        <v>3316</v>
      </c>
      <c r="I3767" s="167">
        <v>1</v>
      </c>
      <c r="J3767" s="165" t="s">
        <v>1882</v>
      </c>
      <c r="K3767" s="167">
        <f>I3767*F3767</f>
        <v>28</v>
      </c>
      <c r="L3767" s="346"/>
    </row>
    <row r="3768" spans="6:12" ht="33" customHeight="1">
      <c r="F3768" s="167">
        <v>28</v>
      </c>
      <c r="G3768" s="165" t="s">
        <v>1882</v>
      </c>
      <c r="H3768" s="154" t="s">
        <v>3317</v>
      </c>
      <c r="I3768" s="167">
        <v>2</v>
      </c>
      <c r="J3768" s="165" t="s">
        <v>1882</v>
      </c>
      <c r="K3768" s="167">
        <f>I3768*F3768</f>
        <v>56</v>
      </c>
      <c r="L3768" s="346"/>
    </row>
    <row r="3769" spans="6:12" ht="36" customHeight="1">
      <c r="F3769" s="167">
        <v>4</v>
      </c>
      <c r="G3769" s="165" t="s">
        <v>1882</v>
      </c>
      <c r="H3769" s="654" t="s">
        <v>3318</v>
      </c>
      <c r="I3769" s="167">
        <f>AE17</f>
        <v>633.6</v>
      </c>
      <c r="J3769" s="165" t="s">
        <v>1882</v>
      </c>
      <c r="K3769" s="167">
        <f>I3769*F3769</f>
        <v>2534.4</v>
      </c>
      <c r="L3769" s="346"/>
    </row>
    <row r="3770" spans="6:12" ht="24" customHeight="1">
      <c r="F3770" s="167">
        <v>2</v>
      </c>
      <c r="G3770" s="165" t="s">
        <v>1882</v>
      </c>
      <c r="H3770" s="655" t="s">
        <v>3319</v>
      </c>
      <c r="I3770" s="167">
        <f>AE19</f>
        <v>701.80000000000007</v>
      </c>
      <c r="J3770" s="165" t="s">
        <v>1882</v>
      </c>
      <c r="K3770" s="167">
        <f>I3770*F3770</f>
        <v>1403.6000000000001</v>
      </c>
      <c r="L3770" s="346"/>
    </row>
    <row r="3771" spans="6:12" ht="24" customHeight="1">
      <c r="F3771" s="167">
        <v>6</v>
      </c>
      <c r="G3771" s="165" t="s">
        <v>1882</v>
      </c>
      <c r="H3771" s="655" t="s">
        <v>3320</v>
      </c>
      <c r="I3771" s="167">
        <f>AE11</f>
        <v>468.6</v>
      </c>
      <c r="J3771" s="165" t="s">
        <v>1882</v>
      </c>
      <c r="K3771" s="167">
        <f>I3771*F3771</f>
        <v>2811.6000000000004</v>
      </c>
      <c r="L3771" s="346"/>
    </row>
    <row r="3772" spans="6:12" ht="24" customHeight="1">
      <c r="F3772" s="167"/>
      <c r="G3772" s="165" t="s">
        <v>589</v>
      </c>
      <c r="H3772" s="154" t="s">
        <v>2996</v>
      </c>
      <c r="I3772" s="154" t="s">
        <v>22</v>
      </c>
      <c r="J3772" s="154" t="s">
        <v>589</v>
      </c>
      <c r="K3772" s="167">
        <v>5.38</v>
      </c>
      <c r="L3772" s="346"/>
    </row>
    <row r="3773" spans="6:12" ht="24" customHeight="1">
      <c r="F3773" s="167"/>
      <c r="G3773" s="165"/>
      <c r="H3773" s="154"/>
      <c r="I3773" s="167"/>
      <c r="J3773" s="165"/>
      <c r="K3773" s="167"/>
      <c r="L3773" s="346"/>
    </row>
    <row r="3774" spans="6:12" ht="24" customHeight="1">
      <c r="F3774" s="346"/>
      <c r="G3774" s="651"/>
      <c r="H3774" s="154" t="s">
        <v>3321</v>
      </c>
      <c r="I3774" s="346"/>
      <c r="J3774" s="652"/>
      <c r="K3774" s="167">
        <f>SUM(K3761:K3773)</f>
        <v>20764.873500000005</v>
      </c>
      <c r="L3774" s="346"/>
    </row>
    <row r="3775" spans="6:12" ht="24" customHeight="1">
      <c r="F3775" s="346"/>
      <c r="G3775" s="651"/>
      <c r="H3775" s="346"/>
      <c r="I3775" s="346"/>
      <c r="J3775" s="652"/>
      <c r="K3775" s="162" t="s">
        <v>534</v>
      </c>
      <c r="L3775" s="346"/>
    </row>
    <row r="3776" spans="6:12" ht="24" customHeight="1">
      <c r="F3776" s="346"/>
      <c r="G3776" s="651"/>
      <c r="H3776" s="164" t="s">
        <v>3322</v>
      </c>
      <c r="I3776" s="621"/>
      <c r="J3776" s="656" t="s">
        <v>2797</v>
      </c>
      <c r="K3776" s="166">
        <f>K3774/18</f>
        <v>1153.6040833333336</v>
      </c>
      <c r="L3776" s="346"/>
    </row>
    <row r="3777" spans="6:12" ht="24" customHeight="1">
      <c r="F3777" s="346"/>
      <c r="G3777" s="651"/>
      <c r="H3777" s="164"/>
      <c r="I3777" s="621"/>
      <c r="J3777" s="656"/>
      <c r="K3777" s="162" t="s">
        <v>534</v>
      </c>
      <c r="L3777" s="346"/>
    </row>
    <row r="3778" spans="6:12" ht="24" customHeight="1">
      <c r="F3778" s="346"/>
      <c r="G3778" s="651"/>
      <c r="H3778" s="164"/>
      <c r="I3778" s="621"/>
      <c r="J3778" s="656"/>
      <c r="K3778" s="166"/>
      <c r="L3778" s="346"/>
    </row>
    <row r="3779" spans="6:12" ht="24" customHeight="1">
      <c r="F3779" s="619"/>
      <c r="G3779" s="619"/>
      <c r="H3779" s="657" t="s">
        <v>3323</v>
      </c>
      <c r="I3779" s="619"/>
      <c r="J3779" s="619"/>
      <c r="K3779" s="619"/>
      <c r="L3779" s="619"/>
    </row>
    <row r="3780" spans="6:12" ht="24" customHeight="1">
      <c r="F3780" s="346"/>
      <c r="G3780" s="610" t="s">
        <v>3324</v>
      </c>
      <c r="H3780" s="610"/>
      <c r="I3780" s="610"/>
      <c r="J3780" s="610"/>
      <c r="K3780" s="611"/>
      <c r="L3780" s="611"/>
    </row>
    <row r="3781" spans="6:12" ht="24" customHeight="1">
      <c r="F3781" s="346"/>
      <c r="G3781" s="351"/>
      <c r="H3781" s="352"/>
      <c r="I3781" s="353"/>
      <c r="J3781" s="354"/>
      <c r="K3781" s="352"/>
      <c r="L3781" s="354"/>
    </row>
    <row r="3782" spans="6:12" ht="24" customHeight="1">
      <c r="F3782" s="346"/>
      <c r="G3782" s="351"/>
      <c r="H3782" s="352"/>
      <c r="I3782" s="355"/>
      <c r="J3782" s="354"/>
      <c r="K3782" s="352"/>
      <c r="L3782" s="354"/>
    </row>
    <row r="3783" spans="6:12" ht="24" customHeight="1">
      <c r="F3783" s="351">
        <v>38.86</v>
      </c>
      <c r="G3783" s="352" t="s">
        <v>31</v>
      </c>
      <c r="H3783" s="355" t="s">
        <v>3325</v>
      </c>
      <c r="I3783" s="354">
        <f>AB1350</f>
        <v>287</v>
      </c>
      <c r="J3783" s="352" t="s">
        <v>31</v>
      </c>
      <c r="K3783" s="354">
        <f t="shared" ref="K3783:K3790" si="340">I3783*F3783</f>
        <v>11152.82</v>
      </c>
      <c r="L3783" s="349"/>
    </row>
    <row r="3784" spans="6:12" ht="24" customHeight="1">
      <c r="F3784" s="351">
        <v>2.4300000000000002</v>
      </c>
      <c r="G3784" s="658" t="s">
        <v>141</v>
      </c>
      <c r="H3784" s="659" t="s">
        <v>3246</v>
      </c>
      <c r="I3784" s="354">
        <v>336</v>
      </c>
      <c r="J3784" s="352" t="s">
        <v>141</v>
      </c>
      <c r="K3784" s="354">
        <f t="shared" si="340"/>
        <v>816.48</v>
      </c>
      <c r="L3784" s="349"/>
    </row>
    <row r="3785" spans="6:12" ht="24" customHeight="1">
      <c r="F3785" s="351">
        <v>4.8499999999999996</v>
      </c>
      <c r="G3785" s="658" t="s">
        <v>141</v>
      </c>
      <c r="H3785" s="659" t="s">
        <v>3247</v>
      </c>
      <c r="I3785" s="354">
        <v>695</v>
      </c>
      <c r="J3785" s="352" t="s">
        <v>680</v>
      </c>
      <c r="K3785" s="354">
        <f t="shared" si="340"/>
        <v>3370.7499999999995</v>
      </c>
      <c r="L3785" s="349"/>
    </row>
    <row r="3786" spans="6:12" ht="24" customHeight="1">
      <c r="F3786" s="613">
        <v>34.65</v>
      </c>
      <c r="G3786" s="658" t="s">
        <v>41</v>
      </c>
      <c r="H3786" s="659" t="s">
        <v>3263</v>
      </c>
      <c r="I3786" s="354">
        <v>35.5</v>
      </c>
      <c r="J3786" s="352" t="s">
        <v>41</v>
      </c>
      <c r="K3786" s="354">
        <f t="shared" si="340"/>
        <v>1230.075</v>
      </c>
      <c r="L3786" s="349"/>
    </row>
    <row r="3787" spans="6:12" ht="24" customHeight="1">
      <c r="F3787" s="615">
        <v>144</v>
      </c>
      <c r="G3787" s="660" t="s">
        <v>1882</v>
      </c>
      <c r="H3787" s="661" t="s">
        <v>3326</v>
      </c>
      <c r="I3787" s="617">
        <v>2.25</v>
      </c>
      <c r="J3787" s="618" t="s">
        <v>42</v>
      </c>
      <c r="K3787" s="354">
        <f t="shared" si="340"/>
        <v>324</v>
      </c>
      <c r="L3787" s="349"/>
    </row>
    <row r="3788" spans="6:12" ht="24" customHeight="1">
      <c r="F3788" s="615">
        <v>12</v>
      </c>
      <c r="G3788" s="660" t="s">
        <v>1882</v>
      </c>
      <c r="H3788" s="661" t="s">
        <v>3327</v>
      </c>
      <c r="I3788" s="617">
        <v>4.55</v>
      </c>
      <c r="J3788" s="618" t="s">
        <v>42</v>
      </c>
      <c r="K3788" s="354">
        <f t="shared" si="340"/>
        <v>54.599999999999994</v>
      </c>
      <c r="L3788" s="349"/>
    </row>
    <row r="3789" spans="6:12" ht="24" customHeight="1">
      <c r="F3789" s="615">
        <v>12</v>
      </c>
      <c r="G3789" s="660" t="s">
        <v>1882</v>
      </c>
      <c r="H3789" s="661" t="s">
        <v>3328</v>
      </c>
      <c r="I3789" s="617">
        <v>1</v>
      </c>
      <c r="J3789" s="618" t="s">
        <v>42</v>
      </c>
      <c r="K3789" s="354">
        <f t="shared" si="340"/>
        <v>12</v>
      </c>
      <c r="L3789" s="349"/>
    </row>
    <row r="3790" spans="6:12" ht="24" customHeight="1">
      <c r="F3790" s="351">
        <v>2</v>
      </c>
      <c r="G3790" s="658" t="s">
        <v>301</v>
      </c>
      <c r="H3790" s="659" t="s">
        <v>3329</v>
      </c>
      <c r="I3790" s="354">
        <v>11.1</v>
      </c>
      <c r="J3790" s="352" t="s">
        <v>301</v>
      </c>
      <c r="K3790" s="354">
        <f t="shared" si="340"/>
        <v>22.2</v>
      </c>
      <c r="L3790" s="349"/>
    </row>
    <row r="3791" spans="6:12" ht="24" customHeight="1">
      <c r="F3791" s="351">
        <v>6.6150000000000002</v>
      </c>
      <c r="G3791" s="658" t="s">
        <v>250</v>
      </c>
      <c r="H3791" s="659" t="s">
        <v>2158</v>
      </c>
      <c r="I3791" s="349">
        <f>K3801</f>
        <v>1437.15</v>
      </c>
      <c r="J3791" s="352" t="s">
        <v>250</v>
      </c>
      <c r="K3791" s="354">
        <f>1059.95*6.615</f>
        <v>7011.5692500000005</v>
      </c>
      <c r="L3791" s="349"/>
    </row>
    <row r="3792" spans="6:12" ht="24" customHeight="1">
      <c r="F3792" s="351"/>
      <c r="G3792" s="658"/>
      <c r="H3792" s="659"/>
      <c r="I3792" s="349"/>
      <c r="J3792" s="356"/>
      <c r="K3792" s="354"/>
      <c r="L3792" s="349"/>
    </row>
    <row r="3793" spans="6:12" ht="24" customHeight="1">
      <c r="F3793" s="351"/>
      <c r="G3793" s="658"/>
      <c r="H3793" s="235" t="s">
        <v>3330</v>
      </c>
      <c r="I3793" s="346"/>
      <c r="J3793" s="352"/>
      <c r="K3793" s="354">
        <f>SUM(K3783:K3792)</f>
        <v>23994.49425</v>
      </c>
      <c r="L3793" s="349"/>
    </row>
    <row r="3794" spans="6:12" ht="24" customHeight="1">
      <c r="F3794" s="351"/>
      <c r="G3794" s="658"/>
      <c r="H3794" s="235" t="s">
        <v>881</v>
      </c>
      <c r="I3794" s="346"/>
      <c r="J3794" s="611"/>
      <c r="K3794" s="358">
        <f>K3793/6.615</f>
        <v>3627.2856009070292</v>
      </c>
      <c r="L3794" s="360" t="s">
        <v>332</v>
      </c>
    </row>
    <row r="3795" spans="6:12" ht="24" customHeight="1">
      <c r="F3795" s="349"/>
      <c r="G3795" s="662"/>
      <c r="H3795" s="663"/>
      <c r="I3795" s="349"/>
      <c r="J3795" s="349"/>
      <c r="K3795" s="349"/>
      <c r="L3795" s="349"/>
    </row>
    <row r="3796" spans="6:12" ht="24" customHeight="1">
      <c r="F3796" s="354">
        <v>1</v>
      </c>
      <c r="G3796" s="352" t="s">
        <v>576</v>
      </c>
      <c r="H3796" s="355" t="s">
        <v>2163</v>
      </c>
      <c r="I3796" s="354">
        <f>AE17</f>
        <v>633.6</v>
      </c>
      <c r="J3796" s="355" t="s">
        <v>576</v>
      </c>
      <c r="K3796" s="354">
        <f>I3796*F3796</f>
        <v>633.6</v>
      </c>
      <c r="L3796" s="349"/>
    </row>
    <row r="3797" spans="6:12" ht="24" customHeight="1">
      <c r="F3797" s="354">
        <v>1</v>
      </c>
      <c r="G3797" s="352" t="s">
        <v>576</v>
      </c>
      <c r="H3797" s="355" t="s">
        <v>2164</v>
      </c>
      <c r="I3797" s="354">
        <f>AE11</f>
        <v>468.6</v>
      </c>
      <c r="J3797" s="355" t="s">
        <v>576</v>
      </c>
      <c r="K3797" s="354">
        <f>I3797*F3797</f>
        <v>468.6</v>
      </c>
      <c r="L3797" s="349"/>
    </row>
    <row r="3798" spans="6:12" ht="24" customHeight="1">
      <c r="F3798" s="354">
        <v>0.5</v>
      </c>
      <c r="G3798" s="352" t="s">
        <v>576</v>
      </c>
      <c r="H3798" s="355" t="s">
        <v>2165</v>
      </c>
      <c r="I3798" s="354">
        <f>AE20</f>
        <v>669.90000000000009</v>
      </c>
      <c r="J3798" s="355" t="s">
        <v>576</v>
      </c>
      <c r="K3798" s="354">
        <f>I3798*F3798</f>
        <v>334.95000000000005</v>
      </c>
      <c r="L3798" s="349"/>
    </row>
    <row r="3799" spans="6:12" ht="24" customHeight="1">
      <c r="F3799" s="349"/>
      <c r="G3799" s="352" t="s">
        <v>589</v>
      </c>
      <c r="H3799" s="355"/>
      <c r="I3799" s="354"/>
      <c r="J3799" s="355" t="s">
        <v>589</v>
      </c>
      <c r="K3799" s="354"/>
      <c r="L3799" s="349"/>
    </row>
    <row r="3800" spans="6:12" ht="24" customHeight="1">
      <c r="F3800" s="346"/>
      <c r="G3800" s="349"/>
      <c r="H3800" s="357"/>
      <c r="I3800" s="349"/>
      <c r="J3800" s="349"/>
      <c r="K3800" s="363" t="s">
        <v>534</v>
      </c>
      <c r="L3800" s="619"/>
    </row>
    <row r="3801" spans="6:12" ht="24" customHeight="1">
      <c r="F3801" s="346"/>
      <c r="G3801" s="349"/>
      <c r="H3801" s="357"/>
      <c r="I3801" s="355" t="s">
        <v>2166</v>
      </c>
      <c r="J3801" s="349"/>
      <c r="K3801" s="358">
        <f>SUM(K3796:K3800)</f>
        <v>1437.15</v>
      </c>
      <c r="L3801" s="619"/>
    </row>
    <row r="3802" spans="6:12" ht="24" customHeight="1">
      <c r="F3802" s="346"/>
      <c r="G3802" s="349"/>
      <c r="H3802" s="357"/>
      <c r="I3802" s="349"/>
      <c r="J3802" s="349"/>
      <c r="K3802" s="363" t="s">
        <v>534</v>
      </c>
      <c r="L3802" s="619"/>
    </row>
    <row r="3803" spans="6:12" ht="24" customHeight="1">
      <c r="F3803" s="346"/>
      <c r="G3803" s="346"/>
      <c r="H3803" s="346"/>
      <c r="I3803" s="346"/>
      <c r="J3803" s="346"/>
      <c r="K3803" s="159"/>
      <c r="L3803" s="346"/>
    </row>
    <row r="3804" spans="6:12" ht="24" customHeight="1">
      <c r="F3804" s="200"/>
      <c r="G3804" s="165" t="s">
        <v>307</v>
      </c>
      <c r="H3804" s="154" t="s">
        <v>1995</v>
      </c>
    </row>
    <row r="3805" spans="6:12" ht="24" customHeight="1">
      <c r="H3805" s="154"/>
    </row>
    <row r="3806" spans="6:12" ht="24" customHeight="1">
      <c r="H3806" s="162" t="s">
        <v>534</v>
      </c>
    </row>
    <row r="3807" spans="6:12" ht="24" customHeight="1">
      <c r="F3807" s="167">
        <v>1.86</v>
      </c>
      <c r="G3807" s="165" t="s">
        <v>916</v>
      </c>
      <c r="H3807" s="154" t="s">
        <v>1996</v>
      </c>
      <c r="I3807" s="173">
        <v>699.4</v>
      </c>
      <c r="J3807" s="154" t="s">
        <v>916</v>
      </c>
      <c r="K3807" s="167">
        <f>(F3807*I3807)</f>
        <v>1300.884</v>
      </c>
    </row>
    <row r="3808" spans="6:12" ht="24" customHeight="1">
      <c r="F3808" s="167">
        <v>0.4</v>
      </c>
      <c r="G3808" s="165" t="s">
        <v>420</v>
      </c>
      <c r="H3808" s="154" t="s">
        <v>1959</v>
      </c>
      <c r="I3808" s="332">
        <f>I3464</f>
        <v>36.1</v>
      </c>
      <c r="J3808" s="154" t="s">
        <v>420</v>
      </c>
      <c r="K3808" s="167">
        <f>(F3808*I3808)</f>
        <v>14.440000000000001</v>
      </c>
    </row>
    <row r="3809" spans="6:11" ht="24" customHeight="1">
      <c r="F3809" s="167">
        <v>0.02</v>
      </c>
      <c r="G3809" s="165" t="s">
        <v>577</v>
      </c>
      <c r="H3809" s="154" t="s">
        <v>1987</v>
      </c>
      <c r="I3809" s="167">
        <f>K23</f>
        <v>5737.67</v>
      </c>
      <c r="J3809" s="154" t="s">
        <v>577</v>
      </c>
      <c r="K3809" s="167">
        <f>(F3809*I3809)</f>
        <v>114.7534</v>
      </c>
    </row>
    <row r="3810" spans="6:11" ht="24" customHeight="1">
      <c r="F3810" s="167">
        <v>1</v>
      </c>
      <c r="G3810" s="165" t="s">
        <v>680</v>
      </c>
      <c r="H3810" s="154" t="s">
        <v>778</v>
      </c>
      <c r="I3810" s="167">
        <f>I3750</f>
        <v>717.2</v>
      </c>
      <c r="J3810" s="154" t="s">
        <v>680</v>
      </c>
      <c r="K3810" s="167">
        <f>(F3810*I3810)</f>
        <v>717.2</v>
      </c>
    </row>
    <row r="3811" spans="6:11" ht="24" customHeight="1">
      <c r="F3811" s="167">
        <v>1</v>
      </c>
      <c r="G3811" s="165" t="s">
        <v>680</v>
      </c>
      <c r="H3811" s="154" t="s">
        <v>1989</v>
      </c>
      <c r="I3811" s="167">
        <f>I3797</f>
        <v>468.6</v>
      </c>
      <c r="J3811" s="154" t="s">
        <v>680</v>
      </c>
      <c r="K3811" s="167">
        <f>(F3811*I3811)</f>
        <v>468.6</v>
      </c>
    </row>
    <row r="3812" spans="6:11" ht="24" customHeight="1">
      <c r="G3812" s="165" t="s">
        <v>589</v>
      </c>
      <c r="H3812" s="154" t="s">
        <v>590</v>
      </c>
      <c r="J3812" s="154" t="s">
        <v>589</v>
      </c>
      <c r="K3812" s="167"/>
    </row>
    <row r="3813" spans="6:11" ht="24" customHeight="1">
      <c r="K3813" s="162" t="s">
        <v>534</v>
      </c>
    </row>
    <row r="3814" spans="6:11" ht="24" customHeight="1">
      <c r="H3814" s="154" t="s">
        <v>1992</v>
      </c>
      <c r="K3814" s="167">
        <f>SUM(K3807:K3812)</f>
        <v>2615.8773999999999</v>
      </c>
    </row>
    <row r="3815" spans="6:11" ht="24" customHeight="1">
      <c r="K3815" s="162" t="s">
        <v>534</v>
      </c>
    </row>
    <row r="3816" spans="6:11" ht="24" customHeight="1">
      <c r="H3816" s="169" t="s">
        <v>881</v>
      </c>
      <c r="K3816" s="166">
        <f>(K3814/1.86)</f>
        <v>1406.3856989247311</v>
      </c>
    </row>
    <row r="3817" spans="6:11" ht="24" customHeight="1">
      <c r="K3817" s="162" t="s">
        <v>528</v>
      </c>
    </row>
    <row r="3819" spans="6:11" ht="24" customHeight="1">
      <c r="F3819" s="200"/>
      <c r="G3819" s="165" t="s">
        <v>307</v>
      </c>
      <c r="H3819" s="154" t="s">
        <v>1993</v>
      </c>
    </row>
    <row r="3820" spans="6:11" ht="24" customHeight="1">
      <c r="H3820" s="154"/>
    </row>
    <row r="3821" spans="6:11" ht="24" customHeight="1">
      <c r="H3821" s="154"/>
    </row>
    <row r="3822" spans="6:11" ht="24" customHeight="1">
      <c r="H3822" s="162" t="s">
        <v>534</v>
      </c>
      <c r="I3822" s="162" t="s">
        <v>534</v>
      </c>
    </row>
    <row r="3823" spans="6:11" ht="36" customHeight="1">
      <c r="F3823" s="167">
        <v>10</v>
      </c>
      <c r="G3823" s="165" t="s">
        <v>916</v>
      </c>
      <c r="H3823" s="214" t="s">
        <v>1994</v>
      </c>
      <c r="I3823" s="173">
        <v>538.21</v>
      </c>
      <c r="J3823" s="154" t="s">
        <v>916</v>
      </c>
      <c r="K3823" s="167">
        <f>(F3823*I3823)</f>
        <v>5382.1</v>
      </c>
    </row>
    <row r="3824" spans="6:11" ht="32.25" customHeight="1">
      <c r="F3824" s="167">
        <v>0.21</v>
      </c>
      <c r="G3824" s="165" t="s">
        <v>577</v>
      </c>
      <c r="H3824" s="154" t="s">
        <v>1951</v>
      </c>
      <c r="I3824" s="173">
        <f>I3457</f>
        <v>4357.67</v>
      </c>
      <c r="J3824" s="154" t="s">
        <v>577</v>
      </c>
      <c r="K3824" s="167">
        <f>(F3824*I3824)</f>
        <v>915.11069999999995</v>
      </c>
    </row>
    <row r="3825" spans="6:11" ht="24" customHeight="1">
      <c r="H3825" s="154" t="s">
        <v>1955</v>
      </c>
      <c r="I3825" s="173"/>
      <c r="K3825" s="154" t="s">
        <v>22</v>
      </c>
    </row>
    <row r="3826" spans="6:11" ht="24" customHeight="1">
      <c r="F3826" s="167">
        <v>1.1000000000000001</v>
      </c>
      <c r="G3826" s="165" t="s">
        <v>680</v>
      </c>
      <c r="H3826" s="154" t="s">
        <v>778</v>
      </c>
      <c r="I3826" s="173">
        <f>I3459</f>
        <v>717.2</v>
      </c>
      <c r="J3826" s="154" t="s">
        <v>680</v>
      </c>
      <c r="K3826" s="167">
        <f>(F3826*I3826)</f>
        <v>788.92000000000007</v>
      </c>
    </row>
    <row r="3827" spans="6:11" ht="24" customHeight="1">
      <c r="F3827" s="167">
        <v>1.1000000000000001</v>
      </c>
      <c r="G3827" s="165" t="s">
        <v>680</v>
      </c>
      <c r="H3827" s="154" t="s">
        <v>752</v>
      </c>
      <c r="I3827" s="173">
        <f t="shared" ref="I3827:I3834" si="341">I3460</f>
        <v>669.90000000000009</v>
      </c>
      <c r="J3827" s="154" t="s">
        <v>680</v>
      </c>
      <c r="K3827" s="167">
        <f>(F3827*I3827)</f>
        <v>736.89000000000021</v>
      </c>
    </row>
    <row r="3828" spans="6:11" ht="24" customHeight="1">
      <c r="F3828" s="167">
        <v>2.2000000000000002</v>
      </c>
      <c r="G3828" s="165" t="s">
        <v>680</v>
      </c>
      <c r="H3828" s="154" t="s">
        <v>754</v>
      </c>
      <c r="I3828" s="173">
        <f t="shared" si="341"/>
        <v>468.6</v>
      </c>
      <c r="J3828" s="154" t="s">
        <v>680</v>
      </c>
      <c r="K3828" s="167">
        <f>(F3828*I3828)</f>
        <v>1030.92</v>
      </c>
    </row>
    <row r="3829" spans="6:11" ht="24" customHeight="1">
      <c r="F3829" s="167">
        <v>2.2000000000000002</v>
      </c>
      <c r="G3829" s="165" t="s">
        <v>680</v>
      </c>
      <c r="H3829" s="154" t="s">
        <v>756</v>
      </c>
      <c r="I3829" s="173">
        <f t="shared" si="341"/>
        <v>404.8</v>
      </c>
      <c r="J3829" s="154" t="s">
        <v>680</v>
      </c>
      <c r="K3829" s="167">
        <f>(F3829*I3829)</f>
        <v>890.56000000000006</v>
      </c>
    </row>
    <row r="3830" spans="6:11" ht="24" customHeight="1">
      <c r="F3830" s="198">
        <v>20</v>
      </c>
      <c r="G3830" s="165" t="s">
        <v>420</v>
      </c>
      <c r="H3830" s="154" t="s">
        <v>568</v>
      </c>
      <c r="I3830" s="173">
        <f t="shared" si="341"/>
        <v>5750</v>
      </c>
      <c r="J3830" s="154" t="s">
        <v>567</v>
      </c>
      <c r="K3830" s="167">
        <f>(F3830*I3830)/1000</f>
        <v>115</v>
      </c>
    </row>
    <row r="3831" spans="6:11" ht="24" customHeight="1">
      <c r="F3831" s="198">
        <v>2</v>
      </c>
      <c r="G3831" s="165" t="s">
        <v>420</v>
      </c>
      <c r="H3831" s="154" t="s">
        <v>1959</v>
      </c>
      <c r="I3831" s="173">
        <f t="shared" si="341"/>
        <v>36.1</v>
      </c>
      <c r="J3831" s="154" t="s">
        <v>420</v>
      </c>
      <c r="K3831" s="167">
        <f>(F3831*I3831)</f>
        <v>72.2</v>
      </c>
    </row>
    <row r="3832" spans="6:11" ht="24" customHeight="1">
      <c r="F3832" s="167">
        <v>1.6</v>
      </c>
      <c r="G3832" s="165" t="s">
        <v>680</v>
      </c>
      <c r="H3832" s="154" t="s">
        <v>752</v>
      </c>
      <c r="I3832" s="173">
        <f t="shared" si="341"/>
        <v>669.90000000000009</v>
      </c>
      <c r="J3832" s="154" t="s">
        <v>680</v>
      </c>
      <c r="K3832" s="167">
        <f>(F3832*I3832)</f>
        <v>1071.8400000000001</v>
      </c>
    </row>
    <row r="3833" spans="6:11" ht="24" customHeight="1">
      <c r="F3833" s="167">
        <v>0.5</v>
      </c>
      <c r="G3833" s="165" t="s">
        <v>680</v>
      </c>
      <c r="H3833" s="154" t="s">
        <v>754</v>
      </c>
      <c r="I3833" s="173">
        <f t="shared" si="341"/>
        <v>468.6</v>
      </c>
      <c r="J3833" s="154" t="s">
        <v>680</v>
      </c>
      <c r="K3833" s="167">
        <f>(F3833*I3833)</f>
        <v>234.3</v>
      </c>
    </row>
    <row r="3834" spans="6:11" ht="24" customHeight="1">
      <c r="F3834" s="167">
        <v>1.1000000000000001</v>
      </c>
      <c r="G3834" s="165" t="s">
        <v>680</v>
      </c>
      <c r="H3834" s="154" t="s">
        <v>756</v>
      </c>
      <c r="I3834" s="173">
        <f t="shared" si="341"/>
        <v>404.8</v>
      </c>
      <c r="J3834" s="154" t="s">
        <v>680</v>
      </c>
      <c r="K3834" s="167">
        <f>(F3834*I3834)</f>
        <v>445.28000000000003</v>
      </c>
    </row>
    <row r="3835" spans="6:11" ht="24" customHeight="1">
      <c r="G3835" s="165" t="s">
        <v>589</v>
      </c>
      <c r="H3835" s="154" t="s">
        <v>590</v>
      </c>
      <c r="J3835" s="154" t="s">
        <v>589</v>
      </c>
      <c r="K3835" s="167">
        <v>0</v>
      </c>
    </row>
    <row r="3836" spans="6:11" ht="24" customHeight="1">
      <c r="K3836" s="162" t="s">
        <v>534</v>
      </c>
    </row>
    <row r="3837" spans="6:11" ht="24" customHeight="1">
      <c r="H3837" s="154" t="s">
        <v>879</v>
      </c>
      <c r="K3837" s="167">
        <f>SUM(K3823:K3835)</f>
        <v>11683.120700000001</v>
      </c>
    </row>
    <row r="3838" spans="6:11" ht="24" customHeight="1">
      <c r="K3838" s="162" t="s">
        <v>534</v>
      </c>
    </row>
    <row r="3839" spans="6:11" ht="24" customHeight="1">
      <c r="F3839" s="159"/>
      <c r="G3839" s="76"/>
      <c r="H3839" s="169" t="s">
        <v>881</v>
      </c>
      <c r="K3839" s="166">
        <f>(K3837/10)</f>
        <v>1168.3120700000002</v>
      </c>
    </row>
    <row r="3840" spans="6:11" ht="24" customHeight="1">
      <c r="F3840" s="159"/>
      <c r="G3840" s="76"/>
      <c r="K3840" s="162" t="s">
        <v>528</v>
      </c>
    </row>
    <row r="3842" spans="5:11" ht="24" customHeight="1">
      <c r="E3842" s="264"/>
      <c r="F3842" s="295"/>
      <c r="G3842" s="199" t="s">
        <v>3331</v>
      </c>
      <c r="H3842" s="264"/>
      <c r="I3842" s="296">
        <f>1.2*0.8</f>
        <v>0.96</v>
      </c>
      <c r="J3842" s="264"/>
      <c r="K3842" s="159"/>
    </row>
    <row r="3843" spans="5:11" ht="24" customHeight="1">
      <c r="E3843" s="264"/>
      <c r="F3843" s="295"/>
      <c r="G3843" s="264"/>
      <c r="H3843" s="264"/>
      <c r="I3843" s="296"/>
      <c r="J3843" s="264"/>
      <c r="K3843" s="159"/>
    </row>
    <row r="3844" spans="5:11" ht="24" customHeight="1">
      <c r="E3844" s="158" t="s">
        <v>3332</v>
      </c>
      <c r="F3844" s="296"/>
      <c r="G3844" s="296"/>
      <c r="H3844" s="298">
        <f>4*3.9</f>
        <v>15.6</v>
      </c>
      <c r="I3844" s="296" t="s">
        <v>2300</v>
      </c>
      <c r="J3844" s="296"/>
      <c r="K3844" s="159"/>
    </row>
    <row r="3845" spans="5:11" ht="24" customHeight="1">
      <c r="E3845" s="76" t="s">
        <v>3333</v>
      </c>
      <c r="F3845" s="295"/>
      <c r="G3845" s="264"/>
      <c r="H3845" s="264">
        <f>11*0.8*3.14</f>
        <v>27.632000000000005</v>
      </c>
      <c r="I3845" s="296" t="s">
        <v>2300</v>
      </c>
      <c r="J3845" s="296"/>
      <c r="K3845" s="159"/>
    </row>
    <row r="3846" spans="5:11" ht="24" customHeight="1">
      <c r="E3846" s="76" t="s">
        <v>3334</v>
      </c>
      <c r="F3846" s="295"/>
      <c r="G3846" s="264"/>
      <c r="H3846" s="264">
        <f>2*1.2*1.2</f>
        <v>2.88</v>
      </c>
      <c r="I3846" s="296" t="s">
        <v>2300</v>
      </c>
      <c r="J3846" s="296"/>
      <c r="K3846" s="159"/>
    </row>
    <row r="3847" spans="5:11" ht="24" customHeight="1">
      <c r="E3847" s="76" t="s">
        <v>3335</v>
      </c>
      <c r="F3847" s="295"/>
      <c r="G3847" s="264"/>
      <c r="H3847" s="264">
        <f>3*0.8*1.2</f>
        <v>2.8800000000000003</v>
      </c>
      <c r="I3847" s="296" t="s">
        <v>2300</v>
      </c>
      <c r="J3847" s="296"/>
      <c r="K3847" s="159"/>
    </row>
    <row r="3848" spans="5:11" ht="24" customHeight="1">
      <c r="E3848" s="76" t="s">
        <v>3336</v>
      </c>
      <c r="F3848" s="295"/>
      <c r="G3848" s="264"/>
      <c r="H3848" s="264">
        <v>5</v>
      </c>
      <c r="I3848" s="296"/>
      <c r="J3848" s="296"/>
      <c r="K3848" s="159"/>
    </row>
    <row r="3849" spans="5:11" ht="24" customHeight="1">
      <c r="E3849" s="264"/>
      <c r="F3849" s="295"/>
      <c r="G3849" s="264"/>
      <c r="H3849" s="299" t="s">
        <v>2691</v>
      </c>
      <c r="I3849" s="296"/>
      <c r="J3849" s="296"/>
      <c r="K3849" s="159"/>
    </row>
    <row r="3850" spans="5:11" ht="24" customHeight="1">
      <c r="E3850" s="264"/>
      <c r="F3850" s="295"/>
      <c r="G3850" s="264"/>
      <c r="H3850" s="294">
        <f>SUM(H3844:H3848)</f>
        <v>53.992000000000012</v>
      </c>
      <c r="I3850" s="296" t="s">
        <v>2300</v>
      </c>
      <c r="J3850" s="296">
        <f>H3850-51.7</f>
        <v>2.2920000000000087</v>
      </c>
      <c r="K3850" s="159"/>
    </row>
    <row r="3851" spans="5:11" ht="24" customHeight="1">
      <c r="E3851" s="264"/>
      <c r="F3851" s="295"/>
      <c r="G3851" s="264"/>
      <c r="H3851" s="299" t="s">
        <v>2691</v>
      </c>
      <c r="I3851" s="296"/>
      <c r="J3851" s="264"/>
      <c r="K3851" s="159"/>
    </row>
    <row r="3852" spans="5:11" ht="24" customHeight="1">
      <c r="E3852" s="264"/>
      <c r="F3852" s="295"/>
      <c r="G3852" s="264"/>
      <c r="H3852" s="264"/>
      <c r="I3852" s="296"/>
      <c r="J3852" s="264"/>
      <c r="K3852" s="159"/>
    </row>
    <row r="3853" spans="5:11" ht="24" customHeight="1">
      <c r="E3853" s="264"/>
      <c r="F3853" s="295"/>
      <c r="G3853" s="264"/>
      <c r="H3853" s="264"/>
      <c r="I3853" s="296"/>
      <c r="J3853" s="264"/>
      <c r="K3853" s="159"/>
    </row>
    <row r="3854" spans="5:11" ht="24" customHeight="1">
      <c r="E3854" s="298">
        <f>H3850</f>
        <v>53.992000000000012</v>
      </c>
      <c r="F3854" s="295" t="s">
        <v>420</v>
      </c>
      <c r="G3854" s="264" t="s">
        <v>2681</v>
      </c>
      <c r="H3854" s="264">
        <f>I2607</f>
        <v>54.5</v>
      </c>
      <c r="I3854" s="296" t="s">
        <v>420</v>
      </c>
      <c r="J3854" s="264">
        <f>H3854*E3854</f>
        <v>2942.5640000000008</v>
      </c>
      <c r="K3854" s="159"/>
    </row>
    <row r="3855" spans="5:11" ht="24" customHeight="1">
      <c r="E3855" s="298">
        <v>0.96</v>
      </c>
      <c r="F3855" s="295" t="s">
        <v>250</v>
      </c>
      <c r="G3855" s="264" t="s">
        <v>2682</v>
      </c>
      <c r="H3855" s="264">
        <f>I2608</f>
        <v>295</v>
      </c>
      <c r="I3855" s="296" t="s">
        <v>250</v>
      </c>
      <c r="J3855" s="264">
        <f>H3855*E3855</f>
        <v>283.2</v>
      </c>
      <c r="K3855" s="159"/>
    </row>
    <row r="3856" spans="5:11" ht="24" customHeight="1">
      <c r="E3856" s="298">
        <v>0.96</v>
      </c>
      <c r="F3856" s="295" t="s">
        <v>250</v>
      </c>
      <c r="G3856" s="264" t="s">
        <v>2701</v>
      </c>
      <c r="H3856" s="264">
        <f>I2609</f>
        <v>31.65</v>
      </c>
      <c r="I3856" s="296" t="s">
        <v>250</v>
      </c>
      <c r="J3856" s="264">
        <f>H3856*E3856</f>
        <v>30.383999999999997</v>
      </c>
      <c r="K3856" s="159"/>
    </row>
    <row r="3857" spans="5:11" ht="24" customHeight="1">
      <c r="E3857" s="264"/>
      <c r="F3857" s="295"/>
      <c r="G3857" s="264" t="s">
        <v>2702</v>
      </c>
      <c r="H3857" s="264">
        <f>I2610</f>
        <v>266.81</v>
      </c>
      <c r="I3857" s="296" t="s">
        <v>589</v>
      </c>
      <c r="J3857" s="264">
        <f>H3857</f>
        <v>266.81</v>
      </c>
      <c r="K3857" s="159"/>
    </row>
    <row r="3858" spans="5:11" ht="24" customHeight="1">
      <c r="E3858" s="264"/>
      <c r="F3858" s="295"/>
      <c r="G3858" s="264"/>
      <c r="H3858" s="264"/>
      <c r="I3858" s="296"/>
      <c r="J3858" s="299" t="s">
        <v>1892</v>
      </c>
      <c r="K3858" s="159"/>
    </row>
    <row r="3859" spans="5:11" ht="24" customHeight="1">
      <c r="E3859" s="264"/>
      <c r="F3859" s="295"/>
      <c r="G3859" s="199" t="s">
        <v>2685</v>
      </c>
      <c r="H3859" s="264"/>
      <c r="I3859" s="296"/>
      <c r="J3859" s="199">
        <f>SUM(J3854:J3858)</f>
        <v>3522.9580000000005</v>
      </c>
      <c r="K3859" s="159"/>
    </row>
    <row r="3860" spans="5:11" ht="24" customHeight="1">
      <c r="E3860" s="264"/>
      <c r="F3860" s="295"/>
      <c r="G3860" s="264"/>
      <c r="H3860" s="264"/>
      <c r="I3860" s="296"/>
      <c r="J3860" s="299" t="s">
        <v>1892</v>
      </c>
      <c r="K3860" s="159"/>
    </row>
    <row r="3861" spans="5:11" ht="24" customHeight="1">
      <c r="E3861" s="264"/>
      <c r="F3861" s="295"/>
      <c r="G3861" s="342" t="s">
        <v>2692</v>
      </c>
      <c r="H3861" s="264"/>
      <c r="I3861" s="296"/>
      <c r="J3861" s="199">
        <f>J3859/E3855</f>
        <v>3669.7479166666672</v>
      </c>
      <c r="K3861" s="159"/>
    </row>
    <row r="3862" spans="5:11" ht="24" customHeight="1">
      <c r="G3862" s="76"/>
      <c r="J3862" s="76"/>
      <c r="K3862" s="159"/>
    </row>
    <row r="3863" spans="5:11" ht="24" customHeight="1">
      <c r="E3863" s="264"/>
      <c r="F3863" s="295"/>
      <c r="G3863" s="199" t="s">
        <v>3337</v>
      </c>
      <c r="H3863" s="264"/>
      <c r="I3863" s="296">
        <f>1*0.8</f>
        <v>0.8</v>
      </c>
      <c r="J3863" s="264"/>
      <c r="K3863" s="159"/>
    </row>
    <row r="3864" spans="5:11" ht="24" customHeight="1">
      <c r="E3864" s="264"/>
      <c r="F3864" s="295"/>
      <c r="G3864" s="264"/>
      <c r="H3864" s="264"/>
      <c r="I3864" s="296"/>
      <c r="J3864" s="264"/>
      <c r="K3864" s="159"/>
    </row>
    <row r="3865" spans="5:11" ht="24" customHeight="1">
      <c r="E3865" s="158" t="s">
        <v>3338</v>
      </c>
      <c r="F3865" s="296"/>
      <c r="G3865" s="296"/>
      <c r="H3865" s="298">
        <f>3.6*3.9</f>
        <v>14.04</v>
      </c>
      <c r="I3865" s="296" t="s">
        <v>2300</v>
      </c>
      <c r="J3865" s="296"/>
      <c r="K3865" s="159"/>
    </row>
    <row r="3866" spans="5:11" ht="24" customHeight="1">
      <c r="E3866" s="76" t="s">
        <v>3339</v>
      </c>
      <c r="F3866" s="295"/>
      <c r="G3866" s="264"/>
      <c r="H3866" s="264">
        <f>9*0.8*3.14</f>
        <v>22.608000000000001</v>
      </c>
      <c r="I3866" s="296" t="s">
        <v>2300</v>
      </c>
      <c r="J3866" s="296"/>
      <c r="K3866" s="159"/>
    </row>
    <row r="3867" spans="5:11" ht="24" customHeight="1">
      <c r="E3867" s="76" t="s">
        <v>3340</v>
      </c>
      <c r="F3867" s="295"/>
      <c r="G3867" s="264"/>
      <c r="H3867" s="264">
        <f>2*1*1.2</f>
        <v>2.4</v>
      </c>
      <c r="I3867" s="296" t="s">
        <v>2300</v>
      </c>
      <c r="J3867" s="296"/>
      <c r="K3867" s="159"/>
    </row>
    <row r="3868" spans="5:11" ht="24" customHeight="1">
      <c r="E3868" s="76" t="s">
        <v>3335</v>
      </c>
      <c r="F3868" s="295"/>
      <c r="G3868" s="264"/>
      <c r="H3868" s="264">
        <f>3*0.8*1.2</f>
        <v>2.8800000000000003</v>
      </c>
      <c r="I3868" s="296" t="s">
        <v>2300</v>
      </c>
      <c r="J3868" s="296"/>
      <c r="K3868" s="159"/>
    </row>
    <row r="3869" spans="5:11" ht="24" customHeight="1">
      <c r="E3869" s="76" t="s">
        <v>3336</v>
      </c>
      <c r="F3869" s="295"/>
      <c r="G3869" s="264"/>
      <c r="H3869" s="264">
        <v>5</v>
      </c>
      <c r="I3869" s="296"/>
      <c r="J3869" s="296"/>
      <c r="K3869" s="159"/>
    </row>
    <row r="3870" spans="5:11" ht="24" customHeight="1">
      <c r="E3870" s="264"/>
      <c r="F3870" s="295"/>
      <c r="G3870" s="264"/>
      <c r="H3870" s="299" t="s">
        <v>2691</v>
      </c>
      <c r="I3870" s="296"/>
      <c r="J3870" s="296"/>
      <c r="K3870" s="159"/>
    </row>
    <row r="3871" spans="5:11" ht="24" customHeight="1">
      <c r="E3871" s="264"/>
      <c r="F3871" s="295"/>
      <c r="G3871" s="264"/>
      <c r="H3871" s="294">
        <f>SUM(H3865:H3869)</f>
        <v>46.927999999999997</v>
      </c>
      <c r="I3871" s="296" t="s">
        <v>2300</v>
      </c>
      <c r="J3871" s="296"/>
      <c r="K3871" s="159"/>
    </row>
    <row r="3872" spans="5:11" ht="24" customHeight="1">
      <c r="E3872" s="264"/>
      <c r="F3872" s="295"/>
      <c r="G3872" s="264"/>
      <c r="H3872" s="299" t="s">
        <v>2691</v>
      </c>
      <c r="I3872" s="296"/>
      <c r="J3872" s="264"/>
      <c r="K3872" s="159"/>
    </row>
    <row r="3873" spans="5:11" ht="24" customHeight="1">
      <c r="E3873" s="264"/>
      <c r="F3873" s="295"/>
      <c r="G3873" s="264"/>
      <c r="H3873" s="264"/>
      <c r="I3873" s="296"/>
      <c r="J3873" s="264"/>
      <c r="K3873" s="159"/>
    </row>
    <row r="3874" spans="5:11" ht="24" customHeight="1">
      <c r="E3874" s="264"/>
      <c r="F3874" s="295"/>
      <c r="G3874" s="264"/>
      <c r="H3874" s="264"/>
      <c r="I3874" s="296"/>
      <c r="J3874" s="264"/>
      <c r="K3874" s="159"/>
    </row>
    <row r="3875" spans="5:11" ht="24" customHeight="1">
      <c r="E3875" s="298">
        <f>H3871</f>
        <v>46.927999999999997</v>
      </c>
      <c r="F3875" s="295" t="s">
        <v>420</v>
      </c>
      <c r="G3875" s="264" t="s">
        <v>2681</v>
      </c>
      <c r="H3875" s="264">
        <f>H3854</f>
        <v>54.5</v>
      </c>
      <c r="I3875" s="296" t="s">
        <v>420</v>
      </c>
      <c r="J3875" s="264">
        <f>H3875*E3875</f>
        <v>2557.576</v>
      </c>
      <c r="K3875" s="159"/>
    </row>
    <row r="3876" spans="5:11" ht="24" customHeight="1">
      <c r="E3876" s="264">
        <v>0.8</v>
      </c>
      <c r="F3876" s="295" t="s">
        <v>250</v>
      </c>
      <c r="G3876" s="264" t="s">
        <v>2682</v>
      </c>
      <c r="H3876" s="264">
        <f>H3855</f>
        <v>295</v>
      </c>
      <c r="I3876" s="296" t="s">
        <v>250</v>
      </c>
      <c r="J3876" s="264">
        <f>H3876*E3876</f>
        <v>236</v>
      </c>
      <c r="K3876" s="159"/>
    </row>
    <row r="3877" spans="5:11" ht="24" customHeight="1">
      <c r="E3877" s="264">
        <v>0.8</v>
      </c>
      <c r="F3877" s="295" t="s">
        <v>250</v>
      </c>
      <c r="G3877" s="264" t="s">
        <v>2701</v>
      </c>
      <c r="H3877" s="264">
        <f>H3856</f>
        <v>31.65</v>
      </c>
      <c r="I3877" s="296" t="s">
        <v>250</v>
      </c>
      <c r="J3877" s="264">
        <f>H3877*E3877</f>
        <v>25.32</v>
      </c>
      <c r="K3877" s="159"/>
    </row>
    <row r="3878" spans="5:11" ht="24" customHeight="1">
      <c r="E3878" s="264"/>
      <c r="F3878" s="295"/>
      <c r="G3878" s="264" t="s">
        <v>2702</v>
      </c>
      <c r="H3878" s="264">
        <f>H3857</f>
        <v>266.81</v>
      </c>
      <c r="I3878" s="296" t="s">
        <v>589</v>
      </c>
      <c r="J3878" s="264">
        <v>47.1</v>
      </c>
      <c r="K3878" s="159"/>
    </row>
    <row r="3879" spans="5:11" ht="24" customHeight="1">
      <c r="E3879" s="264"/>
      <c r="F3879" s="295"/>
      <c r="G3879" s="264"/>
      <c r="H3879" s="264"/>
      <c r="I3879" s="296"/>
      <c r="J3879" s="299" t="s">
        <v>1892</v>
      </c>
      <c r="K3879" s="159"/>
    </row>
    <row r="3880" spans="5:11" ht="24" customHeight="1">
      <c r="E3880" s="264"/>
      <c r="F3880" s="295"/>
      <c r="G3880" s="199" t="s">
        <v>2685</v>
      </c>
      <c r="H3880" s="264"/>
      <c r="I3880" s="296"/>
      <c r="J3880" s="199">
        <f>SUM(J3875:J3879)</f>
        <v>2865.9960000000001</v>
      </c>
      <c r="K3880" s="159"/>
    </row>
    <row r="3881" spans="5:11" ht="24" customHeight="1">
      <c r="E3881" s="264"/>
      <c r="F3881" s="295"/>
      <c r="G3881" s="264"/>
      <c r="H3881" s="264"/>
      <c r="I3881" s="296"/>
      <c r="J3881" s="299" t="s">
        <v>1892</v>
      </c>
      <c r="K3881" s="159"/>
    </row>
    <row r="3882" spans="5:11" ht="24" customHeight="1">
      <c r="E3882" s="264"/>
      <c r="F3882" s="295"/>
      <c r="G3882" s="342" t="s">
        <v>2692</v>
      </c>
      <c r="H3882" s="264"/>
      <c r="I3882" s="296"/>
      <c r="J3882" s="199">
        <f>J3880/E3876</f>
        <v>3582.4949999999999</v>
      </c>
      <c r="K3882" s="159"/>
    </row>
    <row r="3883" spans="5:11" ht="24" customHeight="1">
      <c r="E3883" s="264" t="s">
        <v>2678</v>
      </c>
      <c r="F3883" s="295"/>
      <c r="G3883" s="264"/>
      <c r="H3883" s="264">
        <v>3.24</v>
      </c>
      <c r="I3883" s="296" t="s">
        <v>2300</v>
      </c>
      <c r="J3883" s="264"/>
      <c r="K3883" s="159"/>
    </row>
    <row r="3884" spans="5:11" ht="24" customHeight="1">
      <c r="E3884" s="264" t="s">
        <v>2679</v>
      </c>
      <c r="F3884" s="295"/>
      <c r="G3884" s="264"/>
      <c r="H3884" s="264">
        <v>2.16</v>
      </c>
      <c r="I3884" s="296" t="s">
        <v>2300</v>
      </c>
      <c r="J3884" s="264"/>
      <c r="K3884" s="159"/>
    </row>
    <row r="3885" spans="5:11" ht="24" customHeight="1">
      <c r="E3885" s="264"/>
      <c r="F3885" s="295"/>
      <c r="G3885" s="264"/>
      <c r="H3885" s="264"/>
      <c r="I3885" s="296"/>
      <c r="J3885" s="264"/>
      <c r="K3885" s="159"/>
    </row>
    <row r="3886" spans="5:11" ht="24" customHeight="1">
      <c r="E3886" s="264"/>
      <c r="F3886" s="295"/>
      <c r="G3886" s="264"/>
      <c r="H3886" s="299" t="s">
        <v>1892</v>
      </c>
      <c r="I3886" s="296"/>
      <c r="J3886" s="264"/>
      <c r="K3886" s="159"/>
    </row>
    <row r="3887" spans="5:11" ht="24" customHeight="1">
      <c r="E3887" s="264"/>
      <c r="F3887" s="295"/>
      <c r="G3887" s="264"/>
      <c r="H3887" s="264">
        <f>SUM(H3881:H3885)</f>
        <v>5.4</v>
      </c>
      <c r="I3887" s="296"/>
      <c r="J3887" s="264"/>
      <c r="K3887" s="159"/>
    </row>
    <row r="3888" spans="5:11" ht="24" customHeight="1">
      <c r="E3888" s="264"/>
      <c r="F3888" s="295"/>
      <c r="G3888" s="264"/>
      <c r="H3888" s="264" t="s">
        <v>2680</v>
      </c>
      <c r="I3888" s="296"/>
      <c r="J3888" s="264"/>
      <c r="K3888" s="159"/>
    </row>
    <row r="3889" spans="5:11" ht="24" customHeight="1">
      <c r="E3889" s="264"/>
      <c r="F3889" s="295"/>
      <c r="G3889" s="264"/>
      <c r="H3889" s="264"/>
      <c r="I3889" s="296"/>
      <c r="J3889" s="264"/>
      <c r="K3889" s="159"/>
    </row>
    <row r="3890" spans="5:11" ht="24" customHeight="1">
      <c r="E3890" s="264"/>
      <c r="F3890" s="295"/>
      <c r="G3890" s="264"/>
      <c r="H3890" s="264"/>
      <c r="I3890" s="296"/>
      <c r="J3890" s="264"/>
      <c r="K3890" s="159"/>
    </row>
    <row r="3891" spans="5:11" ht="24" customHeight="1">
      <c r="E3891" s="264">
        <v>42.81</v>
      </c>
      <c r="F3891" s="295" t="s">
        <v>420</v>
      </c>
      <c r="G3891" s="264" t="s">
        <v>2681</v>
      </c>
      <c r="H3891" s="264">
        <f>C3890</f>
        <v>0</v>
      </c>
      <c r="I3891" s="296" t="s">
        <v>420</v>
      </c>
      <c r="J3891" s="264">
        <f>H3891*E3891</f>
        <v>0</v>
      </c>
      <c r="K3891" s="159"/>
    </row>
    <row r="3892" spans="5:11" ht="24" customHeight="1">
      <c r="E3892" s="264">
        <v>0.77</v>
      </c>
      <c r="F3892" s="295" t="s">
        <v>250</v>
      </c>
      <c r="G3892" s="264" t="s">
        <v>2731</v>
      </c>
      <c r="H3892" s="264">
        <f>C3891</f>
        <v>0</v>
      </c>
      <c r="I3892" s="296" t="s">
        <v>250</v>
      </c>
      <c r="J3892" s="264">
        <f>H3892*E3892</f>
        <v>0</v>
      </c>
      <c r="K3892" s="159"/>
    </row>
    <row r="3893" spans="5:11" ht="24" customHeight="1">
      <c r="E3893" s="264">
        <v>0.77</v>
      </c>
      <c r="F3893" s="295" t="s">
        <v>250</v>
      </c>
      <c r="G3893" s="664" t="s">
        <v>2683</v>
      </c>
      <c r="H3893" s="262">
        <f>C3892</f>
        <v>0</v>
      </c>
      <c r="I3893" s="296" t="s">
        <v>250</v>
      </c>
      <c r="J3893" s="264">
        <f>H3893*E3893</f>
        <v>0</v>
      </c>
      <c r="K3893" s="159"/>
    </row>
    <row r="3894" spans="5:11" ht="24" customHeight="1">
      <c r="E3894" s="264"/>
      <c r="F3894" s="295"/>
      <c r="G3894" s="264" t="s">
        <v>2684</v>
      </c>
      <c r="H3894" s="264">
        <f>46.62+0.48</f>
        <v>47.099999999999994</v>
      </c>
      <c r="I3894" s="296" t="s">
        <v>589</v>
      </c>
      <c r="J3894" s="264">
        <f>H3894</f>
        <v>47.099999999999994</v>
      </c>
      <c r="K3894" s="159"/>
    </row>
    <row r="3895" spans="5:11" ht="24" customHeight="1">
      <c r="E3895" s="264"/>
      <c r="F3895" s="295"/>
      <c r="G3895" s="264"/>
      <c r="H3895" s="264"/>
      <c r="I3895" s="296"/>
      <c r="J3895" s="299" t="s">
        <v>1892</v>
      </c>
      <c r="K3895" s="159"/>
    </row>
    <row r="3896" spans="5:11" ht="24" customHeight="1">
      <c r="E3896" s="264"/>
      <c r="F3896" s="295"/>
      <c r="G3896" s="199" t="s">
        <v>2685</v>
      </c>
      <c r="H3896" s="264"/>
      <c r="I3896" s="296"/>
      <c r="J3896" s="199">
        <f>SUM(J3891:J3894)</f>
        <v>47.099999999999994</v>
      </c>
      <c r="K3896" s="159"/>
    </row>
    <row r="3897" spans="5:11" ht="24" customHeight="1">
      <c r="E3897" s="264"/>
      <c r="F3897" s="295"/>
      <c r="G3897" s="264"/>
      <c r="H3897" s="264"/>
      <c r="I3897" s="296"/>
      <c r="J3897" s="299" t="s">
        <v>1892</v>
      </c>
      <c r="K3897" s="159"/>
    </row>
    <row r="3898" spans="5:11" ht="24" customHeight="1">
      <c r="F3898" s="156"/>
      <c r="G3898" s="665">
        <f>1.285*0.6</f>
        <v>0.77099999999999991</v>
      </c>
      <c r="I3898" s="158"/>
      <c r="J3898" s="76">
        <f>J3896/G3898</f>
        <v>61.089494163424128</v>
      </c>
      <c r="K3898" s="159"/>
    </row>
    <row r="3899" spans="5:11" ht="24" customHeight="1">
      <c r="E3899" s="264">
        <f>C3892</f>
        <v>0</v>
      </c>
      <c r="G3899" s="158">
        <f>E3899*D3858</f>
        <v>0</v>
      </c>
      <c r="J3899" s="76"/>
      <c r="K3899" s="159"/>
    </row>
    <row r="3900" spans="5:11" ht="24" customHeight="1">
      <c r="E3900" s="264"/>
      <c r="G3900" s="158">
        <v>0.8</v>
      </c>
      <c r="J3900" s="76"/>
      <c r="K3900" s="159"/>
    </row>
    <row r="3901" spans="5:11" ht="24" customHeight="1">
      <c r="G3901" s="158">
        <f>SUM(G3897:G3900)</f>
        <v>1.571</v>
      </c>
      <c r="J3901" s="76"/>
      <c r="K3901" s="159"/>
    </row>
    <row r="3902" spans="5:11" ht="24" customHeight="1">
      <c r="G3902" s="158">
        <f>G3901/0.77</f>
        <v>2.04025974025974</v>
      </c>
      <c r="J3902" s="76"/>
      <c r="K3902" s="159"/>
    </row>
    <row r="3903" spans="5:11" ht="24" customHeight="1">
      <c r="G3903" s="76"/>
      <c r="H3903" s="199" t="s">
        <v>3341</v>
      </c>
      <c r="J3903" s="76"/>
      <c r="K3903" s="159"/>
    </row>
    <row r="3904" spans="5:11" ht="24" customHeight="1">
      <c r="F3904" s="155" t="s">
        <v>1716</v>
      </c>
      <c r="G3904" s="165" t="s">
        <v>307</v>
      </c>
      <c r="H3904" s="154" t="s">
        <v>1717</v>
      </c>
    </row>
    <row r="3905" spans="7:8" ht="24" customHeight="1">
      <c r="H3905" s="154" t="s">
        <v>1718</v>
      </c>
    </row>
    <row r="3906" spans="7:8" ht="24" customHeight="1">
      <c r="H3906" s="154" t="s">
        <v>1719</v>
      </c>
    </row>
    <row r="3907" spans="7:8" ht="24" customHeight="1">
      <c r="H3907" s="154" t="s">
        <v>1720</v>
      </c>
    </row>
    <row r="3908" spans="7:8" ht="24" customHeight="1">
      <c r="H3908" s="154" t="s">
        <v>1721</v>
      </c>
    </row>
    <row r="3909" spans="7:8" ht="24" customHeight="1">
      <c r="H3909" s="154" t="s">
        <v>1722</v>
      </c>
    </row>
    <row r="3910" spans="7:8" ht="24" customHeight="1">
      <c r="H3910" s="154" t="s">
        <v>1723</v>
      </c>
    </row>
    <row r="3911" spans="7:8" ht="24" customHeight="1">
      <c r="H3911" s="154" t="s">
        <v>1724</v>
      </c>
    </row>
    <row r="3912" spans="7:8" ht="24" customHeight="1">
      <c r="H3912" s="154" t="s">
        <v>1725</v>
      </c>
    </row>
    <row r="3913" spans="7:8" ht="24" customHeight="1">
      <c r="H3913" s="154" t="s">
        <v>1727</v>
      </c>
    </row>
    <row r="3914" spans="7:8" ht="24" customHeight="1">
      <c r="H3914" s="154" t="s">
        <v>1729</v>
      </c>
    </row>
    <row r="3915" spans="7:8" ht="24" customHeight="1">
      <c r="H3915" s="154" t="s">
        <v>1730</v>
      </c>
    </row>
    <row r="3916" spans="7:8" ht="24" customHeight="1">
      <c r="H3916" s="154" t="s">
        <v>1732</v>
      </c>
    </row>
    <row r="3917" spans="7:8" ht="24" customHeight="1">
      <c r="H3917" s="154" t="s">
        <v>1734</v>
      </c>
    </row>
    <row r="3920" spans="7:8" ht="24" customHeight="1">
      <c r="G3920" s="165" t="s">
        <v>1563</v>
      </c>
      <c r="H3920" s="155" t="s">
        <v>1738</v>
      </c>
    </row>
    <row r="3921" spans="6:11" ht="24" customHeight="1">
      <c r="H3921" s="155" t="s">
        <v>1741</v>
      </c>
    </row>
    <row r="3922" spans="6:11" ht="24" customHeight="1">
      <c r="F3922" s="232">
        <v>3.8100000000000002E-2</v>
      </c>
      <c r="G3922" s="165" t="s">
        <v>577</v>
      </c>
      <c r="H3922" s="154" t="s">
        <v>1731</v>
      </c>
      <c r="I3922" s="167">
        <f>K821</f>
        <v>7233.8630000000003</v>
      </c>
      <c r="J3922" s="154" t="s">
        <v>577</v>
      </c>
      <c r="K3922" s="167">
        <f>F3922*I3922</f>
        <v>275.61018030000002</v>
      </c>
    </row>
    <row r="3923" spans="6:11" ht="24" customHeight="1">
      <c r="F3923" s="277">
        <v>5.01</v>
      </c>
      <c r="G3923" s="165" t="s">
        <v>420</v>
      </c>
      <c r="H3923" s="154" t="s">
        <v>1733</v>
      </c>
      <c r="I3923" s="167">
        <f>K1608</f>
        <v>67228.5</v>
      </c>
      <c r="J3923" s="154" t="s">
        <v>567</v>
      </c>
      <c r="K3923" s="167">
        <f>F3923*I3923/1000</f>
        <v>336.81478499999997</v>
      </c>
    </row>
    <row r="3924" spans="6:11" ht="24" customHeight="1">
      <c r="F3924" s="167">
        <v>3</v>
      </c>
      <c r="G3924" s="165" t="s">
        <v>576</v>
      </c>
      <c r="H3924" s="154" t="s">
        <v>1735</v>
      </c>
      <c r="I3924" s="230">
        <v>14.8</v>
      </c>
      <c r="J3924" s="154" t="s">
        <v>576</v>
      </c>
      <c r="K3924" s="167">
        <f t="shared" ref="K3924:K3931" si="342">F3924*I3924</f>
        <v>44.400000000000006</v>
      </c>
    </row>
    <row r="3925" spans="6:11" ht="24" customHeight="1">
      <c r="F3925" s="167">
        <v>12</v>
      </c>
      <c r="G3925" s="165" t="s">
        <v>576</v>
      </c>
      <c r="H3925" s="154" t="s">
        <v>1736</v>
      </c>
      <c r="I3925" s="230">
        <v>2</v>
      </c>
      <c r="J3925" s="154" t="s">
        <v>576</v>
      </c>
      <c r="K3925" s="167">
        <f t="shared" si="342"/>
        <v>24</v>
      </c>
    </row>
    <row r="3926" spans="6:11" ht="24" customHeight="1">
      <c r="F3926" s="167">
        <v>2</v>
      </c>
      <c r="G3926" s="165" t="s">
        <v>576</v>
      </c>
      <c r="H3926" s="154" t="s">
        <v>1737</v>
      </c>
      <c r="I3926" s="230">
        <v>4.9000000000000004</v>
      </c>
      <c r="J3926" s="154" t="s">
        <v>576</v>
      </c>
      <c r="K3926" s="167">
        <f t="shared" si="342"/>
        <v>9.8000000000000007</v>
      </c>
    </row>
    <row r="3927" spans="6:11" ht="24" customHeight="1">
      <c r="F3927" s="167">
        <v>6</v>
      </c>
      <c r="G3927" s="165" t="s">
        <v>576</v>
      </c>
      <c r="H3927" s="154" t="s">
        <v>1739</v>
      </c>
      <c r="I3927" s="230">
        <v>4.45</v>
      </c>
      <c r="J3927" s="154" t="s">
        <v>576</v>
      </c>
      <c r="K3927" s="167">
        <f t="shared" si="342"/>
        <v>26.700000000000003</v>
      </c>
    </row>
    <row r="3928" spans="6:11" ht="24" customHeight="1">
      <c r="F3928" s="167">
        <v>1</v>
      </c>
      <c r="G3928" s="165" t="s">
        <v>576</v>
      </c>
      <c r="H3928" s="154" t="s">
        <v>1742</v>
      </c>
      <c r="I3928" s="167">
        <f>I865</f>
        <v>717.2</v>
      </c>
      <c r="J3928" s="154" t="s">
        <v>576</v>
      </c>
      <c r="K3928" s="167">
        <f t="shared" si="342"/>
        <v>717.2</v>
      </c>
    </row>
    <row r="3929" spans="6:11" ht="24" customHeight="1">
      <c r="F3929" s="167">
        <v>1</v>
      </c>
      <c r="G3929" s="165" t="s">
        <v>576</v>
      </c>
      <c r="H3929" s="154" t="s">
        <v>1743</v>
      </c>
      <c r="I3929" s="167">
        <f>I866</f>
        <v>468.6</v>
      </c>
      <c r="J3929" s="154" t="s">
        <v>576</v>
      </c>
      <c r="K3929" s="167">
        <f t="shared" si="342"/>
        <v>468.6</v>
      </c>
    </row>
    <row r="3930" spans="6:11" ht="24" customHeight="1">
      <c r="F3930" s="167">
        <v>1</v>
      </c>
      <c r="G3930" s="165" t="s">
        <v>576</v>
      </c>
      <c r="H3930" s="154" t="s">
        <v>1744</v>
      </c>
      <c r="I3930" s="230">
        <v>25</v>
      </c>
      <c r="J3930" s="154" t="s">
        <v>576</v>
      </c>
      <c r="K3930" s="167">
        <f t="shared" si="342"/>
        <v>25</v>
      </c>
    </row>
    <row r="3931" spans="6:11" ht="24" customHeight="1">
      <c r="F3931" s="167">
        <v>0.5</v>
      </c>
      <c r="G3931" s="165" t="s">
        <v>576</v>
      </c>
      <c r="H3931" s="154" t="s">
        <v>1745</v>
      </c>
      <c r="I3931" s="167">
        <f>I868</f>
        <v>404.8</v>
      </c>
      <c r="J3931" s="154" t="s">
        <v>576</v>
      </c>
      <c r="K3931" s="167">
        <f t="shared" si="342"/>
        <v>202.4</v>
      </c>
    </row>
    <row r="3932" spans="6:11" ht="24" customHeight="1">
      <c r="G3932" s="165" t="s">
        <v>589</v>
      </c>
      <c r="H3932" s="154" t="s">
        <v>1746</v>
      </c>
      <c r="J3932" s="154" t="s">
        <v>589</v>
      </c>
      <c r="K3932" s="167">
        <v>1.1299999999999999</v>
      </c>
    </row>
    <row r="3933" spans="6:11" ht="24" customHeight="1">
      <c r="K3933" s="162" t="s">
        <v>534</v>
      </c>
    </row>
    <row r="3934" spans="6:11" ht="24" customHeight="1">
      <c r="H3934" s="169" t="s">
        <v>1747</v>
      </c>
      <c r="K3934" s="166">
        <f>SUM(K3922:K3932)</f>
        <v>2131.6549653000002</v>
      </c>
    </row>
    <row r="3935" spans="6:11" ht="24" customHeight="1">
      <c r="K3935" s="162" t="s">
        <v>534</v>
      </c>
    </row>
    <row r="3938" spans="6:12" ht="24" customHeight="1">
      <c r="G3938" s="165" t="s">
        <v>1501</v>
      </c>
      <c r="H3938" s="155" t="s">
        <v>1750</v>
      </c>
    </row>
    <row r="3939" spans="6:12" ht="24" customHeight="1">
      <c r="H3939" s="155" t="s">
        <v>1741</v>
      </c>
    </row>
    <row r="3940" spans="6:12" ht="46.5" customHeight="1">
      <c r="F3940" s="232">
        <v>3.6799999999999999E-2</v>
      </c>
      <c r="G3940" s="165" t="s">
        <v>577</v>
      </c>
      <c r="H3940" s="210" t="s">
        <v>3342</v>
      </c>
      <c r="I3940" s="167">
        <f t="shared" ref="I3940:I3947" si="343">I3922</f>
        <v>7233.8630000000003</v>
      </c>
      <c r="J3940" s="154" t="s">
        <v>577</v>
      </c>
      <c r="K3940" s="167">
        <f>F3940*I3940</f>
        <v>266.20615839999999</v>
      </c>
    </row>
    <row r="3941" spans="6:12" ht="24" customHeight="1">
      <c r="F3941" s="167">
        <v>4.87</v>
      </c>
      <c r="G3941" s="165" t="s">
        <v>420</v>
      </c>
      <c r="H3941" s="154" t="s">
        <v>1733</v>
      </c>
      <c r="I3941" s="167">
        <f t="shared" si="343"/>
        <v>67228.5</v>
      </c>
      <c r="J3941" s="154" t="s">
        <v>567</v>
      </c>
      <c r="K3941" s="167">
        <f>F3941*I3941/1000</f>
        <v>327.40279499999997</v>
      </c>
    </row>
    <row r="3942" spans="6:12" ht="24" customHeight="1">
      <c r="F3942" s="167">
        <v>3</v>
      </c>
      <c r="G3942" s="165" t="s">
        <v>576</v>
      </c>
      <c r="H3942" s="154" t="s">
        <v>1735</v>
      </c>
      <c r="I3942" s="274">
        <f t="shared" si="343"/>
        <v>14.8</v>
      </c>
      <c r="J3942" s="154" t="s">
        <v>576</v>
      </c>
      <c r="K3942" s="167">
        <f t="shared" ref="K3942:K3949" si="344">F3942*I3942</f>
        <v>44.400000000000006</v>
      </c>
    </row>
    <row r="3943" spans="6:12" ht="24" customHeight="1">
      <c r="F3943" s="167">
        <v>12</v>
      </c>
      <c r="G3943" s="165" t="s">
        <v>576</v>
      </c>
      <c r="H3943" s="154" t="s">
        <v>1736</v>
      </c>
      <c r="I3943" s="274">
        <f t="shared" si="343"/>
        <v>2</v>
      </c>
      <c r="J3943" s="154" t="s">
        <v>576</v>
      </c>
      <c r="K3943" s="167">
        <f t="shared" si="344"/>
        <v>24</v>
      </c>
    </row>
    <row r="3944" spans="6:12" ht="24" customHeight="1">
      <c r="F3944" s="167">
        <v>2</v>
      </c>
      <c r="G3944" s="165" t="s">
        <v>576</v>
      </c>
      <c r="H3944" s="154" t="s">
        <v>1737</v>
      </c>
      <c r="I3944" s="274">
        <f t="shared" si="343"/>
        <v>4.9000000000000004</v>
      </c>
      <c r="J3944" s="154" t="s">
        <v>576</v>
      </c>
      <c r="K3944" s="167">
        <f t="shared" si="344"/>
        <v>9.8000000000000007</v>
      </c>
    </row>
    <row r="3945" spans="6:12" ht="24" customHeight="1">
      <c r="F3945" s="167">
        <v>6</v>
      </c>
      <c r="G3945" s="165" t="s">
        <v>576</v>
      </c>
      <c r="H3945" s="154" t="s">
        <v>1739</v>
      </c>
      <c r="I3945" s="274">
        <f t="shared" si="343"/>
        <v>4.45</v>
      </c>
      <c r="J3945" s="154" t="s">
        <v>576</v>
      </c>
      <c r="K3945" s="167">
        <f t="shared" si="344"/>
        <v>26.700000000000003</v>
      </c>
    </row>
    <row r="3946" spans="6:12" ht="24" customHeight="1">
      <c r="F3946" s="167">
        <v>1</v>
      </c>
      <c r="G3946" s="165" t="s">
        <v>576</v>
      </c>
      <c r="H3946" s="154" t="s">
        <v>1742</v>
      </c>
      <c r="I3946" s="167">
        <f t="shared" si="343"/>
        <v>717.2</v>
      </c>
      <c r="J3946" s="154" t="s">
        <v>576</v>
      </c>
      <c r="K3946" s="167">
        <f t="shared" si="344"/>
        <v>717.2</v>
      </c>
    </row>
    <row r="3947" spans="6:12" ht="24" customHeight="1">
      <c r="F3947" s="167">
        <v>1</v>
      </c>
      <c r="G3947" s="165" t="s">
        <v>576</v>
      </c>
      <c r="H3947" s="154" t="s">
        <v>1743</v>
      </c>
      <c r="I3947" s="167">
        <f t="shared" si="343"/>
        <v>468.6</v>
      </c>
      <c r="J3947" s="154" t="s">
        <v>576</v>
      </c>
      <c r="K3947" s="167">
        <f t="shared" si="344"/>
        <v>468.6</v>
      </c>
    </row>
    <row r="3948" spans="6:12" ht="24" customHeight="1">
      <c r="F3948" s="167">
        <v>1</v>
      </c>
      <c r="G3948" s="165" t="s">
        <v>576</v>
      </c>
      <c r="H3948" s="154" t="s">
        <v>1744</v>
      </c>
      <c r="I3948" s="278">
        <v>25</v>
      </c>
      <c r="J3948" s="154" t="s">
        <v>576</v>
      </c>
      <c r="K3948" s="167">
        <f t="shared" si="344"/>
        <v>25</v>
      </c>
    </row>
    <row r="3949" spans="6:12" ht="24" customHeight="1">
      <c r="F3949" s="167">
        <v>0.5</v>
      </c>
      <c r="G3949" s="165" t="s">
        <v>576</v>
      </c>
      <c r="H3949" s="154" t="s">
        <v>1745</v>
      </c>
      <c r="I3949" s="167">
        <f>I3931</f>
        <v>404.8</v>
      </c>
      <c r="J3949" s="154" t="s">
        <v>576</v>
      </c>
      <c r="K3949" s="167">
        <f t="shared" si="344"/>
        <v>202.4</v>
      </c>
    </row>
    <row r="3950" spans="6:12" ht="24" customHeight="1">
      <c r="G3950" s="165" t="s">
        <v>589</v>
      </c>
      <c r="H3950" s="154" t="s">
        <v>1746</v>
      </c>
      <c r="J3950" s="154" t="s">
        <v>589</v>
      </c>
      <c r="K3950" s="167">
        <f>1.9+0.08</f>
        <v>1.98</v>
      </c>
    </row>
    <row r="3951" spans="6:12" ht="24" customHeight="1">
      <c r="K3951" s="162" t="s">
        <v>534</v>
      </c>
    </row>
    <row r="3952" spans="6:12" ht="24" customHeight="1">
      <c r="H3952" s="169" t="s">
        <v>1747</v>
      </c>
      <c r="K3952" s="166">
        <f>SUM(K3940:K3950)</f>
        <v>2113.6889534000002</v>
      </c>
      <c r="L3952" s="76">
        <f>K3952-1729</f>
        <v>384.68895340000017</v>
      </c>
    </row>
    <row r="3953" spans="6:11" ht="24" customHeight="1">
      <c r="K3953" s="162" t="s">
        <v>534</v>
      </c>
    </row>
    <row r="3954" spans="6:11" ht="24" customHeight="1">
      <c r="F3954" s="155"/>
      <c r="G3954" s="165" t="s">
        <v>1530</v>
      </c>
      <c r="H3954" s="155" t="s">
        <v>1757</v>
      </c>
    </row>
    <row r="3955" spans="6:11" ht="24" customHeight="1">
      <c r="H3955" s="155" t="s">
        <v>1741</v>
      </c>
    </row>
    <row r="3956" spans="6:11" ht="24" customHeight="1">
      <c r="F3956" s="232">
        <v>3.5299999999999998E-2</v>
      </c>
      <c r="G3956" s="165" t="s">
        <v>577</v>
      </c>
      <c r="H3956" s="154" t="s">
        <v>1731</v>
      </c>
      <c r="I3956" s="167">
        <f t="shared" ref="I3956:I3961" si="345">I3940</f>
        <v>7233.8630000000003</v>
      </c>
      <c r="J3956" s="154" t="s">
        <v>577</v>
      </c>
      <c r="K3956" s="167">
        <f>F3956*I3956</f>
        <v>255.35536389999999</v>
      </c>
    </row>
    <row r="3957" spans="6:11" ht="24" customHeight="1">
      <c r="F3957" s="167">
        <v>4.59</v>
      </c>
      <c r="G3957" s="165" t="s">
        <v>420</v>
      </c>
      <c r="H3957" s="154" t="s">
        <v>1733</v>
      </c>
      <c r="I3957" s="167">
        <f t="shared" si="345"/>
        <v>67228.5</v>
      </c>
      <c r="J3957" s="154" t="s">
        <v>567</v>
      </c>
      <c r="K3957" s="167">
        <f>F3957*I3957/1000</f>
        <v>308.57881500000002</v>
      </c>
    </row>
    <row r="3958" spans="6:11" ht="24" customHeight="1">
      <c r="F3958" s="167">
        <v>3</v>
      </c>
      <c r="G3958" s="165" t="s">
        <v>576</v>
      </c>
      <c r="H3958" s="154" t="s">
        <v>1735</v>
      </c>
      <c r="I3958" s="274">
        <f t="shared" si="345"/>
        <v>14.8</v>
      </c>
      <c r="J3958" s="154" t="s">
        <v>576</v>
      </c>
      <c r="K3958" s="167">
        <f t="shared" ref="K3958:K3965" si="346">F3958*I3958</f>
        <v>44.400000000000006</v>
      </c>
    </row>
    <row r="3959" spans="6:11" ht="24" customHeight="1">
      <c r="F3959" s="167">
        <v>12</v>
      </c>
      <c r="G3959" s="165" t="s">
        <v>576</v>
      </c>
      <c r="H3959" s="154" t="s">
        <v>1736</v>
      </c>
      <c r="I3959" s="274">
        <f t="shared" si="345"/>
        <v>2</v>
      </c>
      <c r="J3959" s="154" t="s">
        <v>576</v>
      </c>
      <c r="K3959" s="167">
        <f t="shared" si="346"/>
        <v>24</v>
      </c>
    </row>
    <row r="3960" spans="6:11" ht="24" customHeight="1">
      <c r="F3960" s="167">
        <v>2</v>
      </c>
      <c r="G3960" s="165" t="s">
        <v>576</v>
      </c>
      <c r="H3960" s="167" t="str">
        <f>H3944</f>
        <v>TOWER BOLT RECEIVER</v>
      </c>
      <c r="I3960" s="274">
        <f t="shared" si="345"/>
        <v>4.9000000000000004</v>
      </c>
      <c r="J3960" s="154" t="s">
        <v>576</v>
      </c>
      <c r="K3960" s="167">
        <f t="shared" si="346"/>
        <v>9.8000000000000007</v>
      </c>
    </row>
    <row r="3961" spans="6:11" ht="24" customHeight="1">
      <c r="F3961" s="167">
        <v>6</v>
      </c>
      <c r="G3961" s="165" t="s">
        <v>576</v>
      </c>
      <c r="H3961" s="154" t="s">
        <v>1739</v>
      </c>
      <c r="I3961" s="274">
        <f t="shared" si="345"/>
        <v>4.45</v>
      </c>
      <c r="J3961" s="154" t="s">
        <v>576</v>
      </c>
      <c r="K3961" s="167">
        <f t="shared" si="346"/>
        <v>26.700000000000003</v>
      </c>
    </row>
    <row r="3962" spans="6:11" ht="24" customHeight="1">
      <c r="F3962" s="167">
        <v>1</v>
      </c>
      <c r="G3962" s="165" t="s">
        <v>576</v>
      </c>
      <c r="H3962" s="154" t="s">
        <v>1742</v>
      </c>
      <c r="I3962" s="167">
        <f>I3946</f>
        <v>717.2</v>
      </c>
      <c r="J3962" s="154" t="s">
        <v>576</v>
      </c>
      <c r="K3962" s="167">
        <f t="shared" si="346"/>
        <v>717.2</v>
      </c>
    </row>
    <row r="3963" spans="6:11" ht="24" customHeight="1">
      <c r="F3963" s="167">
        <v>1</v>
      </c>
      <c r="G3963" s="165" t="s">
        <v>576</v>
      </c>
      <c r="H3963" s="154" t="s">
        <v>1743</v>
      </c>
      <c r="I3963" s="167">
        <f>I3947</f>
        <v>468.6</v>
      </c>
      <c r="J3963" s="154" t="s">
        <v>576</v>
      </c>
      <c r="K3963" s="167">
        <f t="shared" si="346"/>
        <v>468.6</v>
      </c>
    </row>
    <row r="3964" spans="6:11" ht="24" customHeight="1">
      <c r="F3964" s="167">
        <v>1</v>
      </c>
      <c r="G3964" s="165" t="s">
        <v>576</v>
      </c>
      <c r="H3964" s="167" t="str">
        <f>H3948</f>
        <v>MOULDING CHARGES</v>
      </c>
      <c r="I3964" s="167">
        <f>I3948</f>
        <v>25</v>
      </c>
      <c r="J3964" s="154" t="s">
        <v>576</v>
      </c>
      <c r="K3964" s="167">
        <f t="shared" si="346"/>
        <v>25</v>
      </c>
    </row>
    <row r="3965" spans="6:11" ht="24" customHeight="1">
      <c r="F3965" s="167">
        <v>0.5</v>
      </c>
      <c r="G3965" s="165" t="s">
        <v>576</v>
      </c>
      <c r="H3965" s="154" t="s">
        <v>1745</v>
      </c>
      <c r="I3965" s="167">
        <f>I3949</f>
        <v>404.8</v>
      </c>
      <c r="J3965" s="154" t="s">
        <v>576</v>
      </c>
      <c r="K3965" s="167">
        <f t="shared" si="346"/>
        <v>202.4</v>
      </c>
    </row>
    <row r="3966" spans="6:11" ht="24" customHeight="1">
      <c r="G3966" s="165" t="s">
        <v>589</v>
      </c>
      <c r="H3966" s="154" t="s">
        <v>1746</v>
      </c>
      <c r="I3966" s="167">
        <f>I3950</f>
        <v>0</v>
      </c>
      <c r="J3966" s="154" t="s">
        <v>589</v>
      </c>
      <c r="K3966" s="167">
        <v>1.39</v>
      </c>
    </row>
    <row r="3967" spans="6:11" ht="24" customHeight="1">
      <c r="K3967" s="162" t="s">
        <v>534</v>
      </c>
    </row>
    <row r="3968" spans="6:11" ht="24" customHeight="1">
      <c r="H3968" s="169" t="s">
        <v>1747</v>
      </c>
      <c r="K3968" s="166">
        <f>SUM(K3956:K3966)</f>
        <v>2083.4241788999998</v>
      </c>
    </row>
    <row r="3969" spans="6:11" ht="24" customHeight="1">
      <c r="K3969" s="162" t="s">
        <v>534</v>
      </c>
    </row>
    <row r="3971" spans="6:11" ht="24" customHeight="1">
      <c r="G3971" s="76"/>
      <c r="H3971" s="155" t="s">
        <v>1728</v>
      </c>
      <c r="J3971" s="76"/>
      <c r="K3971" s="162"/>
    </row>
    <row r="3972" spans="6:11" ht="24" customHeight="1">
      <c r="G3972" s="76"/>
      <c r="J3972" s="76"/>
      <c r="K3972" s="162"/>
    </row>
    <row r="3973" spans="6:11" ht="24" customHeight="1">
      <c r="F3973" s="232">
        <v>6.5000000000000002E-2</v>
      </c>
      <c r="G3973" s="165" t="s">
        <v>577</v>
      </c>
      <c r="H3973" s="154" t="s">
        <v>1731</v>
      </c>
      <c r="I3973" s="167">
        <f>I3956</f>
        <v>7233.8630000000003</v>
      </c>
      <c r="J3973" s="154" t="s">
        <v>577</v>
      </c>
      <c r="K3973" s="167">
        <f>I3973*F3973</f>
        <v>470.20109500000001</v>
      </c>
    </row>
    <row r="3974" spans="6:11" ht="24" customHeight="1">
      <c r="F3974" s="276">
        <v>8.4499999999999993</v>
      </c>
      <c r="G3974" s="165" t="s">
        <v>420</v>
      </c>
      <c r="H3974" s="154" t="s">
        <v>1733</v>
      </c>
      <c r="I3974" s="167">
        <f t="shared" ref="I3974:I3983" si="347">I3957</f>
        <v>67228.5</v>
      </c>
      <c r="J3974" s="154" t="s">
        <v>567</v>
      </c>
      <c r="K3974" s="167">
        <f>I3974*F3974/1000</f>
        <v>568.080825</v>
      </c>
    </row>
    <row r="3975" spans="6:11" ht="24" customHeight="1">
      <c r="F3975" s="167">
        <v>3</v>
      </c>
      <c r="G3975" s="165" t="s">
        <v>576</v>
      </c>
      <c r="H3975" s="154" t="s">
        <v>1735</v>
      </c>
      <c r="I3975" s="167">
        <f t="shared" si="347"/>
        <v>14.8</v>
      </c>
      <c r="J3975" s="154" t="s">
        <v>576</v>
      </c>
      <c r="K3975" s="167">
        <f t="shared" ref="K3975:K3982" si="348">I3975*F3975</f>
        <v>44.400000000000006</v>
      </c>
    </row>
    <row r="3976" spans="6:11" ht="24" customHeight="1">
      <c r="F3976" s="167">
        <v>12</v>
      </c>
      <c r="G3976" s="165" t="s">
        <v>576</v>
      </c>
      <c r="H3976" s="154" t="s">
        <v>1736</v>
      </c>
      <c r="I3976" s="167">
        <f t="shared" si="347"/>
        <v>2</v>
      </c>
      <c r="J3976" s="154" t="s">
        <v>576</v>
      </c>
      <c r="K3976" s="167">
        <f t="shared" si="348"/>
        <v>24</v>
      </c>
    </row>
    <row r="3977" spans="6:11" ht="24" customHeight="1">
      <c r="F3977" s="167">
        <v>2</v>
      </c>
      <c r="G3977" s="165" t="s">
        <v>576</v>
      </c>
      <c r="H3977" s="154" t="s">
        <v>1737</v>
      </c>
      <c r="I3977" s="167">
        <f t="shared" si="347"/>
        <v>4.9000000000000004</v>
      </c>
      <c r="J3977" s="154" t="s">
        <v>576</v>
      </c>
      <c r="K3977" s="167">
        <f t="shared" si="348"/>
        <v>9.8000000000000007</v>
      </c>
    </row>
    <row r="3978" spans="6:11" ht="24" customHeight="1">
      <c r="F3978" s="167">
        <v>6</v>
      </c>
      <c r="G3978" s="165" t="s">
        <v>576</v>
      </c>
      <c r="H3978" s="154" t="s">
        <v>1739</v>
      </c>
      <c r="I3978" s="167">
        <f t="shared" si="347"/>
        <v>4.45</v>
      </c>
      <c r="J3978" s="154" t="s">
        <v>576</v>
      </c>
      <c r="K3978" s="167">
        <f t="shared" si="348"/>
        <v>26.700000000000003</v>
      </c>
    </row>
    <row r="3979" spans="6:11" ht="24" customHeight="1">
      <c r="F3979" s="167">
        <v>1</v>
      </c>
      <c r="G3979" s="165" t="s">
        <v>576</v>
      </c>
      <c r="H3979" s="154" t="s">
        <v>1742</v>
      </c>
      <c r="I3979" s="167">
        <f t="shared" si="347"/>
        <v>717.2</v>
      </c>
      <c r="J3979" s="154" t="s">
        <v>576</v>
      </c>
      <c r="K3979" s="167">
        <f t="shared" si="348"/>
        <v>717.2</v>
      </c>
    </row>
    <row r="3980" spans="6:11" ht="24" customHeight="1">
      <c r="F3980" s="167">
        <v>1</v>
      </c>
      <c r="G3980" s="165" t="s">
        <v>576</v>
      </c>
      <c r="H3980" s="154" t="s">
        <v>1743</v>
      </c>
      <c r="I3980" s="167">
        <f t="shared" si="347"/>
        <v>468.6</v>
      </c>
      <c r="J3980" s="154" t="s">
        <v>576</v>
      </c>
      <c r="K3980" s="167">
        <f t="shared" si="348"/>
        <v>468.6</v>
      </c>
    </row>
    <row r="3981" spans="6:11" ht="24" customHeight="1">
      <c r="F3981" s="167">
        <v>1</v>
      </c>
      <c r="G3981" s="165" t="s">
        <v>576</v>
      </c>
      <c r="H3981" s="154" t="s">
        <v>1744</v>
      </c>
      <c r="I3981" s="167">
        <f t="shared" si="347"/>
        <v>25</v>
      </c>
      <c r="J3981" s="154" t="s">
        <v>576</v>
      </c>
      <c r="K3981" s="167">
        <f t="shared" si="348"/>
        <v>25</v>
      </c>
    </row>
    <row r="3982" spans="6:11" ht="24" customHeight="1">
      <c r="F3982" s="167">
        <v>0.5</v>
      </c>
      <c r="G3982" s="165" t="s">
        <v>576</v>
      </c>
      <c r="H3982" s="154" t="s">
        <v>1745</v>
      </c>
      <c r="I3982" s="167">
        <f t="shared" si="347"/>
        <v>404.8</v>
      </c>
      <c r="J3982" s="154" t="s">
        <v>576</v>
      </c>
      <c r="K3982" s="167">
        <f t="shared" si="348"/>
        <v>202.4</v>
      </c>
    </row>
    <row r="3983" spans="6:11" ht="24" customHeight="1">
      <c r="G3983" s="165" t="s">
        <v>589</v>
      </c>
      <c r="H3983" s="154" t="s">
        <v>1746</v>
      </c>
      <c r="I3983" s="167">
        <f t="shared" si="347"/>
        <v>0</v>
      </c>
      <c r="J3983" s="154" t="s">
        <v>589</v>
      </c>
      <c r="K3983" s="167">
        <v>2.1</v>
      </c>
    </row>
    <row r="3984" spans="6:11" ht="24" customHeight="1">
      <c r="K3984" s="162" t="s">
        <v>534</v>
      </c>
    </row>
    <row r="3985" spans="6:11" ht="24" customHeight="1">
      <c r="H3985" s="169" t="s">
        <v>1747</v>
      </c>
      <c r="K3985" s="226">
        <f>SUM(K3973:K3983)</f>
        <v>2558.4819200000002</v>
      </c>
    </row>
    <row r="3986" spans="6:11" ht="24" customHeight="1">
      <c r="K3986" s="162" t="s">
        <v>534</v>
      </c>
    </row>
    <row r="3987" spans="6:11" ht="24" customHeight="1">
      <c r="F3987" s="1011" t="s">
        <v>3343</v>
      </c>
      <c r="G3987" s="1011"/>
      <c r="H3987" s="1011"/>
      <c r="I3987" s="345"/>
      <c r="J3987" s="345"/>
    </row>
    <row r="3988" spans="6:11" ht="24" customHeight="1">
      <c r="F3988" s="159"/>
      <c r="H3988" s="308" t="s">
        <v>3344</v>
      </c>
    </row>
    <row r="3989" spans="6:11" ht="24" customHeight="1">
      <c r="F3989" s="198">
        <v>4.88</v>
      </c>
      <c r="G3989" s="165" t="s">
        <v>31</v>
      </c>
      <c r="H3989" s="154" t="s">
        <v>2045</v>
      </c>
      <c r="I3989" s="167">
        <f>AB1350</f>
        <v>287</v>
      </c>
      <c r="J3989" s="165" t="s">
        <v>31</v>
      </c>
      <c r="K3989" s="167">
        <f t="shared" ref="K3989:K3998" si="349">I3989*F3989</f>
        <v>1400.56</v>
      </c>
    </row>
    <row r="3990" spans="6:11" ht="24" customHeight="1">
      <c r="F3990" s="198">
        <v>7.76</v>
      </c>
      <c r="G3990" s="165" t="s">
        <v>31</v>
      </c>
      <c r="H3990" s="154" t="s">
        <v>2045</v>
      </c>
      <c r="I3990" s="167">
        <f>I3989</f>
        <v>287</v>
      </c>
      <c r="J3990" s="165" t="s">
        <v>31</v>
      </c>
      <c r="K3990" s="167">
        <f t="shared" si="349"/>
        <v>2227.12</v>
      </c>
    </row>
    <row r="3991" spans="6:11" ht="24" customHeight="1">
      <c r="F3991" s="198">
        <v>3.03</v>
      </c>
      <c r="G3991" s="165" t="s">
        <v>31</v>
      </c>
      <c r="H3991" s="154" t="s">
        <v>2045</v>
      </c>
      <c r="I3991" s="167">
        <f>I3990</f>
        <v>287</v>
      </c>
      <c r="J3991" s="165" t="s">
        <v>31</v>
      </c>
      <c r="K3991" s="167">
        <f t="shared" si="349"/>
        <v>869.6099999999999</v>
      </c>
    </row>
    <row r="3992" spans="6:11" ht="24" customHeight="1">
      <c r="F3992" s="198">
        <v>1.45</v>
      </c>
      <c r="G3992" s="165" t="s">
        <v>31</v>
      </c>
      <c r="H3992" s="154" t="s">
        <v>2045</v>
      </c>
      <c r="I3992" s="167">
        <f>I3991</f>
        <v>287</v>
      </c>
      <c r="J3992" s="165" t="s">
        <v>31</v>
      </c>
      <c r="K3992" s="167">
        <f t="shared" si="349"/>
        <v>416.15</v>
      </c>
    </row>
    <row r="3993" spans="6:11" ht="24" customHeight="1">
      <c r="F3993" s="198">
        <v>2.4300000000000002</v>
      </c>
      <c r="G3993" s="165" t="s">
        <v>141</v>
      </c>
      <c r="H3993" s="154" t="s">
        <v>2051</v>
      </c>
      <c r="I3993" s="167">
        <f>AB1354</f>
        <v>208.8</v>
      </c>
      <c r="J3993" s="165" t="s">
        <v>141</v>
      </c>
      <c r="K3993" s="167">
        <f t="shared" si="349"/>
        <v>507.38400000000007</v>
      </c>
    </row>
    <row r="3994" spans="6:11" ht="24" customHeight="1">
      <c r="F3994" s="198">
        <v>11.7</v>
      </c>
      <c r="G3994" s="165" t="s">
        <v>41</v>
      </c>
      <c r="H3994" s="154" t="s">
        <v>2054</v>
      </c>
      <c r="I3994" s="167">
        <f>AB1355</f>
        <v>28.4</v>
      </c>
      <c r="J3994" s="165" t="s">
        <v>41</v>
      </c>
      <c r="K3994" s="167">
        <f t="shared" si="349"/>
        <v>332.28</v>
      </c>
    </row>
    <row r="3995" spans="6:11" ht="24" customHeight="1">
      <c r="F3995" s="198">
        <v>3</v>
      </c>
      <c r="G3995" s="165" t="s">
        <v>680</v>
      </c>
      <c r="H3995" s="154" t="s">
        <v>3345</v>
      </c>
      <c r="I3995" s="167">
        <v>350</v>
      </c>
      <c r="J3995" s="165" t="s">
        <v>680</v>
      </c>
      <c r="K3995" s="167">
        <f t="shared" si="349"/>
        <v>1050</v>
      </c>
    </row>
    <row r="3996" spans="6:11" ht="24" customHeight="1">
      <c r="F3996" s="198">
        <v>3</v>
      </c>
      <c r="G3996" s="165" t="s">
        <v>680</v>
      </c>
      <c r="H3996" s="154" t="s">
        <v>2058</v>
      </c>
      <c r="I3996" s="167">
        <f>V1359</f>
        <v>50.4</v>
      </c>
      <c r="J3996" s="165" t="s">
        <v>680</v>
      </c>
      <c r="K3996" s="167">
        <f t="shared" si="349"/>
        <v>151.19999999999999</v>
      </c>
    </row>
    <row r="3997" spans="6:11" ht="24" customHeight="1">
      <c r="F3997" s="198">
        <v>4</v>
      </c>
      <c r="G3997" s="165" t="s">
        <v>680</v>
      </c>
      <c r="H3997" s="154" t="s">
        <v>2063</v>
      </c>
      <c r="I3997" s="167">
        <f>AB1360</f>
        <v>15</v>
      </c>
      <c r="J3997" s="165" t="s">
        <v>680</v>
      </c>
      <c r="K3997" s="167">
        <f t="shared" si="349"/>
        <v>60</v>
      </c>
    </row>
    <row r="3998" spans="6:11" ht="24" customHeight="1">
      <c r="F3998" s="198">
        <v>2.4300000000000002</v>
      </c>
      <c r="G3998" s="165" t="s">
        <v>250</v>
      </c>
      <c r="H3998" s="154" t="s">
        <v>2064</v>
      </c>
      <c r="I3998" s="167">
        <f>AB1361</f>
        <v>1437.15</v>
      </c>
      <c r="J3998" s="165" t="s">
        <v>680</v>
      </c>
      <c r="K3998" s="167">
        <f t="shared" si="349"/>
        <v>3492.2745000000004</v>
      </c>
    </row>
    <row r="3999" spans="6:11" ht="24" customHeight="1">
      <c r="F3999" s="159"/>
      <c r="H3999" s="154" t="s">
        <v>2066</v>
      </c>
      <c r="J3999" s="165"/>
      <c r="K3999" s="167"/>
    </row>
    <row r="4000" spans="6:11" ht="24" customHeight="1">
      <c r="F4000" s="159"/>
      <c r="G4000" s="76"/>
      <c r="H4000" s="164" t="s">
        <v>2068</v>
      </c>
      <c r="J4000" s="76"/>
      <c r="K4000" s="167">
        <f>SUM(K3989:K3999)</f>
        <v>10506.5785</v>
      </c>
    </row>
    <row r="4001" spans="6:11" ht="24" customHeight="1">
      <c r="F4001" s="159"/>
      <c r="G4001" s="76"/>
      <c r="H4001" s="164" t="s">
        <v>3346</v>
      </c>
      <c r="J4001" s="165" t="s">
        <v>250</v>
      </c>
      <c r="K4001" s="167">
        <f>K4000/F3998</f>
        <v>4323.6948559670782</v>
      </c>
    </row>
    <row r="4002" spans="6:11" ht="24" customHeight="1">
      <c r="F4002" s="159"/>
      <c r="G4002" s="76"/>
      <c r="J4002" s="76"/>
      <c r="K4002" s="166"/>
    </row>
    <row r="4003" spans="6:11" ht="24" customHeight="1">
      <c r="F4003" s="159"/>
      <c r="G4003" s="76"/>
      <c r="J4003" s="76"/>
    </row>
    <row r="4004" spans="6:11" ht="24" customHeight="1">
      <c r="F4004" s="346"/>
      <c r="G4004" s="651"/>
      <c r="H4004" s="1011" t="s">
        <v>3347</v>
      </c>
      <c r="I4004" s="1011"/>
      <c r="J4004" s="1011"/>
      <c r="K4004" s="1011"/>
    </row>
    <row r="4005" spans="6:11" ht="24" customHeight="1">
      <c r="F4005" s="233"/>
      <c r="G4005" s="165"/>
      <c r="H4005" s="154"/>
      <c r="I4005" s="167"/>
      <c r="J4005" s="165"/>
      <c r="K4005" s="167"/>
    </row>
    <row r="4006" spans="6:11" ht="24" customHeight="1">
      <c r="F4006" s="233"/>
      <c r="G4006" s="165"/>
      <c r="H4006" s="154"/>
      <c r="I4006" s="167"/>
      <c r="J4006" s="165"/>
      <c r="K4006" s="167"/>
    </row>
    <row r="4007" spans="6:11" ht="24" customHeight="1">
      <c r="F4007" s="233"/>
      <c r="G4007" s="165"/>
      <c r="H4007" s="154"/>
      <c r="I4007" s="167"/>
      <c r="J4007" s="165"/>
      <c r="K4007" s="167"/>
    </row>
    <row r="4008" spans="6:11" ht="24" customHeight="1">
      <c r="F4008" s="233">
        <v>12.08</v>
      </c>
      <c r="G4008" s="165" t="s">
        <v>31</v>
      </c>
      <c r="H4008" s="154" t="s">
        <v>2045</v>
      </c>
      <c r="I4008" s="167">
        <f>I3989</f>
        <v>287</v>
      </c>
      <c r="J4008" s="165" t="s">
        <v>31</v>
      </c>
      <c r="K4008" s="167">
        <f>I4008*F4008</f>
        <v>3466.96</v>
      </c>
    </row>
    <row r="4009" spans="6:11" ht="24" customHeight="1">
      <c r="F4009" s="233">
        <v>1.823</v>
      </c>
      <c r="G4009" s="165" t="s">
        <v>141</v>
      </c>
      <c r="H4009" s="154" t="s">
        <v>2051</v>
      </c>
      <c r="I4009" s="167">
        <f>I3993</f>
        <v>208.8</v>
      </c>
      <c r="J4009" s="165" t="s">
        <v>141</v>
      </c>
      <c r="K4009" s="167">
        <f t="shared" ref="K4009:K4014" si="350">I4009*F4009</f>
        <v>380.64240000000001</v>
      </c>
    </row>
    <row r="4010" spans="6:11" ht="24" customHeight="1">
      <c r="F4010" s="233">
        <v>8.1</v>
      </c>
      <c r="G4010" s="165" t="s">
        <v>41</v>
      </c>
      <c r="H4010" s="154" t="s">
        <v>2054</v>
      </c>
      <c r="I4010" s="167">
        <f>I3994</f>
        <v>28.4</v>
      </c>
      <c r="J4010" s="165" t="s">
        <v>41</v>
      </c>
      <c r="K4010" s="167">
        <f t="shared" si="350"/>
        <v>230.04</v>
      </c>
    </row>
    <row r="4011" spans="6:11" ht="24" customHeight="1">
      <c r="F4011" s="233">
        <v>2</v>
      </c>
      <c r="G4011" s="165" t="s">
        <v>2154</v>
      </c>
      <c r="H4011" s="154" t="s">
        <v>3348</v>
      </c>
      <c r="I4011" s="167">
        <f>I3995</f>
        <v>350</v>
      </c>
      <c r="J4011" s="165" t="s">
        <v>680</v>
      </c>
      <c r="K4011" s="167">
        <f t="shared" si="350"/>
        <v>700</v>
      </c>
    </row>
    <row r="4012" spans="6:11" ht="24" customHeight="1">
      <c r="F4012" s="233">
        <v>2</v>
      </c>
      <c r="G4012" s="165" t="s">
        <v>680</v>
      </c>
      <c r="H4012" s="154" t="s">
        <v>2058</v>
      </c>
      <c r="I4012" s="167">
        <f>I3996</f>
        <v>50.4</v>
      </c>
      <c r="J4012" s="165" t="s">
        <v>680</v>
      </c>
      <c r="K4012" s="167">
        <f t="shared" si="350"/>
        <v>100.8</v>
      </c>
    </row>
    <row r="4013" spans="6:11" ht="24" customHeight="1">
      <c r="F4013" s="233">
        <v>4</v>
      </c>
      <c r="G4013" s="165" t="s">
        <v>680</v>
      </c>
      <c r="H4013" s="154" t="s">
        <v>2063</v>
      </c>
      <c r="I4013" s="167">
        <v>15</v>
      </c>
      <c r="J4013" s="165" t="s">
        <v>680</v>
      </c>
      <c r="K4013" s="167">
        <f t="shared" si="350"/>
        <v>60</v>
      </c>
    </row>
    <row r="4014" spans="6:11" ht="24" customHeight="1">
      <c r="F4014" s="233">
        <v>1.823</v>
      </c>
      <c r="G4014" s="165" t="s">
        <v>250</v>
      </c>
      <c r="H4014" s="154" t="s">
        <v>2064</v>
      </c>
      <c r="I4014" s="346">
        <f>I3998</f>
        <v>1437.15</v>
      </c>
      <c r="J4014" s="165" t="s">
        <v>250</v>
      </c>
      <c r="K4014" s="167">
        <f t="shared" si="350"/>
        <v>2619.92445</v>
      </c>
    </row>
    <row r="4015" spans="6:11" ht="24" customHeight="1">
      <c r="F4015" s="346"/>
      <c r="G4015" s="651"/>
      <c r="H4015" s="154"/>
      <c r="I4015" s="346"/>
      <c r="J4015" s="347"/>
      <c r="K4015" s="167"/>
    </row>
    <row r="4016" spans="6:11" ht="24" customHeight="1">
      <c r="F4016" s="346"/>
      <c r="G4016" s="346"/>
      <c r="H4016" s="263" t="s">
        <v>3349</v>
      </c>
      <c r="I4016" s="346"/>
      <c r="J4016" s="346"/>
      <c r="K4016" s="173">
        <f>SUM(K4008:K4015)</f>
        <v>7558.3668500000003</v>
      </c>
    </row>
    <row r="4017" spans="6:11" ht="24" customHeight="1">
      <c r="F4017" s="346"/>
      <c r="G4017" s="346"/>
      <c r="H4017" s="263" t="s">
        <v>3350</v>
      </c>
      <c r="I4017" s="346"/>
      <c r="J4017" s="346"/>
      <c r="K4017" s="621">
        <f>K4016/F4014</f>
        <v>4146.1145639056504</v>
      </c>
    </row>
    <row r="4018" spans="6:11" ht="24" customHeight="1">
      <c r="F4018" s="346"/>
      <c r="G4018" s="346"/>
      <c r="H4018" s="263"/>
      <c r="I4018" s="346"/>
      <c r="J4018" s="346"/>
      <c r="K4018" s="346"/>
    </row>
    <row r="4019" spans="6:11" ht="24" customHeight="1">
      <c r="F4019" s="159"/>
      <c r="H4019" s="308" t="s">
        <v>3351</v>
      </c>
    </row>
    <row r="4020" spans="6:11" ht="24" customHeight="1">
      <c r="F4020" s="198">
        <v>3.72</v>
      </c>
      <c r="G4020" s="165" t="s">
        <v>31</v>
      </c>
      <c r="H4020" s="154" t="s">
        <v>2045</v>
      </c>
      <c r="I4020" s="167">
        <f>I3989</f>
        <v>287</v>
      </c>
      <c r="J4020" s="165" t="s">
        <v>31</v>
      </c>
      <c r="K4020" s="167">
        <f>I4020*F4020</f>
        <v>1067.6400000000001</v>
      </c>
    </row>
    <row r="4021" spans="6:11" ht="24" customHeight="1">
      <c r="F4021" s="198">
        <v>4.57</v>
      </c>
      <c r="G4021" s="165" t="s">
        <v>31</v>
      </c>
      <c r="H4021" s="154" t="s">
        <v>2045</v>
      </c>
      <c r="I4021" s="167">
        <f>I4020</f>
        <v>287</v>
      </c>
      <c r="J4021" s="165" t="s">
        <v>31</v>
      </c>
      <c r="K4021" s="167">
        <f t="shared" ref="K4021:K4027" si="351">I4021*F4021</f>
        <v>1311.5900000000001</v>
      </c>
    </row>
    <row r="4022" spans="6:11" ht="24" customHeight="1">
      <c r="F4022" s="198">
        <v>1.18</v>
      </c>
      <c r="G4022" s="165" t="s">
        <v>31</v>
      </c>
      <c r="H4022" s="154" t="s">
        <v>2045</v>
      </c>
      <c r="I4022" s="167">
        <f>I4021</f>
        <v>287</v>
      </c>
      <c r="J4022" s="165" t="s">
        <v>31</v>
      </c>
      <c r="K4022" s="167">
        <f t="shared" si="351"/>
        <v>338.65999999999997</v>
      </c>
    </row>
    <row r="4023" spans="6:11" ht="24" customHeight="1">
      <c r="F4023" s="198">
        <v>0.86</v>
      </c>
      <c r="G4023" s="165" t="s">
        <v>31</v>
      </c>
      <c r="H4023" s="154" t="s">
        <v>2045</v>
      </c>
      <c r="I4023" s="167">
        <f>I4022</f>
        <v>287</v>
      </c>
      <c r="J4023" s="165" t="s">
        <v>31</v>
      </c>
      <c r="K4023" s="167">
        <f t="shared" si="351"/>
        <v>246.82</v>
      </c>
    </row>
    <row r="4024" spans="6:11" ht="24" customHeight="1">
      <c r="F4024" s="198">
        <v>1.42</v>
      </c>
      <c r="G4024" s="165" t="s">
        <v>141</v>
      </c>
      <c r="H4024" s="154" t="s">
        <v>2051</v>
      </c>
      <c r="I4024" s="167">
        <f t="shared" ref="I4024:I4029" si="352">I4009</f>
        <v>208.8</v>
      </c>
      <c r="J4024" s="165" t="s">
        <v>141</v>
      </c>
      <c r="K4024" s="167">
        <f t="shared" si="351"/>
        <v>296.49599999999998</v>
      </c>
    </row>
    <row r="4025" spans="6:11" ht="24" customHeight="1">
      <c r="F4025" s="198">
        <v>6.9</v>
      </c>
      <c r="G4025" s="165" t="s">
        <v>41</v>
      </c>
      <c r="H4025" s="154" t="s">
        <v>2054</v>
      </c>
      <c r="I4025" s="167">
        <f t="shared" si="352"/>
        <v>28.4</v>
      </c>
      <c r="J4025" s="165" t="s">
        <v>41</v>
      </c>
      <c r="K4025" s="167">
        <f t="shared" si="351"/>
        <v>195.96</v>
      </c>
    </row>
    <row r="4026" spans="6:11" ht="24" customHeight="1">
      <c r="F4026" s="198">
        <v>2</v>
      </c>
      <c r="G4026" s="165" t="s">
        <v>680</v>
      </c>
      <c r="H4026" s="154" t="s">
        <v>3348</v>
      </c>
      <c r="I4026" s="167">
        <f t="shared" si="352"/>
        <v>350</v>
      </c>
      <c r="J4026" s="165" t="s">
        <v>680</v>
      </c>
      <c r="K4026" s="167">
        <f t="shared" si="351"/>
        <v>700</v>
      </c>
    </row>
    <row r="4027" spans="6:11" ht="24" customHeight="1">
      <c r="F4027" s="198">
        <v>2</v>
      </c>
      <c r="G4027" s="165" t="s">
        <v>680</v>
      </c>
      <c r="H4027" s="154" t="s">
        <v>2058</v>
      </c>
      <c r="I4027" s="167">
        <f t="shared" si="352"/>
        <v>50.4</v>
      </c>
      <c r="J4027" s="165" t="s">
        <v>680</v>
      </c>
      <c r="K4027" s="167">
        <f t="shared" si="351"/>
        <v>100.8</v>
      </c>
    </row>
    <row r="4028" spans="6:11" ht="24" customHeight="1">
      <c r="F4028" s="198">
        <v>4</v>
      </c>
      <c r="G4028" s="165" t="s">
        <v>680</v>
      </c>
      <c r="H4028" s="154" t="s">
        <v>2063</v>
      </c>
      <c r="I4028" s="167">
        <f t="shared" si="352"/>
        <v>15</v>
      </c>
      <c r="J4028" s="165" t="s">
        <v>680</v>
      </c>
      <c r="K4028" s="167">
        <f>I4028*F4028</f>
        <v>60</v>
      </c>
    </row>
    <row r="4029" spans="6:11" ht="24" customHeight="1">
      <c r="F4029" s="198">
        <v>1.42</v>
      </c>
      <c r="G4029" s="165" t="s">
        <v>250</v>
      </c>
      <c r="H4029" s="154" t="s">
        <v>2064</v>
      </c>
      <c r="I4029" s="167">
        <f t="shared" si="352"/>
        <v>1437.15</v>
      </c>
      <c r="J4029" s="165" t="s">
        <v>250</v>
      </c>
      <c r="K4029" s="167">
        <f>I4029*F4029</f>
        <v>2040.7529999999999</v>
      </c>
    </row>
    <row r="4030" spans="6:11" ht="24" customHeight="1">
      <c r="F4030" s="159"/>
      <c r="H4030" s="154" t="s">
        <v>2066</v>
      </c>
      <c r="J4030" s="160"/>
      <c r="K4030" s="167"/>
    </row>
    <row r="4031" spans="6:11" ht="24" customHeight="1">
      <c r="F4031" s="159"/>
      <c r="G4031" s="76"/>
      <c r="H4031" s="164" t="s">
        <v>2068</v>
      </c>
      <c r="J4031" s="76"/>
      <c r="K4031" s="167">
        <f>SUM(K4020:K4030)</f>
        <v>6358.719000000001</v>
      </c>
    </row>
    <row r="4032" spans="6:11" ht="24" customHeight="1">
      <c r="F4032" s="159"/>
      <c r="G4032" s="76"/>
      <c r="H4032" s="263" t="s">
        <v>3350</v>
      </c>
      <c r="J4032" s="76"/>
      <c r="K4032" s="199">
        <f>K4031/F4029</f>
        <v>4477.9711267605644</v>
      </c>
    </row>
    <row r="4033" spans="6:13" ht="24" customHeight="1">
      <c r="F4033" s="159"/>
      <c r="G4033" s="76"/>
      <c r="J4033" s="76"/>
      <c r="K4033" s="166"/>
    </row>
    <row r="4034" spans="6:13" ht="24" customHeight="1">
      <c r="F4034" s="159"/>
      <c r="G4034" s="76"/>
      <c r="H4034" s="308" t="s">
        <v>3352</v>
      </c>
    </row>
    <row r="4035" spans="6:13" ht="24" customHeight="1">
      <c r="F4035" s="351">
        <v>11.61</v>
      </c>
      <c r="G4035" s="352" t="s">
        <v>31</v>
      </c>
      <c r="H4035" s="355" t="s">
        <v>2045</v>
      </c>
      <c r="I4035" s="354">
        <f>I4020</f>
        <v>287</v>
      </c>
      <c r="J4035" s="352" t="s">
        <v>31</v>
      </c>
      <c r="K4035" s="354">
        <f>I4035*F4035</f>
        <v>3332.0699999999997</v>
      </c>
    </row>
    <row r="4036" spans="6:13" ht="24" customHeight="1">
      <c r="F4036" s="351">
        <v>7.8</v>
      </c>
      <c r="G4036" s="352" t="s">
        <v>41</v>
      </c>
      <c r="H4036" s="355" t="s">
        <v>2153</v>
      </c>
      <c r="I4036" s="354">
        <f>I4025</f>
        <v>28.4</v>
      </c>
      <c r="J4036" s="352" t="s">
        <v>41</v>
      </c>
      <c r="K4036" s="354">
        <f t="shared" ref="K4036:K4041" si="353">I4036*F4036</f>
        <v>221.51999999999998</v>
      </c>
    </row>
    <row r="4037" spans="6:13" ht="24" customHeight="1">
      <c r="F4037" s="351">
        <v>1.62</v>
      </c>
      <c r="G4037" s="352" t="s">
        <v>141</v>
      </c>
      <c r="H4037" s="355" t="s">
        <v>2152</v>
      </c>
      <c r="I4037" s="354">
        <f>I4024</f>
        <v>208.8</v>
      </c>
      <c r="J4037" s="352" t="s">
        <v>141</v>
      </c>
      <c r="K4037" s="354">
        <f t="shared" si="353"/>
        <v>338.25600000000003</v>
      </c>
    </row>
    <row r="4038" spans="6:13" ht="24" customHeight="1">
      <c r="F4038" s="351">
        <v>2</v>
      </c>
      <c r="G4038" s="352" t="s">
        <v>680</v>
      </c>
      <c r="H4038" s="355" t="s">
        <v>2156</v>
      </c>
      <c r="I4038" s="354">
        <f>I4027</f>
        <v>50.4</v>
      </c>
      <c r="J4038" s="352" t="s">
        <v>680</v>
      </c>
      <c r="K4038" s="354">
        <f t="shared" si="353"/>
        <v>100.8</v>
      </c>
    </row>
    <row r="4039" spans="6:13" ht="24" customHeight="1">
      <c r="F4039" s="351">
        <v>2</v>
      </c>
      <c r="G4039" s="352" t="s">
        <v>680</v>
      </c>
      <c r="H4039" s="355" t="s">
        <v>3353</v>
      </c>
      <c r="I4039" s="354">
        <f>I4026</f>
        <v>350</v>
      </c>
      <c r="J4039" s="352" t="s">
        <v>680</v>
      </c>
      <c r="K4039" s="354">
        <f t="shared" si="353"/>
        <v>700</v>
      </c>
    </row>
    <row r="4040" spans="6:13" ht="24" customHeight="1">
      <c r="F4040" s="351">
        <v>4</v>
      </c>
      <c r="G4040" s="352" t="s">
        <v>680</v>
      </c>
      <c r="H4040" s="355" t="s">
        <v>2157</v>
      </c>
      <c r="I4040" s="354">
        <f>I4028</f>
        <v>15</v>
      </c>
      <c r="J4040" s="352" t="s">
        <v>680</v>
      </c>
      <c r="K4040" s="354">
        <f t="shared" si="353"/>
        <v>60</v>
      </c>
    </row>
    <row r="4041" spans="6:13" ht="24" customHeight="1">
      <c r="F4041" s="351">
        <v>1.62</v>
      </c>
      <c r="G4041" s="352" t="s">
        <v>250</v>
      </c>
      <c r="H4041" s="355" t="s">
        <v>2158</v>
      </c>
      <c r="I4041" s="354">
        <f>I4029</f>
        <v>1437.15</v>
      </c>
      <c r="J4041" s="352" t="s">
        <v>250</v>
      </c>
      <c r="K4041" s="354">
        <f t="shared" si="353"/>
        <v>2328.1830000000004</v>
      </c>
    </row>
    <row r="4042" spans="6:13" ht="24" customHeight="1">
      <c r="F4042" s="349"/>
      <c r="G4042" s="357"/>
      <c r="H4042" s="355" t="s">
        <v>1699</v>
      </c>
      <c r="I4042" s="349"/>
      <c r="J4042" s="356"/>
      <c r="K4042" s="354"/>
    </row>
    <row r="4043" spans="6:13" ht="24" customHeight="1">
      <c r="F4043" s="349"/>
      <c r="G4043" s="349"/>
      <c r="H4043" s="164" t="s">
        <v>2068</v>
      </c>
      <c r="J4043" s="76"/>
      <c r="K4043" s="167">
        <f>SUM(K4035:K4042)</f>
        <v>7080.8289999999997</v>
      </c>
    </row>
    <row r="4044" spans="6:13" ht="24" customHeight="1">
      <c r="F4044" s="159"/>
      <c r="G4044" s="76"/>
      <c r="H4044" s="263" t="s">
        <v>3350</v>
      </c>
      <c r="J4044" s="76"/>
      <c r="K4044" s="199">
        <f>K4043/F4041</f>
        <v>4370.8820987654317</v>
      </c>
    </row>
    <row r="4045" spans="6:13" ht="24" customHeight="1">
      <c r="F4045" s="159"/>
      <c r="G4045" s="76"/>
      <c r="J4045" s="76"/>
    </row>
    <row r="4047" spans="6:13" ht="24" customHeight="1">
      <c r="F4047" s="666"/>
      <c r="G4047" s="667"/>
      <c r="H4047" s="338" t="s">
        <v>3354</v>
      </c>
      <c r="I4047" s="666"/>
      <c r="J4047" s="668"/>
      <c r="K4047" s="666"/>
      <c r="L4047" s="159"/>
      <c r="M4047" s="159"/>
    </row>
    <row r="4048" spans="6:13" ht="24" customHeight="1">
      <c r="F4048" s="666"/>
      <c r="G4048" s="667"/>
      <c r="H4048" s="568" t="s">
        <v>3355</v>
      </c>
      <c r="I4048" s="666"/>
      <c r="J4048" s="668"/>
      <c r="K4048" s="666"/>
      <c r="L4048" s="159"/>
      <c r="M4048" s="159"/>
    </row>
    <row r="4049" spans="6:13" ht="24" customHeight="1">
      <c r="F4049" s="666"/>
      <c r="G4049" s="667"/>
      <c r="H4049" s="490" t="s">
        <v>534</v>
      </c>
      <c r="I4049" s="666"/>
      <c r="J4049" s="668"/>
      <c r="K4049" s="666"/>
      <c r="L4049" s="159"/>
      <c r="M4049" s="159"/>
    </row>
    <row r="4050" spans="6:13" ht="24" customHeight="1">
      <c r="F4050" s="666"/>
      <c r="G4050" s="667"/>
      <c r="H4050" s="496" t="s">
        <v>3356</v>
      </c>
      <c r="I4050" s="346"/>
      <c r="J4050" s="346"/>
      <c r="K4050" s="346"/>
      <c r="L4050" s="159"/>
      <c r="M4050" s="159"/>
    </row>
    <row r="4051" spans="6:13" ht="33.950000000000003" customHeight="1">
      <c r="F4051" s="666"/>
      <c r="G4051" s="667"/>
      <c r="H4051" s="536" t="s">
        <v>3357</v>
      </c>
      <c r="I4051" s="619"/>
      <c r="J4051" s="570">
        <f>3*2*1.9*0.075*0.0375</f>
        <v>3.2062499999999994E-2</v>
      </c>
      <c r="K4051" s="666" t="s">
        <v>238</v>
      </c>
      <c r="L4051" s="159"/>
      <c r="M4051" s="159"/>
    </row>
    <row r="4052" spans="6:13" ht="33.950000000000003" customHeight="1">
      <c r="F4052" s="666"/>
      <c r="G4052" s="667"/>
      <c r="H4052" s="338" t="s">
        <v>3358</v>
      </c>
      <c r="I4052" s="619"/>
      <c r="J4052" s="570">
        <f>3*2*0.5*0.075*0.0375</f>
        <v>8.4374999999999988E-3</v>
      </c>
      <c r="K4052" s="666" t="s">
        <v>238</v>
      </c>
      <c r="L4052" s="159"/>
      <c r="M4052" s="159"/>
    </row>
    <row r="4053" spans="6:13" ht="24" customHeight="1">
      <c r="F4053" s="666"/>
      <c r="G4053" s="667"/>
      <c r="H4053" s="338"/>
      <c r="I4053" s="669"/>
      <c r="J4053" s="490" t="s">
        <v>534</v>
      </c>
      <c r="K4053" s="514"/>
      <c r="L4053" s="159"/>
      <c r="M4053" s="159"/>
    </row>
    <row r="4054" spans="6:13" ht="24" customHeight="1">
      <c r="F4054" s="666"/>
      <c r="G4054" s="667"/>
      <c r="H4054" s="666"/>
      <c r="I4054" s="666"/>
      <c r="J4054" s="670">
        <f>SUM(J4051:J4053)</f>
        <v>4.0499999999999994E-2</v>
      </c>
      <c r="K4054" s="346" t="s">
        <v>238</v>
      </c>
      <c r="L4054" s="159"/>
      <c r="M4054" s="159"/>
    </row>
    <row r="4055" spans="6:13" ht="24" customHeight="1">
      <c r="F4055" s="666"/>
      <c r="G4055" s="667"/>
      <c r="H4055" s="666"/>
      <c r="I4055" s="666"/>
      <c r="J4055" s="490" t="s">
        <v>534</v>
      </c>
      <c r="K4055" s="346"/>
      <c r="L4055" s="159"/>
      <c r="M4055" s="159"/>
    </row>
    <row r="4056" spans="6:13" ht="24" customHeight="1">
      <c r="F4056" s="666"/>
      <c r="G4056" s="667"/>
      <c r="H4056" s="338" t="s">
        <v>1787</v>
      </c>
      <c r="I4056" s="619"/>
      <c r="J4056" s="619"/>
      <c r="K4056" s="619"/>
      <c r="L4056" s="159"/>
      <c r="M4056" s="159"/>
    </row>
    <row r="4057" spans="6:13" ht="24" customHeight="1">
      <c r="F4057" s="666"/>
      <c r="G4057" s="667"/>
      <c r="H4057" s="338" t="s">
        <v>3359</v>
      </c>
      <c r="I4057" s="572"/>
      <c r="J4057" s="569">
        <f>3*1.9*0.5</f>
        <v>2.8499999999999996</v>
      </c>
      <c r="K4057" s="165" t="s">
        <v>916</v>
      </c>
      <c r="L4057" s="159"/>
      <c r="M4057" s="159"/>
    </row>
    <row r="4058" spans="6:13" ht="24" customHeight="1">
      <c r="F4058" s="666"/>
      <c r="G4058" s="667"/>
      <c r="H4058" s="338"/>
      <c r="I4058" s="572"/>
      <c r="J4058" s="569"/>
      <c r="K4058" s="514"/>
      <c r="L4058" s="159"/>
      <c r="M4058" s="159"/>
    </row>
    <row r="4059" spans="6:13" ht="33.950000000000003" customHeight="1">
      <c r="F4059" s="666"/>
      <c r="G4059" s="667"/>
      <c r="H4059" s="338" t="s">
        <v>3360</v>
      </c>
      <c r="I4059" s="572"/>
      <c r="J4059" s="569"/>
      <c r="K4059" s="514"/>
      <c r="L4059" s="159"/>
      <c r="M4059" s="159"/>
    </row>
    <row r="4060" spans="6:13" ht="33.950000000000003" customHeight="1">
      <c r="F4060" s="666"/>
      <c r="G4060" s="667"/>
      <c r="H4060" s="338" t="s">
        <v>3361</v>
      </c>
      <c r="I4060" s="572"/>
      <c r="J4060" s="570">
        <f>3*1.775*0.375</f>
        <v>1.9968749999999997</v>
      </c>
      <c r="K4060" s="514" t="str">
        <f>K4057</f>
        <v>SQM</v>
      </c>
      <c r="L4060" s="159"/>
      <c r="M4060" s="159"/>
    </row>
    <row r="4061" spans="6:13" ht="33.950000000000003" customHeight="1">
      <c r="F4061" s="666"/>
      <c r="G4061" s="667"/>
      <c r="H4061" s="338" t="s">
        <v>3362</v>
      </c>
      <c r="I4061" s="666"/>
      <c r="J4061" s="576"/>
      <c r="K4061" s="536"/>
      <c r="L4061" s="159"/>
      <c r="M4061" s="159"/>
    </row>
    <row r="4062" spans="6:13" ht="33.950000000000003" customHeight="1">
      <c r="F4062" s="537"/>
      <c r="G4062" s="667"/>
      <c r="H4062" s="338" t="s">
        <v>3363</v>
      </c>
      <c r="I4062" s="572"/>
      <c r="J4062" s="671">
        <f>1.775+0.375</f>
        <v>2.15</v>
      </c>
      <c r="K4062" s="514"/>
      <c r="L4062" s="336"/>
      <c r="M4062" s="159"/>
    </row>
    <row r="4063" spans="6:13" ht="33.950000000000003" customHeight="1">
      <c r="F4063" s="537"/>
      <c r="G4063" s="667"/>
      <c r="H4063" s="666"/>
      <c r="I4063" s="672"/>
      <c r="J4063" s="543">
        <f>J4062*6</f>
        <v>12.899999999999999</v>
      </c>
      <c r="K4063" s="336" t="s">
        <v>41</v>
      </c>
      <c r="L4063" s="336"/>
      <c r="M4063" s="159"/>
    </row>
    <row r="4064" spans="6:13" ht="33.950000000000003" customHeight="1">
      <c r="F4064" s="537"/>
      <c r="G4064" s="667"/>
      <c r="H4064" s="673" t="s">
        <v>3364</v>
      </c>
      <c r="I4064" s="672"/>
      <c r="J4064" s="339"/>
      <c r="K4064" s="336"/>
      <c r="L4064" s="336"/>
      <c r="M4064" s="159"/>
    </row>
    <row r="4065" spans="6:13" ht="33.950000000000003" customHeight="1">
      <c r="F4065" s="530"/>
      <c r="G4065" s="667"/>
      <c r="H4065" s="496" t="s">
        <v>3365</v>
      </c>
      <c r="I4065" s="619"/>
      <c r="J4065" s="336"/>
      <c r="K4065" s="668"/>
      <c r="L4065" s="336"/>
      <c r="M4065" s="159"/>
    </row>
    <row r="4066" spans="6:13" ht="33.950000000000003" customHeight="1">
      <c r="F4066" s="514">
        <f>J4054</f>
        <v>4.0499999999999994E-2</v>
      </c>
      <c r="G4066" s="338" t="s">
        <v>577</v>
      </c>
      <c r="H4066" s="338" t="s">
        <v>3366</v>
      </c>
      <c r="I4066" s="336">
        <f>V3116</f>
        <v>99400</v>
      </c>
      <c r="J4066" s="339" t="s">
        <v>577</v>
      </c>
      <c r="K4066" s="336">
        <f>(F4066*I4066)</f>
        <v>4025.6999999999994</v>
      </c>
      <c r="L4066" s="336"/>
      <c r="M4066" s="159"/>
    </row>
    <row r="4067" spans="6:13" ht="33.950000000000003" customHeight="1">
      <c r="F4067" s="514">
        <f>J4057</f>
        <v>2.8499999999999996</v>
      </c>
      <c r="G4067" s="165" t="s">
        <v>916</v>
      </c>
      <c r="H4067" s="338" t="s">
        <v>1787</v>
      </c>
      <c r="I4067" s="336">
        <f>V3118</f>
        <v>1031.8000000000002</v>
      </c>
      <c r="J4067" s="165" t="s">
        <v>916</v>
      </c>
      <c r="K4067" s="336">
        <f>(F4067*I4067)</f>
        <v>2940.63</v>
      </c>
      <c r="L4067" s="336"/>
      <c r="M4067" s="159"/>
    </row>
    <row r="4068" spans="6:13" ht="33.950000000000003" customHeight="1">
      <c r="F4068" s="514">
        <f>J4060</f>
        <v>1.9968749999999997</v>
      </c>
      <c r="G4068" s="165" t="s">
        <v>916</v>
      </c>
      <c r="H4068" s="338" t="s">
        <v>3360</v>
      </c>
      <c r="I4068" s="336">
        <f>V3117</f>
        <v>208.8</v>
      </c>
      <c r="J4068" s="165" t="s">
        <v>916</v>
      </c>
      <c r="K4068" s="336">
        <f t="shared" ref="K4068:K4074" si="354">(F4068*I4068)</f>
        <v>416.94749999999999</v>
      </c>
      <c r="L4068" s="336"/>
      <c r="M4068" s="159"/>
    </row>
    <row r="4069" spans="6:13" ht="33.950000000000003" customHeight="1">
      <c r="F4069" s="336">
        <f>J4063</f>
        <v>12.899999999999999</v>
      </c>
      <c r="G4069" s="336" t="s">
        <v>41</v>
      </c>
      <c r="H4069" s="496" t="s">
        <v>3367</v>
      </c>
      <c r="I4069" s="336">
        <f t="shared" ref="I4069:I4074" si="355">V3119</f>
        <v>45.7</v>
      </c>
      <c r="J4069" s="336" t="s">
        <v>41</v>
      </c>
      <c r="K4069" s="336">
        <f t="shared" si="354"/>
        <v>589.53</v>
      </c>
      <c r="L4069" s="336"/>
      <c r="M4069" s="159"/>
    </row>
    <row r="4070" spans="6:13" ht="33.950000000000003" customHeight="1">
      <c r="F4070" s="336">
        <v>9</v>
      </c>
      <c r="G4070" s="165" t="s">
        <v>576</v>
      </c>
      <c r="H4070" s="154" t="s">
        <v>1813</v>
      </c>
      <c r="I4070" s="336">
        <f t="shared" si="355"/>
        <v>78.400000000000006</v>
      </c>
      <c r="J4070" s="154" t="s">
        <v>576</v>
      </c>
      <c r="K4070" s="336">
        <f t="shared" si="354"/>
        <v>705.6</v>
      </c>
      <c r="L4070" s="336"/>
      <c r="M4070" s="159"/>
    </row>
    <row r="4071" spans="6:13" ht="33.950000000000003" customHeight="1">
      <c r="F4071" s="336">
        <v>6</v>
      </c>
      <c r="G4071" s="165" t="s">
        <v>576</v>
      </c>
      <c r="H4071" s="154" t="s">
        <v>2960</v>
      </c>
      <c r="I4071" s="336">
        <f t="shared" si="355"/>
        <v>68.5</v>
      </c>
      <c r="J4071" s="154" t="s">
        <v>576</v>
      </c>
      <c r="K4071" s="336">
        <f t="shared" si="354"/>
        <v>411</v>
      </c>
      <c r="L4071" s="336"/>
      <c r="M4071" s="159"/>
    </row>
    <row r="4072" spans="6:13" ht="33.950000000000003" customHeight="1">
      <c r="F4072" s="336">
        <v>3</v>
      </c>
      <c r="G4072" s="165" t="s">
        <v>576</v>
      </c>
      <c r="H4072" s="154" t="s">
        <v>2963</v>
      </c>
      <c r="I4072" s="336">
        <f t="shared" si="355"/>
        <v>50.4</v>
      </c>
      <c r="J4072" s="154" t="s">
        <v>576</v>
      </c>
      <c r="K4072" s="336">
        <f t="shared" si="354"/>
        <v>151.19999999999999</v>
      </c>
      <c r="L4072" s="336"/>
      <c r="M4072" s="159"/>
    </row>
    <row r="4073" spans="6:13" ht="33.950000000000003" customHeight="1">
      <c r="F4073" s="336">
        <v>3</v>
      </c>
      <c r="G4073" s="165" t="s">
        <v>576</v>
      </c>
      <c r="H4073" s="154" t="s">
        <v>939</v>
      </c>
      <c r="I4073" s="336">
        <f t="shared" si="355"/>
        <v>7.3</v>
      </c>
      <c r="J4073" s="154" t="s">
        <v>576</v>
      </c>
      <c r="K4073" s="336">
        <f t="shared" si="354"/>
        <v>21.9</v>
      </c>
      <c r="L4073" s="336"/>
      <c r="M4073" s="159"/>
    </row>
    <row r="4074" spans="6:13" ht="33.950000000000003" customHeight="1">
      <c r="F4074" s="336">
        <v>120</v>
      </c>
      <c r="G4074" s="165" t="s">
        <v>576</v>
      </c>
      <c r="H4074" s="154" t="s">
        <v>3368</v>
      </c>
      <c r="I4074" s="336">
        <f t="shared" si="355"/>
        <v>2.35</v>
      </c>
      <c r="J4074" s="154" t="s">
        <v>576</v>
      </c>
      <c r="K4074" s="336">
        <f t="shared" si="354"/>
        <v>282</v>
      </c>
      <c r="L4074" s="336"/>
      <c r="M4074" s="159"/>
    </row>
    <row r="4075" spans="6:13" ht="33.950000000000003" customHeight="1">
      <c r="F4075" s="336"/>
      <c r="G4075" s="489"/>
      <c r="H4075" s="338"/>
      <c r="I4075" s="619"/>
      <c r="J4075" s="336"/>
      <c r="K4075" s="490" t="s">
        <v>534</v>
      </c>
      <c r="L4075" s="336"/>
      <c r="M4075" s="159"/>
    </row>
    <row r="4076" spans="6:13" ht="33.950000000000003" customHeight="1">
      <c r="F4076" s="666"/>
      <c r="G4076" s="667"/>
      <c r="H4076" s="338" t="s">
        <v>3369</v>
      </c>
      <c r="I4076" s="619"/>
      <c r="J4076" s="339"/>
      <c r="K4076" s="669">
        <f>SUM(K4066:K4075)</f>
        <v>9544.5074999999997</v>
      </c>
      <c r="L4076" s="589"/>
      <c r="M4076" s="159"/>
    </row>
    <row r="4077" spans="6:13" ht="33.950000000000003" customHeight="1">
      <c r="F4077" s="666"/>
      <c r="G4077" s="667"/>
      <c r="H4077" s="619"/>
      <c r="I4077" s="336"/>
      <c r="J4077" s="668"/>
      <c r="K4077" s="490" t="s">
        <v>534</v>
      </c>
      <c r="L4077" s="619"/>
      <c r="M4077" s="159"/>
    </row>
    <row r="4078" spans="6:13" ht="33.950000000000003" customHeight="1">
      <c r="F4078" s="666"/>
      <c r="G4078" s="667"/>
      <c r="H4078" s="669" t="s">
        <v>3283</v>
      </c>
      <c r="I4078" s="336"/>
      <c r="J4078" s="668"/>
      <c r="K4078" s="629">
        <f>K4076/F4067</f>
        <v>3348.9500000000003</v>
      </c>
      <c r="L4078" s="336">
        <f>SUM(L4062:L4077)</f>
        <v>0</v>
      </c>
      <c r="M4078" s="159"/>
    </row>
    <row r="4079" spans="6:13" ht="33.950000000000003" customHeight="1">
      <c r="F4079" s="666"/>
      <c r="G4079" s="667"/>
      <c r="H4079" s="666"/>
      <c r="I4079" s="336"/>
      <c r="J4079" s="668"/>
      <c r="K4079" s="619"/>
      <c r="L4079" s="619"/>
      <c r="M4079" s="159"/>
    </row>
    <row r="4080" spans="6:13" ht="24" customHeight="1">
      <c r="F4080" s="666"/>
      <c r="G4080" s="667"/>
      <c r="H4080" s="496"/>
      <c r="I4080" s="666"/>
      <c r="J4080" s="1022"/>
      <c r="K4080" s="1022"/>
      <c r="L4080" s="1022"/>
      <c r="M4080" s="1022"/>
    </row>
    <row r="4081" spans="6:13" ht="24" customHeight="1">
      <c r="F4081" s="346"/>
      <c r="G4081" s="346"/>
      <c r="H4081" s="346"/>
      <c r="I4081" s="346"/>
      <c r="J4081" s="346"/>
      <c r="K4081" s="346"/>
      <c r="L4081" s="159"/>
      <c r="M4081" s="159"/>
    </row>
  </sheetData>
  <mergeCells count="23">
    <mergeCell ref="M3723:M3728"/>
    <mergeCell ref="F3987:H3987"/>
    <mergeCell ref="H4004:K4004"/>
    <mergeCell ref="J4080:M4080"/>
    <mergeCell ref="S3150:T3150"/>
    <mergeCell ref="I3494:J3494"/>
    <mergeCell ref="H3638:J3639"/>
    <mergeCell ref="S3682:V3682"/>
    <mergeCell ref="M3714:M3721"/>
    <mergeCell ref="F3713:M3713"/>
    <mergeCell ref="I3048:J3048"/>
    <mergeCell ref="AD2601:AG2601"/>
    <mergeCell ref="U2:X2"/>
    <mergeCell ref="AA550:AB550"/>
    <mergeCell ref="P1474:R1474"/>
    <mergeCell ref="S1474:U1474"/>
    <mergeCell ref="N1531:R1531"/>
    <mergeCell ref="O2343:Q2343"/>
    <mergeCell ref="O2353:Q2353"/>
    <mergeCell ref="H2420:K2420"/>
    <mergeCell ref="H2422:H2423"/>
    <mergeCell ref="O2427:R2427"/>
    <mergeCell ref="O2429:O2430"/>
  </mergeCells>
  <hyperlinks>
    <hyperlink ref="C270" r:id="rId1" display="G:\2273"/>
    <hyperlink ref="J270" r:id="rId2" display="G:\2273"/>
  </hyperlinks>
  <printOptions horizontalCentered="1"/>
  <pageMargins left="3.937007874015748E-2" right="0.19685039370078741" top="0.59055118110236227" bottom="0.35433070866141736" header="0.55118110236220474" footer="0.19685039370078741"/>
  <pageSetup paperSize="9" scale="59" orientation="landscape" r:id="rId3"/>
  <headerFooter alignWithMargins="0">
    <oddHeader>&amp;CPWD Data 2018 -19 Inamkulathur &amp;R&amp;P</oddHeader>
  </headerFooter>
  <rowBreaks count="2" manualBreakCount="2">
    <brk id="38" min="19" max="30" man="1"/>
    <brk id="1978" min="5" max="10" man="1"/>
  </rowBreaks>
  <colBreaks count="1" manualBreakCount="1">
    <brk id="4" max="1048575" man="1"/>
  </colBreaks>
  <drawing r:id="rId4"/>
</worksheet>
</file>

<file path=xl/worksheets/sheet7.xml><?xml version="1.0" encoding="utf-8"?>
<worksheet xmlns="http://schemas.openxmlformats.org/spreadsheetml/2006/main" xmlns:r="http://schemas.openxmlformats.org/officeDocument/2006/relationships">
  <sheetPr>
    <tabColor theme="8" tint="-0.249977111117893"/>
  </sheetPr>
  <dimension ref="A3:I981"/>
  <sheetViews>
    <sheetView view="pageBreakPreview" topLeftCell="A69" zoomScaleSheetLayoutView="100" workbookViewId="0">
      <selection activeCell="C50" sqref="C50"/>
    </sheetView>
  </sheetViews>
  <sheetFormatPr defaultRowHeight="15.75"/>
  <cols>
    <col min="1" max="1" width="11.85546875" style="704" customWidth="1"/>
    <col min="2" max="2" width="8.85546875" style="704" customWidth="1"/>
    <col min="3" max="3" width="54.7109375" style="705" customWidth="1"/>
    <col min="4" max="4" width="13.140625" style="704" customWidth="1"/>
    <col min="5" max="5" width="14.85546875" style="704" customWidth="1"/>
    <col min="6" max="6" width="13.85546875" style="704" customWidth="1"/>
    <col min="7" max="7" width="9.140625" style="701"/>
    <col min="8" max="8" width="44.85546875" style="701" customWidth="1"/>
    <col min="9" max="16384" width="9.140625" style="701"/>
  </cols>
  <sheetData>
    <row r="3" spans="1:6">
      <c r="A3" s="867">
        <v>1.1000000000000001</v>
      </c>
      <c r="B3" s="811" t="s">
        <v>22</v>
      </c>
      <c r="C3" s="815" t="s">
        <v>800</v>
      </c>
      <c r="D3" s="811"/>
      <c r="E3" s="811"/>
      <c r="F3" s="811"/>
    </row>
    <row r="4" spans="1:6">
      <c r="A4" s="867" t="s">
        <v>22</v>
      </c>
      <c r="B4" s="811"/>
      <c r="C4" s="815" t="s">
        <v>806</v>
      </c>
      <c r="D4" s="811"/>
      <c r="E4" s="811"/>
      <c r="F4" s="811"/>
    </row>
    <row r="5" spans="1:6">
      <c r="A5" s="811">
        <v>10</v>
      </c>
      <c r="B5" s="811" t="s">
        <v>577</v>
      </c>
      <c r="C5" s="815" t="s">
        <v>808</v>
      </c>
      <c r="D5" s="811">
        <v>80.41</v>
      </c>
      <c r="E5" s="811" t="s">
        <v>577</v>
      </c>
      <c r="F5" s="811">
        <v>804.09999999999991</v>
      </c>
    </row>
    <row r="6" spans="1:6">
      <c r="A6" s="811">
        <v>10</v>
      </c>
      <c r="B6" s="811" t="s">
        <v>577</v>
      </c>
      <c r="C6" s="815" t="s">
        <v>810</v>
      </c>
      <c r="D6" s="811">
        <v>80.41</v>
      </c>
      <c r="E6" s="811" t="s">
        <v>577</v>
      </c>
      <c r="F6" s="811">
        <v>804.09999999999991</v>
      </c>
    </row>
    <row r="7" spans="1:6">
      <c r="A7" s="811">
        <v>10</v>
      </c>
      <c r="B7" s="811" t="s">
        <v>577</v>
      </c>
      <c r="C7" s="815" t="s">
        <v>812</v>
      </c>
      <c r="D7" s="811">
        <v>9.35</v>
      </c>
      <c r="E7" s="811" t="s">
        <v>577</v>
      </c>
      <c r="F7" s="811">
        <v>93.5</v>
      </c>
    </row>
    <row r="8" spans="1:6">
      <c r="A8" s="811"/>
      <c r="B8" s="811" t="s">
        <v>589</v>
      </c>
      <c r="C8" s="815" t="s">
        <v>590</v>
      </c>
      <c r="D8" s="811"/>
      <c r="E8" s="811" t="s">
        <v>589</v>
      </c>
      <c r="F8" s="811">
        <v>0</v>
      </c>
    </row>
    <row r="9" spans="1:6">
      <c r="A9" s="811"/>
      <c r="B9" s="811"/>
      <c r="C9" s="815"/>
      <c r="D9" s="811"/>
      <c r="E9" s="811"/>
      <c r="F9" s="811" t="s">
        <v>534</v>
      </c>
    </row>
    <row r="10" spans="1:6">
      <c r="A10" s="811"/>
      <c r="B10" s="811"/>
      <c r="C10" s="815" t="s">
        <v>760</v>
      </c>
      <c r="D10" s="811"/>
      <c r="E10" s="811"/>
      <c r="F10" s="811">
        <v>1701.6999999999998</v>
      </c>
    </row>
    <row r="11" spans="1:6">
      <c r="A11" s="811"/>
      <c r="B11" s="811"/>
      <c r="C11" s="815"/>
      <c r="D11" s="811"/>
      <c r="E11" s="811"/>
      <c r="F11" s="811" t="s">
        <v>534</v>
      </c>
    </row>
    <row r="12" spans="1:6">
      <c r="A12" s="811"/>
      <c r="B12" s="811"/>
      <c r="C12" s="815" t="s">
        <v>819</v>
      </c>
      <c r="D12" s="811" t="s">
        <v>820</v>
      </c>
      <c r="E12" s="811"/>
      <c r="F12" s="811">
        <v>170.17</v>
      </c>
    </row>
    <row r="13" spans="1:6">
      <c r="A13" s="811"/>
      <c r="B13" s="811"/>
      <c r="C13" s="815"/>
      <c r="D13" s="811" t="s">
        <v>822</v>
      </c>
      <c r="E13" s="811"/>
      <c r="F13" s="811">
        <v>177.27</v>
      </c>
    </row>
    <row r="14" spans="1:6" ht="31.5">
      <c r="A14" s="812" t="s">
        <v>824</v>
      </c>
      <c r="B14" s="811"/>
      <c r="C14" s="815" t="s">
        <v>825</v>
      </c>
      <c r="D14" s="811" t="s">
        <v>820</v>
      </c>
      <c r="E14" s="811"/>
      <c r="F14" s="811">
        <v>160.82</v>
      </c>
    </row>
    <row r="15" spans="1:6">
      <c r="A15" s="811"/>
      <c r="B15" s="811"/>
      <c r="C15" s="815"/>
      <c r="D15" s="811" t="s">
        <v>822</v>
      </c>
      <c r="E15" s="811"/>
      <c r="F15" s="811">
        <v>167.92</v>
      </c>
    </row>
    <row r="17" spans="1:6">
      <c r="A17" s="704" t="s">
        <v>839</v>
      </c>
      <c r="B17" s="704" t="s">
        <v>307</v>
      </c>
      <c r="C17" s="705" t="s">
        <v>840</v>
      </c>
    </row>
    <row r="18" spans="1:6">
      <c r="C18" s="705" t="s">
        <v>3418</v>
      </c>
    </row>
    <row r="19" spans="1:6">
      <c r="C19" s="705" t="s">
        <v>534</v>
      </c>
    </row>
    <row r="20" spans="1:6">
      <c r="A20" s="704">
        <v>1</v>
      </c>
      <c r="B20" s="704" t="s">
        <v>577</v>
      </c>
      <c r="C20" s="705" t="s">
        <v>858</v>
      </c>
      <c r="D20" s="704">
        <v>1514.4</v>
      </c>
      <c r="E20" s="704" t="s">
        <v>577</v>
      </c>
      <c r="F20" s="704">
        <v>1514.4</v>
      </c>
    </row>
    <row r="21" spans="1:6">
      <c r="A21" s="704">
        <v>1</v>
      </c>
      <c r="B21" s="704" t="s">
        <v>577</v>
      </c>
      <c r="C21" s="705" t="s">
        <v>661</v>
      </c>
      <c r="D21" s="704">
        <v>24.64</v>
      </c>
      <c r="E21" s="704" t="s">
        <v>577</v>
      </c>
      <c r="F21" s="704">
        <v>24.64</v>
      </c>
    </row>
    <row r="22" spans="1:6">
      <c r="B22" s="704" t="s">
        <v>589</v>
      </c>
      <c r="C22" s="705" t="s">
        <v>590</v>
      </c>
      <c r="D22" s="704" t="s">
        <v>22</v>
      </c>
      <c r="E22" s="704" t="s">
        <v>589</v>
      </c>
      <c r="F22" s="704">
        <v>0</v>
      </c>
    </row>
    <row r="23" spans="1:6">
      <c r="F23" s="704" t="s">
        <v>534</v>
      </c>
    </row>
    <row r="24" spans="1:6">
      <c r="C24" s="705" t="s">
        <v>862</v>
      </c>
      <c r="F24" s="704">
        <v>1539.0400000000002</v>
      </c>
    </row>
    <row r="25" spans="1:6">
      <c r="F25" s="704" t="s">
        <v>534</v>
      </c>
    </row>
    <row r="27" spans="1:6">
      <c r="A27" s="811" t="s">
        <v>886</v>
      </c>
      <c r="B27" s="811" t="s">
        <v>307</v>
      </c>
      <c r="C27" s="815" t="s">
        <v>907</v>
      </c>
      <c r="D27" s="811"/>
      <c r="E27" s="811"/>
      <c r="F27" s="811"/>
    </row>
    <row r="28" spans="1:6">
      <c r="A28" s="811"/>
      <c r="B28" s="811"/>
      <c r="C28" s="815" t="s">
        <v>889</v>
      </c>
      <c r="D28" s="811"/>
      <c r="E28" s="811"/>
      <c r="F28" s="811"/>
    </row>
    <row r="29" spans="1:6">
      <c r="A29" s="811"/>
      <c r="B29" s="811"/>
      <c r="C29" s="815" t="s">
        <v>534</v>
      </c>
      <c r="D29" s="811"/>
      <c r="E29" s="811"/>
      <c r="F29" s="811"/>
    </row>
    <row r="30" spans="1:6">
      <c r="A30" s="811">
        <v>9</v>
      </c>
      <c r="B30" s="811" t="s">
        <v>577</v>
      </c>
      <c r="C30" s="815" t="s">
        <v>890</v>
      </c>
      <c r="D30" s="811">
        <v>1116.8800000000001</v>
      </c>
      <c r="E30" s="811" t="s">
        <v>577</v>
      </c>
      <c r="F30" s="811">
        <v>10051.920000000002</v>
      </c>
    </row>
    <row r="31" spans="1:6">
      <c r="A31" s="811">
        <v>4.5</v>
      </c>
      <c r="B31" s="811" t="s">
        <v>577</v>
      </c>
      <c r="C31" s="815" t="s">
        <v>729</v>
      </c>
      <c r="D31" s="811">
        <v>3253.6699999999996</v>
      </c>
      <c r="E31" s="811" t="s">
        <v>577</v>
      </c>
      <c r="F31" s="811">
        <v>14641.514999999998</v>
      </c>
    </row>
    <row r="32" spans="1:6">
      <c r="A32" s="811">
        <v>1.8</v>
      </c>
      <c r="B32" s="811" t="s">
        <v>576</v>
      </c>
      <c r="C32" s="815" t="s">
        <v>752</v>
      </c>
      <c r="D32" s="811">
        <v>669.90000000000009</v>
      </c>
      <c r="E32" s="811" t="s">
        <v>576</v>
      </c>
      <c r="F32" s="811">
        <v>1205.8200000000002</v>
      </c>
    </row>
    <row r="33" spans="1:6">
      <c r="A33" s="811">
        <v>17.7</v>
      </c>
      <c r="B33" s="811" t="s">
        <v>576</v>
      </c>
      <c r="C33" s="815" t="s">
        <v>754</v>
      </c>
      <c r="D33" s="811">
        <v>468.6</v>
      </c>
      <c r="E33" s="811" t="s">
        <v>576</v>
      </c>
      <c r="F33" s="811">
        <v>8294.2199999999993</v>
      </c>
    </row>
    <row r="34" spans="1:6">
      <c r="A34" s="811">
        <v>14.1</v>
      </c>
      <c r="B34" s="811" t="s">
        <v>576</v>
      </c>
      <c r="C34" s="815" t="s">
        <v>756</v>
      </c>
      <c r="D34" s="811">
        <v>404.8</v>
      </c>
      <c r="E34" s="811" t="s">
        <v>576</v>
      </c>
      <c r="F34" s="811">
        <v>5707.68</v>
      </c>
    </row>
    <row r="35" spans="1:6">
      <c r="A35" s="811"/>
      <c r="B35" s="811" t="s">
        <v>589</v>
      </c>
      <c r="C35" s="815" t="s">
        <v>590</v>
      </c>
      <c r="D35" s="811"/>
      <c r="E35" s="811" t="s">
        <v>589</v>
      </c>
      <c r="F35" s="811">
        <v>0</v>
      </c>
    </row>
    <row r="36" spans="1:6">
      <c r="A36" s="811"/>
      <c r="B36" s="811"/>
      <c r="C36" s="815"/>
      <c r="D36" s="811"/>
      <c r="E36" s="811"/>
      <c r="F36" s="811" t="s">
        <v>534</v>
      </c>
    </row>
    <row r="37" spans="1:6">
      <c r="A37" s="811"/>
      <c r="B37" s="811"/>
      <c r="C37" s="815"/>
      <c r="D37" s="811"/>
      <c r="E37" s="811"/>
      <c r="F37" s="811">
        <v>39901.154999999999</v>
      </c>
    </row>
    <row r="38" spans="1:6">
      <c r="A38" s="811"/>
      <c r="B38" s="811"/>
      <c r="C38" s="815" t="s">
        <v>760</v>
      </c>
      <c r="D38" s="811"/>
      <c r="E38" s="811"/>
      <c r="F38" s="811" t="s">
        <v>534</v>
      </c>
    </row>
    <row r="39" spans="1:6">
      <c r="A39" s="811"/>
      <c r="B39" s="811"/>
      <c r="C39" s="815"/>
      <c r="D39" s="811"/>
      <c r="E39" s="811"/>
      <c r="F39" s="811">
        <v>3990.1154999999999</v>
      </c>
    </row>
    <row r="40" spans="1:6">
      <c r="A40" s="811"/>
      <c r="B40" s="811"/>
      <c r="C40" s="815" t="s">
        <v>685</v>
      </c>
      <c r="D40" s="811"/>
      <c r="E40" s="811"/>
      <c r="F40" s="811" t="s">
        <v>528</v>
      </c>
    </row>
    <row r="42" spans="1:6">
      <c r="A42" s="811" t="s">
        <v>1171</v>
      </c>
      <c r="B42" s="811" t="s">
        <v>307</v>
      </c>
      <c r="C42" s="815" t="s">
        <v>1172</v>
      </c>
      <c r="D42" s="811"/>
      <c r="E42" s="811"/>
      <c r="F42" s="811"/>
    </row>
    <row r="43" spans="1:6">
      <c r="A43" s="811"/>
      <c r="B43" s="811"/>
      <c r="C43" s="815" t="s">
        <v>1173</v>
      </c>
      <c r="D43" s="811"/>
      <c r="E43" s="811"/>
      <c r="F43" s="811"/>
    </row>
    <row r="44" spans="1:6">
      <c r="A44" s="811"/>
      <c r="B44" s="811"/>
      <c r="C44" s="815" t="s">
        <v>534</v>
      </c>
      <c r="D44" s="811"/>
      <c r="E44" s="811"/>
      <c r="F44" s="811"/>
    </row>
    <row r="45" spans="1:6">
      <c r="A45" s="811">
        <v>1</v>
      </c>
      <c r="B45" s="811" t="s">
        <v>577</v>
      </c>
      <c r="C45" s="815" t="s">
        <v>1174</v>
      </c>
      <c r="D45" s="811">
        <v>28.05</v>
      </c>
      <c r="E45" s="811" t="s">
        <v>577</v>
      </c>
      <c r="F45" s="811">
        <v>28.05</v>
      </c>
    </row>
    <row r="46" spans="1:6">
      <c r="A46" s="811"/>
      <c r="B46" s="811"/>
      <c r="C46" s="815"/>
      <c r="D46" s="811"/>
      <c r="E46" s="811"/>
      <c r="F46" s="811"/>
    </row>
    <row r="47" spans="1:6">
      <c r="C47" s="703" t="s">
        <v>3384</v>
      </c>
    </row>
    <row r="48" spans="1:6" ht="31.5">
      <c r="A48" s="704" t="str">
        <f>[7]Data!F3087</f>
        <v>Annexure</v>
      </c>
      <c r="B48" s="704">
        <f>[7]Data!G3087</f>
        <v>0</v>
      </c>
      <c r="C48" s="705" t="str">
        <f>[7]Data!H3087</f>
        <v>TW  frame &amp; TW styles &amp; rails with 9 mm thick BWR double leaf shutter for ward robe / cup board</v>
      </c>
      <c r="D48" s="704">
        <f>[7]Data!I3087</f>
        <v>0</v>
      </c>
      <c r="E48" s="704">
        <f>[7]Data!J3087</f>
        <v>0</v>
      </c>
      <c r="F48" s="704">
        <f>[7]Data!K3087</f>
        <v>0</v>
      </c>
    </row>
    <row r="49" spans="1:9">
      <c r="A49" s="704">
        <f>[7]Data!F3088</f>
        <v>0</v>
      </c>
      <c r="B49" s="704">
        <f>[7]Data!G3088</f>
        <v>0</v>
      </c>
      <c r="C49" s="705" t="str">
        <f>[7]Data!H3088</f>
        <v>-</v>
      </c>
      <c r="D49" s="704" t="str">
        <f>[7]Data!I3088</f>
        <v>-</v>
      </c>
      <c r="E49" s="704" t="str">
        <f>[7]Data!J3088</f>
        <v>-</v>
      </c>
      <c r="F49" s="704">
        <f>[7]Data!K3088</f>
        <v>0</v>
      </c>
    </row>
    <row r="50" spans="1:9">
      <c r="A50" s="704">
        <f>[7]Data!F3089</f>
        <v>0</v>
      </c>
      <c r="B50" s="704">
        <f>[7]Data!G3089</f>
        <v>0</v>
      </c>
      <c r="C50" s="705">
        <f>[7]Data!H3089</f>
        <v>0</v>
      </c>
      <c r="D50" s="704">
        <f>[7]Data!I3089</f>
        <v>0</v>
      </c>
      <c r="E50" s="704">
        <f>[7]Data!J3089</f>
        <v>0</v>
      </c>
      <c r="F50" s="704">
        <f>[7]Data!K3089</f>
        <v>0</v>
      </c>
    </row>
    <row r="51" spans="1:9">
      <c r="A51" s="704">
        <f>[7]Data!F3090</f>
        <v>0</v>
      </c>
      <c r="B51" s="704">
        <f>[7]Data!G3090</f>
        <v>0</v>
      </c>
      <c r="C51" s="705">
        <v>0</v>
      </c>
      <c r="D51" s="706">
        <f>4.275*2.1</f>
        <v>8.9775000000000009</v>
      </c>
      <c r="E51" s="707" t="s">
        <v>3378</v>
      </c>
      <c r="F51" s="704">
        <f>[7]Data!K3090</f>
        <v>0</v>
      </c>
    </row>
    <row r="52" spans="1:9">
      <c r="A52" s="704">
        <f>[7]Data!F3091</f>
        <v>0</v>
      </c>
      <c r="B52" s="704">
        <f>[7]Data!G3091</f>
        <v>0</v>
      </c>
      <c r="C52" s="705">
        <f>[7]Data!H3091</f>
        <v>0</v>
      </c>
      <c r="D52" s="704">
        <f>[7]Data!I3091</f>
        <v>0</v>
      </c>
      <c r="E52" s="704">
        <f>[7]Data!J3091</f>
        <v>0</v>
      </c>
      <c r="F52" s="704">
        <f>[7]Data!K3091</f>
        <v>0</v>
      </c>
    </row>
    <row r="53" spans="1:9" ht="31.5">
      <c r="A53" s="704">
        <f>[7]Data!F3092</f>
        <v>0</v>
      </c>
      <c r="B53" s="704">
        <f>[7]Data!G3092</f>
        <v>0</v>
      </c>
      <c r="C53" s="705" t="s">
        <v>3379</v>
      </c>
      <c r="D53" s="708">
        <f>1*5*4.275*0.075*0.0375</f>
        <v>6.0117187499999995E-2</v>
      </c>
      <c r="E53" s="704">
        <f>[7]Data!J3092</f>
        <v>0</v>
      </c>
      <c r="F53" s="704">
        <f>[7]Data!K3092</f>
        <v>0</v>
      </c>
      <c r="H53" s="709" t="s">
        <v>1888</v>
      </c>
      <c r="I53" s="710">
        <f>1*2*2.1*0.075*0.0375</f>
        <v>1.18125E-2</v>
      </c>
    </row>
    <row r="54" spans="1:9" ht="31.5">
      <c r="A54" s="704">
        <f>[7]Data!F3093</f>
        <v>0</v>
      </c>
      <c r="B54" s="704">
        <f>[7]Data!G3093</f>
        <v>0</v>
      </c>
      <c r="C54" s="705" t="s">
        <v>3380</v>
      </c>
      <c r="D54" s="708">
        <f>1*9*2*0.075*0.0375</f>
        <v>5.0624999999999996E-2</v>
      </c>
      <c r="E54" s="704">
        <f>[7]Data!J3093</f>
        <v>0</v>
      </c>
      <c r="F54" s="704">
        <f>[7]Data!K3093</f>
        <v>0</v>
      </c>
      <c r="H54" s="709" t="s">
        <v>1889</v>
      </c>
      <c r="I54" s="710">
        <f>1*2*1.2*0.075*0.0375</f>
        <v>6.7499999999999999E-3</v>
      </c>
    </row>
    <row r="55" spans="1:9">
      <c r="A55" s="704">
        <f>[7]Data!F3097</f>
        <v>0</v>
      </c>
      <c r="B55" s="704">
        <f>[7]Data!G3097</f>
        <v>0</v>
      </c>
      <c r="C55" s="705" t="s">
        <v>3381</v>
      </c>
      <c r="D55" s="708">
        <f>8*4*0.45*0.45</f>
        <v>6.48</v>
      </c>
      <c r="E55" s="704" t="str">
        <f>[7]Data!J3097</f>
        <v/>
      </c>
      <c r="F55" s="704" t="str">
        <f>[7]Data!K3097</f>
        <v/>
      </c>
      <c r="I55" s="710">
        <f>SUM(I54:I54)</f>
        <v>6.7499999999999999E-3</v>
      </c>
    </row>
    <row r="56" spans="1:9">
      <c r="A56" s="704">
        <f>[7]Data!F3098</f>
        <v>0</v>
      </c>
      <c r="B56" s="704">
        <f>[7]Data!G3098</f>
        <v>0</v>
      </c>
      <c r="C56" s="705" t="s">
        <v>3382</v>
      </c>
      <c r="D56" s="708">
        <f>8*4*0.45*0.45</f>
        <v>6.48</v>
      </c>
      <c r="E56" s="704">
        <f>[7]Data!J3098</f>
        <v>0</v>
      </c>
      <c r="F56" s="704" t="str">
        <f>[7]Data!K3098</f>
        <v/>
      </c>
    </row>
    <row r="57" spans="1:9" ht="31.5">
      <c r="C57" s="705" t="s">
        <v>3383</v>
      </c>
      <c r="D57" s="708">
        <f>1*4.275*2.6*2</f>
        <v>22.230000000000004</v>
      </c>
    </row>
    <row r="58" spans="1:9">
      <c r="D58" s="708"/>
    </row>
    <row r="59" spans="1:9">
      <c r="A59" s="704">
        <f>[7]Data!F3099</f>
        <v>0</v>
      </c>
      <c r="B59" s="704">
        <f>[7]Data!G3099</f>
        <v>0</v>
      </c>
      <c r="C59" s="705">
        <f>[7]Data!H3099</f>
        <v>0</v>
      </c>
      <c r="D59" s="704">
        <f>[7]Data!I3099</f>
        <v>0</v>
      </c>
      <c r="E59" s="704">
        <f>[7]Data!J3099</f>
        <v>0</v>
      </c>
      <c r="F59" s="704">
        <f>[7]Data!K3099</f>
        <v>0</v>
      </c>
    </row>
    <row r="60" spans="1:9">
      <c r="A60" s="708">
        <f>D53</f>
        <v>6.0117187499999995E-2</v>
      </c>
      <c r="B60" s="704" t="str">
        <f>[7]Data!G3100</f>
        <v>CUM</v>
      </c>
      <c r="C60" s="705" t="str">
        <f>[7]Data!H3100</f>
        <v>T.W.SCANTLING above 2M length</v>
      </c>
      <c r="D60" s="704">
        <f>Data!I3102</f>
        <v>111600</v>
      </c>
      <c r="E60" s="704" t="str">
        <f>[7]Data!J3100</f>
        <v>CUM</v>
      </c>
      <c r="F60" s="704">
        <f t="shared" ref="F60:F69" si="0">(A60*D60)</f>
        <v>6709.0781249999991</v>
      </c>
    </row>
    <row r="61" spans="1:9">
      <c r="A61" s="708">
        <f>D54</f>
        <v>5.0624999999999996E-2</v>
      </c>
      <c r="B61" s="704" t="str">
        <f>[7]Data!G3101</f>
        <v>CUM</v>
      </c>
      <c r="C61" s="705" t="str">
        <f>[7]Data!H3101</f>
        <v>T.W.SCANTLING below 2M length</v>
      </c>
      <c r="D61" s="704">
        <f>Data!I3103</f>
        <v>99400</v>
      </c>
      <c r="E61" s="704" t="str">
        <f>[7]Data!J3101</f>
        <v>CUM</v>
      </c>
      <c r="F61" s="704">
        <f t="shared" si="0"/>
        <v>5032.125</v>
      </c>
    </row>
    <row r="62" spans="1:9">
      <c r="A62" s="708">
        <f>D53+D54</f>
        <v>0.11074218749999999</v>
      </c>
      <c r="B62" s="704" t="str">
        <f>[7]Data!G3102</f>
        <v>CUM</v>
      </c>
      <c r="C62" s="705" t="str">
        <f>[7]Data!H3102</f>
        <v>LABOUR FOR WROUGHT &amp;PUTUP</v>
      </c>
      <c r="D62" s="704">
        <f>Data!I3104</f>
        <v>9828.5</v>
      </c>
      <c r="E62" s="704" t="str">
        <f>[7]Data!J3102</f>
        <v>CUM</v>
      </c>
      <c r="F62" s="704">
        <f t="shared" si="0"/>
        <v>1088.4295898437499</v>
      </c>
    </row>
    <row r="63" spans="1:9">
      <c r="A63" s="708">
        <f>D55</f>
        <v>6.48</v>
      </c>
      <c r="B63" s="704" t="str">
        <f>[7]Data!G3103</f>
        <v>SQM</v>
      </c>
      <c r="C63" s="705" t="str">
        <f>[7]Data!H3103</f>
        <v xml:space="preserve">9mm thick BWR ply wood </v>
      </c>
      <c r="D63" s="704">
        <f>Data!I3105</f>
        <v>387.4</v>
      </c>
      <c r="E63" s="704" t="str">
        <f>[7]Data!J3103</f>
        <v>SQM</v>
      </c>
      <c r="F63" s="704">
        <f t="shared" si="0"/>
        <v>2510.3519999999999</v>
      </c>
    </row>
    <row r="64" spans="1:9">
      <c r="A64" s="708">
        <f>D56</f>
        <v>6.48</v>
      </c>
      <c r="B64" s="704" t="str">
        <f>[7]Data!G3104</f>
        <v>SQM</v>
      </c>
      <c r="C64" s="705" t="str">
        <f>[7]Data!H3104</f>
        <v>LABOUR CHARGE FOR SHUTTER</v>
      </c>
      <c r="D64" s="704">
        <f>Data!I3106</f>
        <v>921.80000000000007</v>
      </c>
      <c r="E64" s="704" t="str">
        <f>[7]Data!J3104</f>
        <v>SQM</v>
      </c>
      <c r="F64" s="704">
        <f t="shared" si="0"/>
        <v>5973.264000000001</v>
      </c>
    </row>
    <row r="65" spans="1:6">
      <c r="A65" s="711">
        <f>8*4*2</f>
        <v>64</v>
      </c>
      <c r="B65" s="704" t="str">
        <f>[7]Data!G3106</f>
        <v>NO.</v>
      </c>
      <c r="C65" s="705" t="str">
        <f>[7]Data!H3106</f>
        <v xml:space="preserve"> 3" ALU BUTT HINGES</v>
      </c>
      <c r="D65" s="704">
        <f>Data!I3108</f>
        <v>43.2</v>
      </c>
      <c r="E65" s="704" t="str">
        <f>[7]Data!J3106</f>
        <v>NO.</v>
      </c>
      <c r="F65" s="704">
        <f t="shared" si="0"/>
        <v>2764.8</v>
      </c>
    </row>
    <row r="66" spans="1:6">
      <c r="A66" s="711">
        <f>8*4</f>
        <v>32</v>
      </c>
      <c r="B66" s="704" t="str">
        <f>[7]Data!G3107</f>
        <v>NO.</v>
      </c>
      <c r="C66" s="705" t="str">
        <f>[7]Data!H3107</f>
        <v xml:space="preserve"> ORNAMENTAL  HANDLE WITH SCREWS</v>
      </c>
      <c r="D66" s="704">
        <f>Data!I3109</f>
        <v>53.3</v>
      </c>
      <c r="E66" s="704" t="str">
        <f>[7]Data!J3107</f>
        <v>NO.</v>
      </c>
      <c r="F66" s="704">
        <f t="shared" si="0"/>
        <v>1705.6</v>
      </c>
    </row>
    <row r="67" spans="1:6">
      <c r="A67" s="711">
        <f>8*4</f>
        <v>32</v>
      </c>
      <c r="B67" s="704" t="str">
        <f>[7]Data!G3108</f>
        <v>NO.</v>
      </c>
      <c r="C67" s="705" t="str">
        <f>[7]Data!H3108</f>
        <v>LOCKS &amp;KEY</v>
      </c>
      <c r="D67" s="704">
        <f>Data!I3110</f>
        <v>63.2</v>
      </c>
      <c r="E67" s="704" t="str">
        <f>[7]Data!J3108</f>
        <v>NO.</v>
      </c>
      <c r="F67" s="704">
        <f t="shared" si="0"/>
        <v>2022.4</v>
      </c>
    </row>
    <row r="68" spans="1:6">
      <c r="A68" s="708">
        <f>D57</f>
        <v>22.230000000000004</v>
      </c>
      <c r="B68" s="704" t="str">
        <f>[7]Data!G3109</f>
        <v>SQM</v>
      </c>
      <c r="C68" s="705" t="str">
        <f>[7]Data!H3109</f>
        <v>TWO COATS of enamel paint incl. Primer</v>
      </c>
      <c r="D68" s="704">
        <f>Data!I3111</f>
        <v>189.04319999999998</v>
      </c>
      <c r="E68" s="704" t="str">
        <f>[7]Data!J3109</f>
        <v>SQM</v>
      </c>
      <c r="F68" s="704">
        <f t="shared" si="0"/>
        <v>4202.4303360000004</v>
      </c>
    </row>
    <row r="69" spans="1:6" ht="31.5">
      <c r="A69" s="708">
        <f>200</f>
        <v>200</v>
      </c>
      <c r="B69" s="704" t="str">
        <f>[7]Data!G3110</f>
        <v>Nos</v>
      </c>
      <c r="C69" s="705" t="str">
        <f>[7]Data!H3110</f>
        <v>SUNDRIES FOR NAILS,PLUGS &amp; Brass screws ETC.</v>
      </c>
      <c r="D69" s="704">
        <f>Data!I3112</f>
        <v>2.35</v>
      </c>
      <c r="E69" s="704">
        <f>[7]Data!J3110</f>
        <v>0</v>
      </c>
      <c r="F69" s="704">
        <f t="shared" si="0"/>
        <v>470</v>
      </c>
    </row>
    <row r="70" spans="1:6">
      <c r="A70" s="708">
        <f>[7]Data!F3111</f>
        <v>0</v>
      </c>
      <c r="B70" s="704">
        <f>[7]Data!G3111</f>
        <v>0</v>
      </c>
      <c r="C70" s="705">
        <f>[7]Data!H3111</f>
        <v>0</v>
      </c>
      <c r="D70" s="704">
        <f>[7]Data!I3111</f>
        <v>0</v>
      </c>
      <c r="E70" s="704">
        <f>[7]Data!J3111</f>
        <v>0</v>
      </c>
      <c r="F70" s="476" t="s">
        <v>534</v>
      </c>
    </row>
    <row r="71" spans="1:6">
      <c r="A71" s="704">
        <f>[7]Data!F3112</f>
        <v>0</v>
      </c>
      <c r="B71" s="704">
        <f>[7]Data!G3112</f>
        <v>0</v>
      </c>
      <c r="C71" s="705" t="str">
        <f>"TOTAL FOR"&amp;" "&amp;FIXED(D51,3)&amp;" SQM"</f>
        <v>TOTAL FOR 8.978 SQM</v>
      </c>
      <c r="D71" s="704">
        <f>[7]Data!I3112</f>
        <v>0</v>
      </c>
      <c r="E71" s="704">
        <f>[7]Data!J3112</f>
        <v>0</v>
      </c>
      <c r="F71" s="702">
        <f>SUM(F60:F69)</f>
        <v>32478.479050843751</v>
      </c>
    </row>
    <row r="72" spans="1:6">
      <c r="A72" s="704">
        <f>[7]Data!F3113</f>
        <v>0</v>
      </c>
      <c r="B72" s="704" t="str">
        <f>[7]Data!G3113</f>
        <v/>
      </c>
      <c r="C72" s="705">
        <f>[7]Data!H3113</f>
        <v>0</v>
      </c>
      <c r="D72" s="704">
        <f>[7]Data!I3113</f>
        <v>0</v>
      </c>
      <c r="E72" s="704">
        <f>[7]Data!J3113</f>
        <v>0</v>
      </c>
      <c r="F72" s="476" t="s">
        <v>534</v>
      </c>
    </row>
    <row r="73" spans="1:6" ht="27" customHeight="1">
      <c r="A73" s="704">
        <f>[7]Data!F3114</f>
        <v>0</v>
      </c>
      <c r="B73" s="704">
        <f>[7]Data!G3114</f>
        <v>0</v>
      </c>
      <c r="C73" s="705" t="str">
        <f>[7]Data!H3114</f>
        <v>RATE PER SQM</v>
      </c>
      <c r="D73" s="704">
        <f>[7]Data!I3114</f>
        <v>0</v>
      </c>
      <c r="E73" s="704">
        <f>[7]Data!J3114</f>
        <v>0</v>
      </c>
      <c r="F73" s="702">
        <f>F71/D51</f>
        <v>3617.7643053014476</v>
      </c>
    </row>
    <row r="74" spans="1:6">
      <c r="A74" s="704">
        <f>[7]Data!F3115</f>
        <v>0</v>
      </c>
      <c r="B74" s="704">
        <f>[7]Data!G3115</f>
        <v>0</v>
      </c>
      <c r="C74" s="705">
        <f>[7]Data!H3115</f>
        <v>0</v>
      </c>
      <c r="D74" s="704">
        <f>[7]Data!I3115</f>
        <v>0</v>
      </c>
      <c r="E74" s="704">
        <f>[7]Data!J3115</f>
        <v>0</v>
      </c>
      <c r="F74" s="476" t="s">
        <v>528</v>
      </c>
    </row>
    <row r="75" spans="1:6" ht="47.25">
      <c r="A75" s="811"/>
      <c r="B75" s="812">
        <v>90</v>
      </c>
      <c r="C75" s="813" t="s">
        <v>3391</v>
      </c>
      <c r="D75" s="811"/>
      <c r="E75" s="811"/>
      <c r="F75" s="811"/>
    </row>
    <row r="76" spans="1:6">
      <c r="A76" s="814">
        <v>3.8100000000000002E-2</v>
      </c>
      <c r="B76" s="811" t="s">
        <v>577</v>
      </c>
      <c r="C76" s="815" t="s">
        <v>3112</v>
      </c>
      <c r="D76" s="811">
        <v>111600</v>
      </c>
      <c r="E76" s="811">
        <v>0</v>
      </c>
      <c r="F76" s="811">
        <v>4251.96</v>
      </c>
    </row>
    <row r="77" spans="1:6">
      <c r="A77" s="816">
        <v>2.4E-2</v>
      </c>
      <c r="B77" s="811" t="s">
        <v>577</v>
      </c>
      <c r="C77" s="815" t="s">
        <v>3042</v>
      </c>
      <c r="D77" s="811">
        <v>99400</v>
      </c>
      <c r="E77" s="811">
        <v>0</v>
      </c>
      <c r="F77" s="811">
        <v>2385.6</v>
      </c>
    </row>
    <row r="78" spans="1:6">
      <c r="A78" s="811">
        <v>0.01</v>
      </c>
      <c r="B78" s="811" t="s">
        <v>577</v>
      </c>
      <c r="C78" s="815" t="s">
        <v>1794</v>
      </c>
      <c r="D78" s="811">
        <v>95000</v>
      </c>
      <c r="E78" s="811">
        <v>0</v>
      </c>
      <c r="F78" s="811">
        <v>950</v>
      </c>
    </row>
    <row r="79" spans="1:6">
      <c r="A79" s="811"/>
      <c r="B79" s="811"/>
      <c r="C79" s="815" t="s">
        <v>1796</v>
      </c>
      <c r="D79" s="811"/>
      <c r="E79" s="811"/>
      <c r="F79" s="811"/>
    </row>
    <row r="80" spans="1:6">
      <c r="A80" s="811">
        <v>1.05</v>
      </c>
      <c r="B80" s="811" t="s">
        <v>916</v>
      </c>
      <c r="C80" s="815" t="s">
        <v>3113</v>
      </c>
      <c r="D80" s="811">
        <v>352</v>
      </c>
      <c r="E80" s="811" t="s">
        <v>916</v>
      </c>
      <c r="F80" s="811">
        <v>369.6</v>
      </c>
    </row>
    <row r="81" spans="1:6">
      <c r="A81" s="811">
        <v>12</v>
      </c>
      <c r="B81" s="811" t="s">
        <v>2300</v>
      </c>
      <c r="C81" s="815" t="s">
        <v>3114</v>
      </c>
      <c r="D81" s="811">
        <v>54.5</v>
      </c>
      <c r="E81" s="811" t="s">
        <v>2300</v>
      </c>
      <c r="F81" s="811">
        <v>654</v>
      </c>
    </row>
    <row r="82" spans="1:6">
      <c r="A82" s="811">
        <v>2.85</v>
      </c>
      <c r="B82" s="811" t="s">
        <v>916</v>
      </c>
      <c r="C82" s="815" t="s">
        <v>3116</v>
      </c>
      <c r="D82" s="811">
        <v>1031.8000000000002</v>
      </c>
      <c r="E82" s="811" t="s">
        <v>916</v>
      </c>
      <c r="F82" s="811">
        <v>2940.6300000000006</v>
      </c>
    </row>
    <row r="83" spans="1:6">
      <c r="A83" s="811">
        <v>6</v>
      </c>
      <c r="B83" s="811" t="s">
        <v>42</v>
      </c>
      <c r="C83" s="815" t="s">
        <v>1789</v>
      </c>
      <c r="D83" s="811">
        <v>110.17</v>
      </c>
      <c r="E83" s="811" t="s">
        <v>680</v>
      </c>
      <c r="F83" s="811">
        <v>661.02</v>
      </c>
    </row>
    <row r="84" spans="1:6">
      <c r="A84" s="811">
        <v>1</v>
      </c>
      <c r="B84" s="811" t="s">
        <v>42</v>
      </c>
      <c r="C84" s="815" t="s">
        <v>3117</v>
      </c>
      <c r="D84" s="811">
        <v>550</v>
      </c>
      <c r="E84" s="811" t="s">
        <v>680</v>
      </c>
      <c r="F84" s="811">
        <v>550</v>
      </c>
    </row>
    <row r="85" spans="1:6">
      <c r="A85" s="811">
        <v>3</v>
      </c>
      <c r="B85" s="811" t="s">
        <v>42</v>
      </c>
      <c r="C85" s="815" t="s">
        <v>1791</v>
      </c>
      <c r="D85" s="811">
        <v>160</v>
      </c>
      <c r="E85" s="811" t="s">
        <v>680</v>
      </c>
      <c r="F85" s="811">
        <v>480</v>
      </c>
    </row>
    <row r="86" spans="1:6" ht="31.5">
      <c r="A86" s="811">
        <v>2</v>
      </c>
      <c r="B86" s="811" t="s">
        <v>42</v>
      </c>
      <c r="C86" s="815" t="s">
        <v>3118</v>
      </c>
      <c r="D86" s="811">
        <v>160</v>
      </c>
      <c r="E86" s="811" t="s">
        <v>680</v>
      </c>
      <c r="F86" s="811">
        <v>320</v>
      </c>
    </row>
    <row r="87" spans="1:6">
      <c r="A87" s="811">
        <v>2</v>
      </c>
      <c r="B87" s="811" t="s">
        <v>42</v>
      </c>
      <c r="C87" s="815" t="s">
        <v>941</v>
      </c>
      <c r="D87" s="811">
        <v>43.8</v>
      </c>
      <c r="E87" s="811" t="s">
        <v>680</v>
      </c>
      <c r="F87" s="811">
        <v>87.6</v>
      </c>
    </row>
    <row r="88" spans="1:6">
      <c r="A88" s="811">
        <v>2</v>
      </c>
      <c r="B88" s="811" t="s">
        <v>42</v>
      </c>
      <c r="C88" s="815" t="s">
        <v>1795</v>
      </c>
      <c r="D88" s="811">
        <v>7.3</v>
      </c>
      <c r="E88" s="811" t="s">
        <v>680</v>
      </c>
      <c r="F88" s="811">
        <v>14.6</v>
      </c>
    </row>
    <row r="89" spans="1:6">
      <c r="A89" s="811">
        <v>1.05</v>
      </c>
      <c r="B89" s="811" t="s">
        <v>916</v>
      </c>
      <c r="C89" s="815" t="s">
        <v>3119</v>
      </c>
      <c r="D89" s="811">
        <v>112.37400000000002</v>
      </c>
      <c r="E89" s="811" t="s">
        <v>916</v>
      </c>
      <c r="F89" s="811">
        <v>117.99270000000003</v>
      </c>
    </row>
    <row r="90" spans="1:6">
      <c r="A90" s="811">
        <v>3.15</v>
      </c>
      <c r="B90" s="811" t="s">
        <v>916</v>
      </c>
      <c r="C90" s="815" t="s">
        <v>3120</v>
      </c>
      <c r="D90" s="811">
        <v>148.78800000000001</v>
      </c>
      <c r="E90" s="811" t="s">
        <v>916</v>
      </c>
      <c r="F90" s="811">
        <v>468.68220000000002</v>
      </c>
    </row>
    <row r="91" spans="1:6">
      <c r="A91" s="811"/>
      <c r="B91" s="811"/>
      <c r="C91" s="815" t="s">
        <v>3121</v>
      </c>
      <c r="D91" s="811" t="s">
        <v>589</v>
      </c>
      <c r="E91" s="811"/>
      <c r="F91" s="811">
        <v>277.3</v>
      </c>
    </row>
    <row r="92" spans="1:6">
      <c r="A92" s="811"/>
      <c r="B92" s="811"/>
      <c r="C92" s="815"/>
      <c r="D92" s="811"/>
      <c r="E92" s="811"/>
      <c r="F92" s="811" t="s">
        <v>528</v>
      </c>
    </row>
    <row r="93" spans="1:6">
      <c r="A93" s="811"/>
      <c r="B93" s="811"/>
      <c r="C93" s="815" t="s">
        <v>3122</v>
      </c>
      <c r="D93" s="811"/>
      <c r="E93" s="811"/>
      <c r="F93" s="811">
        <v>14528.984900000001</v>
      </c>
    </row>
    <row r="94" spans="1:6">
      <c r="A94" s="811"/>
      <c r="B94" s="811"/>
      <c r="C94" s="815"/>
      <c r="D94" s="811"/>
      <c r="E94" s="811"/>
      <c r="F94" s="811" t="s">
        <v>528</v>
      </c>
    </row>
    <row r="96" spans="1:6">
      <c r="A96" s="811"/>
      <c r="B96" s="811"/>
      <c r="C96" s="815" t="s">
        <v>3166</v>
      </c>
      <c r="D96" s="811"/>
      <c r="E96" s="811"/>
      <c r="F96" s="811"/>
    </row>
    <row r="97" spans="1:6">
      <c r="A97" s="811"/>
      <c r="B97" s="811"/>
      <c r="C97" s="815" t="s">
        <v>3167</v>
      </c>
      <c r="D97" s="811">
        <v>1.62</v>
      </c>
      <c r="E97" s="811"/>
      <c r="F97" s="811"/>
    </row>
    <row r="98" spans="1:6">
      <c r="A98" s="811">
        <v>1.62</v>
      </c>
      <c r="B98" s="811" t="s">
        <v>916</v>
      </c>
      <c r="C98" s="815" t="s">
        <v>3170</v>
      </c>
      <c r="D98" s="811">
        <v>2090</v>
      </c>
      <c r="E98" s="811" t="s">
        <v>916</v>
      </c>
      <c r="F98" s="811">
        <v>3385.8</v>
      </c>
    </row>
    <row r="99" spans="1:6">
      <c r="A99" s="811">
        <v>1.62</v>
      </c>
      <c r="B99" s="811" t="s">
        <v>916</v>
      </c>
      <c r="C99" s="815" t="s">
        <v>3173</v>
      </c>
      <c r="D99" s="811">
        <v>140</v>
      </c>
      <c r="E99" s="811" t="s">
        <v>916</v>
      </c>
      <c r="F99" s="811">
        <v>226.8</v>
      </c>
    </row>
    <row r="100" spans="1:6">
      <c r="A100" s="811">
        <v>2</v>
      </c>
      <c r="B100" s="811" t="s">
        <v>680</v>
      </c>
      <c r="C100" s="815" t="s">
        <v>3155</v>
      </c>
      <c r="D100" s="811">
        <v>50.4</v>
      </c>
      <c r="E100" s="811" t="s">
        <v>680</v>
      </c>
      <c r="F100" s="811">
        <v>100.8</v>
      </c>
    </row>
    <row r="101" spans="1:6">
      <c r="A101" s="811">
        <v>5</v>
      </c>
      <c r="B101" s="811" t="s">
        <v>680</v>
      </c>
      <c r="C101" s="815" t="s">
        <v>3157</v>
      </c>
      <c r="D101" s="811">
        <v>78.400000000000006</v>
      </c>
      <c r="E101" s="811" t="s">
        <v>680</v>
      </c>
      <c r="F101" s="811">
        <v>392</v>
      </c>
    </row>
    <row r="102" spans="1:6">
      <c r="A102" s="811">
        <v>2</v>
      </c>
      <c r="B102" s="811" t="s">
        <v>680</v>
      </c>
      <c r="C102" s="815" t="s">
        <v>3159</v>
      </c>
      <c r="D102" s="811">
        <v>56.7</v>
      </c>
      <c r="E102" s="811" t="s">
        <v>680</v>
      </c>
      <c r="F102" s="811">
        <v>113.4</v>
      </c>
    </row>
    <row r="103" spans="1:6">
      <c r="A103" s="811">
        <v>1</v>
      </c>
      <c r="B103" s="811" t="s">
        <v>680</v>
      </c>
      <c r="C103" s="815" t="s">
        <v>3117</v>
      </c>
      <c r="D103" s="811">
        <v>158.19999999999999</v>
      </c>
      <c r="E103" s="811" t="s">
        <v>680</v>
      </c>
      <c r="F103" s="811">
        <v>158.19999999999999</v>
      </c>
    </row>
    <row r="104" spans="1:6">
      <c r="A104" s="811">
        <v>92</v>
      </c>
      <c r="B104" s="811" t="s">
        <v>680</v>
      </c>
      <c r="C104" s="815" t="s">
        <v>3154</v>
      </c>
      <c r="D104" s="811">
        <v>2.35</v>
      </c>
      <c r="E104" s="811" t="s">
        <v>680</v>
      </c>
      <c r="F104" s="811">
        <v>216.20000000000002</v>
      </c>
    </row>
    <row r="105" spans="1:6">
      <c r="A105" s="811">
        <v>1</v>
      </c>
      <c r="B105" s="811" t="s">
        <v>680</v>
      </c>
      <c r="C105" s="815" t="s">
        <v>3162</v>
      </c>
      <c r="D105" s="811">
        <v>22.5</v>
      </c>
      <c r="E105" s="811" t="s">
        <v>680</v>
      </c>
      <c r="F105" s="811">
        <v>22.5</v>
      </c>
    </row>
    <row r="106" spans="1:6">
      <c r="A106" s="811">
        <v>1</v>
      </c>
      <c r="B106" s="811" t="s">
        <v>680</v>
      </c>
      <c r="C106" s="815" t="s">
        <v>3158</v>
      </c>
      <c r="D106" s="811">
        <v>43.8</v>
      </c>
      <c r="E106" s="811" t="s">
        <v>680</v>
      </c>
      <c r="F106" s="811">
        <v>43.8</v>
      </c>
    </row>
    <row r="107" spans="1:6">
      <c r="A107" s="816">
        <v>0.35</v>
      </c>
      <c r="B107" s="811" t="s">
        <v>916</v>
      </c>
      <c r="C107" s="815" t="s">
        <v>3177</v>
      </c>
      <c r="D107" s="811">
        <v>189.04319999999998</v>
      </c>
      <c r="E107" s="811" t="s">
        <v>916</v>
      </c>
      <c r="F107" s="811"/>
    </row>
    <row r="108" spans="1:6">
      <c r="A108" s="811"/>
      <c r="B108" s="811"/>
      <c r="C108" s="815" t="s">
        <v>3180</v>
      </c>
      <c r="D108" s="811"/>
      <c r="E108" s="811"/>
      <c r="F108" s="811">
        <v>4659.5</v>
      </c>
    </row>
    <row r="109" spans="1:6">
      <c r="A109" s="811"/>
      <c r="B109" s="811"/>
      <c r="C109" s="815" t="s">
        <v>2662</v>
      </c>
      <c r="D109" s="811"/>
      <c r="E109" s="811"/>
      <c r="F109" s="811">
        <v>2876.2345679012342</v>
      </c>
    </row>
    <row r="111" spans="1:6">
      <c r="A111" s="816"/>
      <c r="B111" s="811"/>
      <c r="C111" s="815" t="s">
        <v>390</v>
      </c>
      <c r="D111" s="811"/>
      <c r="E111" s="811"/>
      <c r="F111" s="811"/>
    </row>
    <row r="112" spans="1:6" ht="31.5">
      <c r="A112" s="816">
        <v>5</v>
      </c>
      <c r="B112" s="811" t="s">
        <v>421</v>
      </c>
      <c r="C112" s="815" t="s">
        <v>3399</v>
      </c>
      <c r="D112" s="811">
        <v>1500.88</v>
      </c>
      <c r="E112" s="811"/>
      <c r="F112" s="811">
        <v>7504.4000000000005</v>
      </c>
    </row>
    <row r="113" spans="1:6" ht="31.5">
      <c r="A113" s="816">
        <v>3.3</v>
      </c>
      <c r="B113" s="811" t="s">
        <v>421</v>
      </c>
      <c r="C113" s="815" t="s">
        <v>3400</v>
      </c>
      <c r="D113" s="811">
        <v>1235.3800000000001</v>
      </c>
      <c r="E113" s="811"/>
      <c r="F113" s="811">
        <v>4076.7540000000004</v>
      </c>
    </row>
    <row r="114" spans="1:6">
      <c r="A114" s="816">
        <v>4.79</v>
      </c>
      <c r="B114" s="811" t="s">
        <v>421</v>
      </c>
      <c r="C114" s="815" t="s">
        <v>3401</v>
      </c>
      <c r="D114" s="811">
        <v>1514.4</v>
      </c>
      <c r="E114" s="811"/>
      <c r="F114" s="811">
        <v>7253.9760000000006</v>
      </c>
    </row>
    <row r="115" spans="1:6">
      <c r="A115" s="816">
        <v>3.25</v>
      </c>
      <c r="B115" s="811" t="s">
        <v>47</v>
      </c>
      <c r="C115" s="815" t="s">
        <v>1430</v>
      </c>
      <c r="D115" s="811">
        <v>5750</v>
      </c>
      <c r="E115" s="811"/>
      <c r="F115" s="811">
        <v>18687.5</v>
      </c>
    </row>
    <row r="116" spans="1:6" ht="31.5">
      <c r="A116" s="816">
        <v>19.5</v>
      </c>
      <c r="B116" s="811" t="s">
        <v>420</v>
      </c>
      <c r="C116" s="815" t="s">
        <v>1490</v>
      </c>
      <c r="D116" s="811">
        <v>42</v>
      </c>
      <c r="E116" s="811"/>
      <c r="F116" s="811">
        <v>819</v>
      </c>
    </row>
    <row r="117" spans="1:6">
      <c r="A117" s="816">
        <v>3.5</v>
      </c>
      <c r="B117" s="811" t="s">
        <v>3</v>
      </c>
      <c r="C117" s="815" t="s">
        <v>1437</v>
      </c>
      <c r="D117" s="811">
        <v>669.90000000000009</v>
      </c>
      <c r="E117" s="811">
        <v>0</v>
      </c>
      <c r="F117" s="811">
        <v>2344.6500000000005</v>
      </c>
    </row>
    <row r="118" spans="1:6">
      <c r="A118" s="816">
        <v>21.2</v>
      </c>
      <c r="B118" s="811" t="s">
        <v>3</v>
      </c>
      <c r="C118" s="815" t="s">
        <v>1440</v>
      </c>
      <c r="D118" s="811">
        <v>468.6</v>
      </c>
      <c r="E118" s="811"/>
      <c r="F118" s="811">
        <v>9934.32</v>
      </c>
    </row>
    <row r="119" spans="1:6">
      <c r="A119" s="816">
        <v>35.299999999999997</v>
      </c>
      <c r="B119" s="811" t="s">
        <v>3</v>
      </c>
      <c r="C119" s="815" t="s">
        <v>1444</v>
      </c>
      <c r="D119" s="811">
        <v>404.8</v>
      </c>
      <c r="E119" s="811"/>
      <c r="F119" s="811">
        <v>14289.439999999999</v>
      </c>
    </row>
    <row r="120" spans="1:6">
      <c r="A120" s="816"/>
      <c r="B120" s="811"/>
      <c r="C120" s="815" t="s">
        <v>1446</v>
      </c>
      <c r="D120" s="811">
        <v>0</v>
      </c>
      <c r="E120" s="811"/>
      <c r="F120" s="811">
        <v>64910.040000000008</v>
      </c>
    </row>
    <row r="121" spans="1:6">
      <c r="A121" s="816"/>
      <c r="B121" s="811"/>
      <c r="C121" s="815" t="s">
        <v>1448</v>
      </c>
      <c r="D121" s="811">
        <v>0</v>
      </c>
      <c r="E121" s="811"/>
      <c r="F121" s="811">
        <v>6491.0040000000008</v>
      </c>
    </row>
    <row r="122" spans="1:6">
      <c r="A122" s="816">
        <v>1</v>
      </c>
      <c r="B122" s="811" t="s">
        <v>421</v>
      </c>
      <c r="C122" s="815" t="s">
        <v>1452</v>
      </c>
      <c r="D122" s="811">
        <v>67.650000000000006</v>
      </c>
      <c r="E122" s="811"/>
      <c r="F122" s="811">
        <v>67.650000000000006</v>
      </c>
    </row>
    <row r="123" spans="1:6">
      <c r="A123" s="816"/>
      <c r="B123" s="811"/>
      <c r="C123" s="815" t="s">
        <v>1454</v>
      </c>
      <c r="D123" s="811">
        <v>0</v>
      </c>
      <c r="E123" s="811"/>
      <c r="F123" s="811">
        <v>6558.6540000000005</v>
      </c>
    </row>
    <row r="124" spans="1:6" ht="31.5">
      <c r="A124" s="816" t="s">
        <v>519</v>
      </c>
      <c r="B124" s="811"/>
      <c r="C124" s="815" t="s">
        <v>1456</v>
      </c>
      <c r="D124" s="811" t="s">
        <v>519</v>
      </c>
      <c r="E124" s="811"/>
      <c r="F124" s="811">
        <v>32.79327</v>
      </c>
    </row>
    <row r="125" spans="1:6">
      <c r="A125" s="816"/>
      <c r="B125" s="811"/>
      <c r="C125" s="815" t="s">
        <v>1395</v>
      </c>
      <c r="D125" s="811"/>
      <c r="E125" s="811"/>
      <c r="F125" s="811">
        <v>6591.4472700000006</v>
      </c>
    </row>
    <row r="126" spans="1:6">
      <c r="A126" s="816"/>
      <c r="B126" s="811"/>
      <c r="C126" s="815"/>
      <c r="D126" s="811"/>
      <c r="E126" s="811"/>
      <c r="F126" s="811" t="s">
        <v>534</v>
      </c>
    </row>
    <row r="127" spans="1:6">
      <c r="A127" s="816"/>
      <c r="B127" s="811"/>
      <c r="C127" s="815" t="s">
        <v>789</v>
      </c>
      <c r="D127" s="811"/>
      <c r="E127" s="811"/>
      <c r="F127" s="811">
        <v>6669.6472700000004</v>
      </c>
    </row>
    <row r="128" spans="1:6">
      <c r="A128" s="816"/>
      <c r="B128" s="811"/>
      <c r="C128" s="815" t="s">
        <v>793</v>
      </c>
      <c r="D128" s="811"/>
      <c r="E128" s="811"/>
      <c r="F128" s="811">
        <v>6823.6472700000004</v>
      </c>
    </row>
    <row r="129" spans="1:6">
      <c r="A129" s="816"/>
      <c r="B129" s="811"/>
      <c r="C129" s="815" t="s">
        <v>796</v>
      </c>
      <c r="D129" s="811"/>
      <c r="E129" s="811"/>
      <c r="F129" s="811">
        <v>6977.6472700000004</v>
      </c>
    </row>
    <row r="130" spans="1:6">
      <c r="A130" s="816"/>
      <c r="B130" s="811"/>
      <c r="C130" s="815" t="s">
        <v>798</v>
      </c>
      <c r="D130" s="811"/>
      <c r="E130" s="811"/>
      <c r="F130" s="811">
        <v>7131.6472700000004</v>
      </c>
    </row>
    <row r="131" spans="1:6">
      <c r="A131" s="816"/>
      <c r="B131" s="811"/>
      <c r="C131" s="815" t="s">
        <v>885</v>
      </c>
      <c r="D131" s="811"/>
      <c r="E131" s="811"/>
      <c r="F131" s="811">
        <v>7285.6472700000004</v>
      </c>
    </row>
    <row r="133" spans="1:6">
      <c r="A133" s="867"/>
      <c r="B133" s="811" t="s">
        <v>22</v>
      </c>
      <c r="C133" s="815" t="s">
        <v>1241</v>
      </c>
      <c r="D133" s="811"/>
      <c r="E133" s="811"/>
      <c r="F133" s="811"/>
    </row>
    <row r="134" spans="1:6">
      <c r="A134" s="811"/>
      <c r="B134" s="811"/>
      <c r="C134" s="815" t="s">
        <v>1243</v>
      </c>
      <c r="D134" s="811"/>
      <c r="E134" s="811"/>
      <c r="F134" s="811"/>
    </row>
    <row r="135" spans="1:6">
      <c r="A135" s="811"/>
      <c r="B135" s="811"/>
      <c r="C135" s="815" t="s">
        <v>1244</v>
      </c>
      <c r="D135" s="811"/>
      <c r="E135" s="811"/>
      <c r="F135" s="811"/>
    </row>
    <row r="136" spans="1:6">
      <c r="A136" s="811"/>
      <c r="B136" s="811"/>
      <c r="C136" s="815" t="s">
        <v>1246</v>
      </c>
      <c r="D136" s="811"/>
      <c r="E136" s="811"/>
      <c r="F136" s="811"/>
    </row>
    <row r="137" spans="1:6">
      <c r="A137" s="811"/>
      <c r="B137" s="811"/>
      <c r="C137" s="815" t="s">
        <v>1247</v>
      </c>
      <c r="D137" s="811"/>
      <c r="E137" s="811"/>
      <c r="F137" s="811"/>
    </row>
    <row r="138" spans="1:6">
      <c r="A138" s="811"/>
      <c r="B138" s="811"/>
      <c r="C138" s="815" t="s">
        <v>1248</v>
      </c>
      <c r="D138" s="811"/>
      <c r="E138" s="811"/>
      <c r="F138" s="811"/>
    </row>
    <row r="139" spans="1:6">
      <c r="A139" s="811"/>
      <c r="B139" s="811"/>
      <c r="C139" s="815" t="s">
        <v>1250</v>
      </c>
      <c r="D139" s="811"/>
      <c r="E139" s="811"/>
      <c r="F139" s="811"/>
    </row>
    <row r="140" spans="1:6">
      <c r="A140" s="811"/>
      <c r="B140" s="811"/>
      <c r="C140" s="815" t="s">
        <v>534</v>
      </c>
      <c r="D140" s="811" t="s">
        <v>534</v>
      </c>
      <c r="E140" s="811"/>
      <c r="F140" s="811"/>
    </row>
    <row r="141" spans="1:6">
      <c r="A141" s="811"/>
      <c r="B141" s="811" t="s">
        <v>930</v>
      </c>
      <c r="C141" s="815" t="s">
        <v>1254</v>
      </c>
      <c r="D141" s="811"/>
      <c r="E141" s="811"/>
      <c r="F141" s="811"/>
    </row>
    <row r="142" spans="1:6">
      <c r="A142" s="811"/>
      <c r="B142" s="811"/>
      <c r="C142" s="815" t="s">
        <v>1257</v>
      </c>
      <c r="D142" s="811"/>
      <c r="E142" s="811"/>
      <c r="F142" s="811"/>
    </row>
    <row r="143" spans="1:6">
      <c r="A143" s="811">
        <v>10</v>
      </c>
      <c r="B143" s="811" t="s">
        <v>250</v>
      </c>
      <c r="C143" s="815" t="s">
        <v>1259</v>
      </c>
      <c r="D143" s="811">
        <v>363</v>
      </c>
      <c r="E143" s="811" t="s">
        <v>250</v>
      </c>
      <c r="F143" s="811">
        <v>3630</v>
      </c>
    </row>
    <row r="144" spans="1:6">
      <c r="A144" s="811">
        <v>1</v>
      </c>
      <c r="B144" s="811" t="s">
        <v>1261</v>
      </c>
      <c r="C144" s="815" t="s">
        <v>1262</v>
      </c>
      <c r="D144" s="811">
        <v>717.2</v>
      </c>
      <c r="E144" s="811" t="s">
        <v>332</v>
      </c>
      <c r="F144" s="811">
        <v>717.2</v>
      </c>
    </row>
    <row r="145" spans="1:6">
      <c r="A145" s="811">
        <v>1</v>
      </c>
      <c r="B145" s="811" t="s">
        <v>1261</v>
      </c>
      <c r="C145" s="815" t="s">
        <v>1264</v>
      </c>
      <c r="D145" s="811">
        <v>468.6</v>
      </c>
      <c r="E145" s="811" t="s">
        <v>332</v>
      </c>
      <c r="F145" s="811">
        <v>468.6</v>
      </c>
    </row>
    <row r="146" spans="1:6">
      <c r="A146" s="811"/>
      <c r="B146" s="811" t="s">
        <v>589</v>
      </c>
      <c r="C146" s="815" t="s">
        <v>1266</v>
      </c>
      <c r="D146" s="811"/>
      <c r="E146" s="811" t="s">
        <v>589</v>
      </c>
      <c r="F146" s="811">
        <v>120</v>
      </c>
    </row>
    <row r="147" spans="1:6">
      <c r="A147" s="811"/>
      <c r="B147" s="811"/>
      <c r="C147" s="815" t="s">
        <v>1268</v>
      </c>
      <c r="D147" s="811"/>
      <c r="E147" s="811"/>
      <c r="F147" s="811" t="s">
        <v>534</v>
      </c>
    </row>
    <row r="148" spans="1:6">
      <c r="A148" s="811"/>
      <c r="B148" s="811"/>
      <c r="C148" s="815" t="s">
        <v>1270</v>
      </c>
      <c r="D148" s="811"/>
      <c r="E148" s="811"/>
      <c r="F148" s="811">
        <v>4935.8</v>
      </c>
    </row>
    <row r="149" spans="1:6">
      <c r="A149" s="811"/>
      <c r="B149" s="811"/>
      <c r="C149" s="815"/>
      <c r="D149" s="811"/>
      <c r="E149" s="811"/>
      <c r="F149" s="811" t="s">
        <v>534</v>
      </c>
    </row>
    <row r="150" spans="1:6">
      <c r="A150" s="811"/>
      <c r="B150" s="811"/>
      <c r="C150" s="815" t="s">
        <v>1273</v>
      </c>
      <c r="D150" s="811"/>
      <c r="E150" s="811"/>
      <c r="F150" s="811">
        <v>493.58000000000004</v>
      </c>
    </row>
    <row r="151" spans="1:6">
      <c r="A151" s="811"/>
      <c r="B151" s="811"/>
      <c r="C151" s="815" t="s">
        <v>789</v>
      </c>
      <c r="D151" s="811">
        <v>493.58000000000004</v>
      </c>
      <c r="E151" s="811">
        <v>1.5640000000000001</v>
      </c>
      <c r="F151" s="811">
        <v>495.14400000000006</v>
      </c>
    </row>
    <row r="152" spans="1:6">
      <c r="A152" s="811"/>
      <c r="B152" s="811"/>
      <c r="C152" s="815" t="s">
        <v>793</v>
      </c>
      <c r="D152" s="811">
        <v>495.14400000000006</v>
      </c>
      <c r="E152" s="811">
        <v>3.08</v>
      </c>
      <c r="F152" s="811">
        <v>498.22400000000005</v>
      </c>
    </row>
    <row r="153" spans="1:6">
      <c r="A153" s="811"/>
      <c r="B153" s="811"/>
      <c r="C153" s="815" t="s">
        <v>796</v>
      </c>
      <c r="D153" s="811">
        <v>498.22400000000005</v>
      </c>
      <c r="E153" s="811">
        <v>3.08</v>
      </c>
      <c r="F153" s="811">
        <v>501.30400000000003</v>
      </c>
    </row>
    <row r="154" spans="1:6">
      <c r="A154" s="811"/>
      <c r="B154" s="811"/>
      <c r="C154" s="815" t="s">
        <v>798</v>
      </c>
      <c r="D154" s="811">
        <v>501.30400000000003</v>
      </c>
      <c r="E154" s="811">
        <v>3.08</v>
      </c>
      <c r="F154" s="811">
        <v>504.38400000000001</v>
      </c>
    </row>
    <row r="156" spans="1:6">
      <c r="A156" s="811" t="s">
        <v>325</v>
      </c>
      <c r="B156" s="811" t="s">
        <v>307</v>
      </c>
      <c r="C156" s="815" t="s">
        <v>1229</v>
      </c>
      <c r="D156" s="811"/>
      <c r="E156" s="811"/>
      <c r="F156" s="811"/>
    </row>
    <row r="157" spans="1:6">
      <c r="A157" s="811"/>
      <c r="B157" s="811"/>
      <c r="C157" s="815" t="s">
        <v>534</v>
      </c>
      <c r="D157" s="811"/>
      <c r="E157" s="811"/>
      <c r="F157" s="811"/>
    </row>
    <row r="158" spans="1:6">
      <c r="A158" s="811">
        <v>0.03</v>
      </c>
      <c r="B158" s="811" t="s">
        <v>577</v>
      </c>
      <c r="C158" s="815" t="s">
        <v>1222</v>
      </c>
      <c r="D158" s="811">
        <v>5957.7450000000008</v>
      </c>
      <c r="E158" s="811" t="s">
        <v>577</v>
      </c>
      <c r="F158" s="811">
        <v>178.73235000000003</v>
      </c>
    </row>
    <row r="159" spans="1:6">
      <c r="A159" s="811">
        <v>0.5</v>
      </c>
      <c r="B159" s="811" t="s">
        <v>680</v>
      </c>
      <c r="C159" s="815" t="s">
        <v>778</v>
      </c>
      <c r="D159" s="811">
        <v>717.2</v>
      </c>
      <c r="E159" s="811" t="s">
        <v>680</v>
      </c>
      <c r="F159" s="811">
        <v>358.6</v>
      </c>
    </row>
    <row r="160" spans="1:6">
      <c r="A160" s="811">
        <v>0.75</v>
      </c>
      <c r="B160" s="811" t="s">
        <v>680</v>
      </c>
      <c r="C160" s="815" t="s">
        <v>754</v>
      </c>
      <c r="D160" s="811">
        <v>468.6</v>
      </c>
      <c r="E160" s="811" t="s">
        <v>680</v>
      </c>
      <c r="F160" s="811">
        <v>351.45000000000005</v>
      </c>
    </row>
    <row r="161" spans="1:6">
      <c r="A161" s="811"/>
      <c r="B161" s="811" t="s">
        <v>589</v>
      </c>
      <c r="C161" s="815" t="s">
        <v>590</v>
      </c>
      <c r="D161" s="811"/>
      <c r="E161" s="811" t="s">
        <v>589</v>
      </c>
      <c r="F161" s="811">
        <v>0</v>
      </c>
    </row>
    <row r="162" spans="1:6">
      <c r="A162" s="811"/>
      <c r="B162" s="811"/>
      <c r="C162" s="815"/>
      <c r="D162" s="811"/>
      <c r="E162" s="811"/>
      <c r="F162" s="811" t="s">
        <v>534</v>
      </c>
    </row>
    <row r="163" spans="1:6">
      <c r="A163" s="811"/>
      <c r="B163" s="811"/>
      <c r="C163" s="815" t="s">
        <v>1226</v>
      </c>
      <c r="D163" s="811"/>
      <c r="E163" s="811"/>
      <c r="F163" s="811">
        <v>888.78235000000006</v>
      </c>
    </row>
    <row r="164" spans="1:6">
      <c r="A164" s="811"/>
      <c r="B164" s="811"/>
      <c r="C164" s="815"/>
      <c r="D164" s="811"/>
      <c r="E164" s="811"/>
      <c r="F164" s="811" t="s">
        <v>534</v>
      </c>
    </row>
    <row r="165" spans="1:6">
      <c r="A165" s="811"/>
      <c r="B165" s="811"/>
      <c r="C165" s="815" t="s">
        <v>881</v>
      </c>
      <c r="D165" s="811"/>
      <c r="E165" s="811"/>
      <c r="F165" s="811">
        <v>1196.2077388963662</v>
      </c>
    </row>
    <row r="166" spans="1:6">
      <c r="A166" s="811"/>
      <c r="B166" s="811"/>
      <c r="C166" s="815"/>
      <c r="D166" s="811"/>
      <c r="E166" s="811"/>
      <c r="F166" s="811" t="s">
        <v>528</v>
      </c>
    </row>
    <row r="167" spans="1:6">
      <c r="A167" s="811"/>
      <c r="B167" s="811"/>
      <c r="C167" s="815" t="s">
        <v>789</v>
      </c>
      <c r="D167" s="811">
        <v>1196.2077388963662</v>
      </c>
      <c r="E167" s="811">
        <v>3.1574697173620461</v>
      </c>
      <c r="F167" s="811">
        <v>1199.3652086137283</v>
      </c>
    </row>
    <row r="169" spans="1:6">
      <c r="A169" s="811"/>
      <c r="B169" s="811" t="s">
        <v>865</v>
      </c>
      <c r="C169" s="815" t="s">
        <v>1166</v>
      </c>
      <c r="D169" s="811"/>
      <c r="E169" s="811"/>
      <c r="F169" s="811"/>
    </row>
    <row r="170" spans="1:6">
      <c r="A170" s="811"/>
      <c r="B170" s="811"/>
      <c r="C170" s="815" t="s">
        <v>1167</v>
      </c>
      <c r="D170" s="811"/>
      <c r="E170" s="811"/>
      <c r="F170" s="811"/>
    </row>
    <row r="171" spans="1:6">
      <c r="A171" s="811"/>
      <c r="B171" s="811"/>
      <c r="C171" s="815" t="s">
        <v>534</v>
      </c>
      <c r="D171" s="811"/>
      <c r="E171" s="811"/>
      <c r="F171" s="811"/>
    </row>
    <row r="172" spans="1:6">
      <c r="A172" s="816">
        <v>1.4E-2</v>
      </c>
      <c r="B172" s="811" t="s">
        <v>577</v>
      </c>
      <c r="C172" s="815" t="s">
        <v>1168</v>
      </c>
      <c r="D172" s="811">
        <v>6662</v>
      </c>
      <c r="E172" s="811" t="s">
        <v>577</v>
      </c>
      <c r="F172" s="811">
        <v>93.268000000000001</v>
      </c>
    </row>
    <row r="173" spans="1:6">
      <c r="A173" s="816"/>
      <c r="B173" s="811"/>
      <c r="C173" s="815" t="s">
        <v>1169</v>
      </c>
      <c r="D173" s="811"/>
      <c r="E173" s="811"/>
      <c r="F173" s="811" t="s">
        <v>22</v>
      </c>
    </row>
    <row r="174" spans="1:6">
      <c r="A174" s="811">
        <v>0.5</v>
      </c>
      <c r="B174" s="811" t="s">
        <v>680</v>
      </c>
      <c r="C174" s="815" t="s">
        <v>778</v>
      </c>
      <c r="D174" s="811">
        <v>717.2</v>
      </c>
      <c r="E174" s="811" t="s">
        <v>680</v>
      </c>
      <c r="F174" s="811">
        <v>358.6</v>
      </c>
    </row>
    <row r="175" spans="1:6">
      <c r="A175" s="811">
        <v>0.75</v>
      </c>
      <c r="B175" s="811" t="s">
        <v>680</v>
      </c>
      <c r="C175" s="815" t="s">
        <v>754</v>
      </c>
      <c r="D175" s="811">
        <v>468.6</v>
      </c>
      <c r="E175" s="811" t="s">
        <v>680</v>
      </c>
      <c r="F175" s="811">
        <v>351.45000000000005</v>
      </c>
    </row>
    <row r="176" spans="1:6">
      <c r="A176" s="811"/>
      <c r="B176" s="811" t="s">
        <v>589</v>
      </c>
      <c r="C176" s="815" t="s">
        <v>590</v>
      </c>
      <c r="D176" s="811"/>
      <c r="E176" s="811" t="s">
        <v>589</v>
      </c>
      <c r="F176" s="811">
        <v>0</v>
      </c>
    </row>
    <row r="177" spans="1:6">
      <c r="A177" s="811"/>
      <c r="B177" s="811"/>
      <c r="C177" s="815"/>
      <c r="D177" s="811"/>
      <c r="E177" s="811"/>
      <c r="F177" s="811" t="s">
        <v>534</v>
      </c>
    </row>
    <row r="178" spans="1:6">
      <c r="A178" s="811"/>
      <c r="B178" s="811"/>
      <c r="C178" s="815" t="s">
        <v>1175</v>
      </c>
      <c r="D178" s="811"/>
      <c r="E178" s="811"/>
      <c r="F178" s="811">
        <v>803.3180000000001</v>
      </c>
    </row>
    <row r="179" spans="1:6">
      <c r="A179" s="811"/>
      <c r="B179" s="811"/>
      <c r="C179" s="815"/>
      <c r="D179" s="811"/>
      <c r="E179" s="811"/>
      <c r="F179" s="811" t="s">
        <v>534</v>
      </c>
    </row>
    <row r="180" spans="1:6">
      <c r="A180" s="811"/>
      <c r="B180" s="811"/>
      <c r="C180" s="815" t="s">
        <v>881</v>
      </c>
      <c r="D180" s="811"/>
      <c r="E180" s="811"/>
      <c r="F180" s="811">
        <v>2159.4569892473123</v>
      </c>
    </row>
    <row r="181" spans="1:6">
      <c r="A181" s="811"/>
      <c r="B181" s="811"/>
      <c r="C181" s="815"/>
      <c r="D181" s="811"/>
      <c r="E181" s="811"/>
      <c r="F181" s="811" t="s">
        <v>528</v>
      </c>
    </row>
    <row r="182" spans="1:6">
      <c r="A182" s="811"/>
      <c r="B182" s="811"/>
      <c r="C182" s="815" t="s">
        <v>789</v>
      </c>
      <c r="D182" s="811">
        <v>2159.4569892473123</v>
      </c>
      <c r="E182" s="811">
        <v>2.9430107526881719</v>
      </c>
      <c r="F182" s="811">
        <v>2162.4000000000005</v>
      </c>
    </row>
    <row r="183" spans="1:6">
      <c r="A183" s="811"/>
      <c r="B183" s="811"/>
      <c r="C183" s="815" t="s">
        <v>793</v>
      </c>
      <c r="D183" s="811">
        <v>2162.4000000000005</v>
      </c>
      <c r="E183" s="811">
        <v>5.795698924731183</v>
      </c>
      <c r="F183" s="811">
        <v>2168.1956989247319</v>
      </c>
    </row>
    <row r="185" spans="1:6">
      <c r="A185" s="811"/>
      <c r="B185" s="811" t="s">
        <v>1501</v>
      </c>
      <c r="C185" s="815" t="s">
        <v>1750</v>
      </c>
      <c r="D185" s="811"/>
      <c r="E185" s="811"/>
      <c r="F185" s="811"/>
    </row>
    <row r="186" spans="1:6">
      <c r="A186" s="811"/>
      <c r="B186" s="811"/>
      <c r="C186" s="815" t="s">
        <v>1741</v>
      </c>
      <c r="D186" s="811"/>
      <c r="E186" s="811"/>
      <c r="F186" s="811"/>
    </row>
    <row r="187" spans="1:6" ht="31.5">
      <c r="A187" s="868">
        <v>3.6799999999999999E-2</v>
      </c>
      <c r="B187" s="811" t="s">
        <v>577</v>
      </c>
      <c r="C187" s="815" t="s">
        <v>3402</v>
      </c>
      <c r="D187" s="811">
        <v>6523.4590200000011</v>
      </c>
      <c r="E187" s="811" t="s">
        <v>577</v>
      </c>
      <c r="F187" s="811">
        <v>240.06329193600004</v>
      </c>
    </row>
    <row r="188" spans="1:6">
      <c r="A188" s="811">
        <v>4.87</v>
      </c>
      <c r="B188" s="811" t="s">
        <v>420</v>
      </c>
      <c r="C188" s="815" t="s">
        <v>1733</v>
      </c>
      <c r="D188" s="811">
        <v>67228.5</v>
      </c>
      <c r="E188" s="811" t="s">
        <v>567</v>
      </c>
      <c r="F188" s="811">
        <v>327.40279499999997</v>
      </c>
    </row>
    <row r="189" spans="1:6">
      <c r="A189" s="811">
        <v>3</v>
      </c>
      <c r="B189" s="811" t="s">
        <v>576</v>
      </c>
      <c r="C189" s="815" t="s">
        <v>1735</v>
      </c>
      <c r="D189" s="811">
        <v>14.8</v>
      </c>
      <c r="E189" s="811" t="s">
        <v>576</v>
      </c>
      <c r="F189" s="811">
        <v>44.400000000000006</v>
      </c>
    </row>
    <row r="190" spans="1:6">
      <c r="A190" s="811">
        <v>12</v>
      </c>
      <c r="B190" s="811" t="s">
        <v>576</v>
      </c>
      <c r="C190" s="815" t="s">
        <v>1736</v>
      </c>
      <c r="D190" s="811">
        <v>2</v>
      </c>
      <c r="E190" s="811" t="s">
        <v>576</v>
      </c>
      <c r="F190" s="811">
        <v>24</v>
      </c>
    </row>
    <row r="191" spans="1:6">
      <c r="A191" s="811">
        <v>2</v>
      </c>
      <c r="B191" s="811" t="s">
        <v>576</v>
      </c>
      <c r="C191" s="815" t="s">
        <v>1737</v>
      </c>
      <c r="D191" s="811">
        <v>4.9000000000000004</v>
      </c>
      <c r="E191" s="811" t="s">
        <v>576</v>
      </c>
      <c r="F191" s="811">
        <v>9.8000000000000007</v>
      </c>
    </row>
    <row r="192" spans="1:6">
      <c r="A192" s="811">
        <v>6</v>
      </c>
      <c r="B192" s="811" t="s">
        <v>576</v>
      </c>
      <c r="C192" s="815" t="s">
        <v>1739</v>
      </c>
      <c r="D192" s="811">
        <v>4.45</v>
      </c>
      <c r="E192" s="811" t="s">
        <v>576</v>
      </c>
      <c r="F192" s="811">
        <v>26.700000000000003</v>
      </c>
    </row>
    <row r="193" spans="1:6">
      <c r="A193" s="811">
        <v>1</v>
      </c>
      <c r="B193" s="811" t="s">
        <v>576</v>
      </c>
      <c r="C193" s="815" t="s">
        <v>1742</v>
      </c>
      <c r="D193" s="811">
        <v>717.2</v>
      </c>
      <c r="E193" s="811" t="s">
        <v>576</v>
      </c>
      <c r="F193" s="811">
        <v>717.2</v>
      </c>
    </row>
    <row r="194" spans="1:6">
      <c r="A194" s="811">
        <v>1</v>
      </c>
      <c r="B194" s="811" t="s">
        <v>576</v>
      </c>
      <c r="C194" s="815" t="s">
        <v>1743</v>
      </c>
      <c r="D194" s="811">
        <v>468.6</v>
      </c>
      <c r="E194" s="811" t="s">
        <v>576</v>
      </c>
      <c r="F194" s="811">
        <v>468.6</v>
      </c>
    </row>
    <row r="195" spans="1:6">
      <c r="A195" s="811">
        <v>1</v>
      </c>
      <c r="B195" s="811" t="s">
        <v>576</v>
      </c>
      <c r="C195" s="815" t="s">
        <v>1744</v>
      </c>
      <c r="D195" s="811">
        <v>25</v>
      </c>
      <c r="E195" s="811" t="s">
        <v>576</v>
      </c>
      <c r="F195" s="811">
        <v>25</v>
      </c>
    </row>
    <row r="196" spans="1:6">
      <c r="A196" s="811">
        <v>0.5</v>
      </c>
      <c r="B196" s="811" t="s">
        <v>576</v>
      </c>
      <c r="C196" s="815" t="s">
        <v>1745</v>
      </c>
      <c r="D196" s="811">
        <v>404.8</v>
      </c>
      <c r="E196" s="811" t="s">
        <v>576</v>
      </c>
      <c r="F196" s="811">
        <v>202.4</v>
      </c>
    </row>
    <row r="197" spans="1:6">
      <c r="A197" s="811"/>
      <c r="B197" s="811" t="s">
        <v>589</v>
      </c>
      <c r="C197" s="815" t="s">
        <v>1746</v>
      </c>
      <c r="D197" s="811"/>
      <c r="E197" s="811" t="s">
        <v>589</v>
      </c>
      <c r="F197" s="811">
        <v>1.98</v>
      </c>
    </row>
    <row r="198" spans="1:6">
      <c r="A198" s="811"/>
      <c r="B198" s="811"/>
      <c r="C198" s="815"/>
      <c r="D198" s="811"/>
      <c r="E198" s="811"/>
      <c r="F198" s="811" t="s">
        <v>534</v>
      </c>
    </row>
    <row r="199" spans="1:6">
      <c r="A199" s="811"/>
      <c r="B199" s="811"/>
      <c r="C199" s="815" t="s">
        <v>1747</v>
      </c>
      <c r="D199" s="811"/>
      <c r="E199" s="811"/>
      <c r="F199" s="811">
        <v>2087.5460869359999</v>
      </c>
    </row>
    <row r="200" spans="1:6">
      <c r="A200" s="811"/>
      <c r="B200" s="811"/>
      <c r="C200" s="815"/>
      <c r="D200" s="811"/>
      <c r="E200" s="811"/>
      <c r="F200" s="811" t="s">
        <v>534</v>
      </c>
    </row>
    <row r="201" spans="1:6">
      <c r="A201" s="867">
        <v>21.2</v>
      </c>
      <c r="B201" s="811"/>
      <c r="C201" s="815" t="s">
        <v>1767</v>
      </c>
      <c r="D201" s="811"/>
      <c r="E201" s="811"/>
      <c r="F201" s="811"/>
    </row>
    <row r="202" spans="1:6">
      <c r="A202" s="867"/>
      <c r="B202" s="811"/>
      <c r="C202" s="815" t="s">
        <v>534</v>
      </c>
      <c r="D202" s="811"/>
      <c r="E202" s="811"/>
      <c r="F202" s="811"/>
    </row>
    <row r="203" spans="1:6">
      <c r="A203" s="811"/>
      <c r="B203" s="811" t="s">
        <v>1118</v>
      </c>
      <c r="C203" s="815" t="s">
        <v>1768</v>
      </c>
      <c r="D203" s="811"/>
      <c r="E203" s="811"/>
      <c r="F203" s="811" t="s">
        <v>22</v>
      </c>
    </row>
    <row r="204" spans="1:6">
      <c r="A204" s="811"/>
      <c r="B204" s="811"/>
      <c r="C204" s="815" t="s">
        <v>534</v>
      </c>
      <c r="D204" s="811"/>
      <c r="E204" s="811"/>
      <c r="F204" s="811" t="s">
        <v>22</v>
      </c>
    </row>
    <row r="205" spans="1:6">
      <c r="A205" s="811">
        <v>1</v>
      </c>
      <c r="B205" s="811" t="s">
        <v>577</v>
      </c>
      <c r="C205" s="815" t="s">
        <v>1769</v>
      </c>
      <c r="D205" s="811">
        <v>9828.5</v>
      </c>
      <c r="E205" s="811" t="s">
        <v>577</v>
      </c>
      <c r="F205" s="811">
        <v>9828.5</v>
      </c>
    </row>
    <row r="206" spans="1:6">
      <c r="A206" s="811">
        <v>1</v>
      </c>
      <c r="B206" s="811" t="s">
        <v>577</v>
      </c>
      <c r="C206" s="815" t="s">
        <v>1768</v>
      </c>
      <c r="D206" s="811">
        <v>111600</v>
      </c>
      <c r="E206" s="811" t="s">
        <v>577</v>
      </c>
      <c r="F206" s="811">
        <v>111600</v>
      </c>
    </row>
    <row r="207" spans="1:6">
      <c r="A207" s="811"/>
      <c r="B207" s="811"/>
      <c r="C207" s="815"/>
      <c r="D207" s="811"/>
      <c r="E207" s="811"/>
      <c r="F207" s="811" t="s">
        <v>528</v>
      </c>
    </row>
    <row r="208" spans="1:6">
      <c r="A208" s="811"/>
      <c r="B208" s="811"/>
      <c r="C208" s="815" t="s">
        <v>1770</v>
      </c>
      <c r="D208" s="811"/>
      <c r="E208" s="811"/>
      <c r="F208" s="811">
        <v>121428.5</v>
      </c>
    </row>
    <row r="209" spans="1:6">
      <c r="A209" s="811"/>
      <c r="B209" s="811"/>
      <c r="C209" s="815"/>
      <c r="D209" s="811"/>
      <c r="E209" s="811"/>
      <c r="F209" s="811" t="s">
        <v>528</v>
      </c>
    </row>
    <row r="210" spans="1:6">
      <c r="A210" s="811"/>
      <c r="B210" s="811" t="s">
        <v>7</v>
      </c>
      <c r="C210" s="815" t="s">
        <v>1771</v>
      </c>
      <c r="D210" s="811"/>
      <c r="E210" s="811"/>
      <c r="F210" s="811" t="s">
        <v>22</v>
      </c>
    </row>
    <row r="211" spans="1:6">
      <c r="A211" s="811"/>
      <c r="B211" s="811"/>
      <c r="C211" s="815" t="s">
        <v>534</v>
      </c>
      <c r="D211" s="811"/>
      <c r="E211" s="811"/>
      <c r="F211" s="811"/>
    </row>
    <row r="212" spans="1:6">
      <c r="A212" s="811">
        <v>1</v>
      </c>
      <c r="B212" s="811" t="s">
        <v>577</v>
      </c>
      <c r="C212" s="815" t="s">
        <v>1769</v>
      </c>
      <c r="D212" s="811">
        <v>9828.5</v>
      </c>
      <c r="E212" s="811" t="s">
        <v>577</v>
      </c>
      <c r="F212" s="811">
        <v>9828.5</v>
      </c>
    </row>
    <row r="213" spans="1:6">
      <c r="A213" s="811">
        <v>1</v>
      </c>
      <c r="B213" s="811" t="s">
        <v>577</v>
      </c>
      <c r="C213" s="815" t="s">
        <v>1768</v>
      </c>
      <c r="D213" s="811">
        <v>99400</v>
      </c>
      <c r="E213" s="811" t="s">
        <v>577</v>
      </c>
      <c r="F213" s="811">
        <v>99400</v>
      </c>
    </row>
    <row r="214" spans="1:6">
      <c r="A214" s="811"/>
      <c r="B214" s="811"/>
      <c r="C214" s="815"/>
      <c r="D214" s="811"/>
      <c r="E214" s="811"/>
      <c r="F214" s="811" t="s">
        <v>528</v>
      </c>
    </row>
    <row r="215" spans="1:6">
      <c r="A215" s="811"/>
      <c r="B215" s="811"/>
      <c r="C215" s="815" t="s">
        <v>1776</v>
      </c>
      <c r="D215" s="811"/>
      <c r="E215" s="811"/>
      <c r="F215" s="811">
        <v>109228.5</v>
      </c>
    </row>
    <row r="216" spans="1:6">
      <c r="A216" s="811"/>
      <c r="B216" s="811"/>
      <c r="C216" s="815"/>
      <c r="D216" s="811"/>
      <c r="E216" s="811"/>
      <c r="F216" s="811" t="s">
        <v>528</v>
      </c>
    </row>
    <row r="217" spans="1:6" ht="47.25">
      <c r="A217" s="811"/>
      <c r="B217" s="812">
        <v>90</v>
      </c>
      <c r="C217" s="813" t="s">
        <v>3391</v>
      </c>
      <c r="D217" s="811"/>
      <c r="E217" s="811"/>
      <c r="F217" s="811"/>
    </row>
    <row r="218" spans="1:6">
      <c r="A218" s="814">
        <v>3.8100000000000002E-2</v>
      </c>
      <c r="B218" s="811" t="s">
        <v>577</v>
      </c>
      <c r="C218" s="815" t="s">
        <v>3112</v>
      </c>
      <c r="D218" s="811">
        <v>111600</v>
      </c>
      <c r="E218" s="811">
        <v>0</v>
      </c>
      <c r="F218" s="811">
        <v>4251.96</v>
      </c>
    </row>
    <row r="219" spans="1:6">
      <c r="A219" s="816">
        <v>2.4E-2</v>
      </c>
      <c r="B219" s="811" t="s">
        <v>577</v>
      </c>
      <c r="C219" s="815" t="s">
        <v>3042</v>
      </c>
      <c r="D219" s="811">
        <v>99400</v>
      </c>
      <c r="E219" s="811">
        <v>0</v>
      </c>
      <c r="F219" s="811">
        <v>2385.6</v>
      </c>
    </row>
    <row r="220" spans="1:6">
      <c r="A220" s="811">
        <v>0.01</v>
      </c>
      <c r="B220" s="811" t="s">
        <v>577</v>
      </c>
      <c r="C220" s="815" t="s">
        <v>1794</v>
      </c>
      <c r="D220" s="811">
        <v>95000</v>
      </c>
      <c r="E220" s="811">
        <v>0</v>
      </c>
      <c r="F220" s="811">
        <v>950</v>
      </c>
    </row>
    <row r="221" spans="1:6">
      <c r="A221" s="811"/>
      <c r="B221" s="811"/>
      <c r="C221" s="815" t="s">
        <v>1796</v>
      </c>
      <c r="D221" s="811"/>
      <c r="E221" s="811"/>
      <c r="F221" s="811"/>
    </row>
    <row r="222" spans="1:6">
      <c r="A222" s="811">
        <v>1.05</v>
      </c>
      <c r="B222" s="811" t="s">
        <v>916</v>
      </c>
      <c r="C222" s="815" t="s">
        <v>3113</v>
      </c>
      <c r="D222" s="811">
        <v>352</v>
      </c>
      <c r="E222" s="811" t="s">
        <v>916</v>
      </c>
      <c r="F222" s="811">
        <v>369.6</v>
      </c>
    </row>
    <row r="223" spans="1:6">
      <c r="A223" s="811">
        <v>12</v>
      </c>
      <c r="B223" s="811" t="s">
        <v>2300</v>
      </c>
      <c r="C223" s="815" t="s">
        <v>3114</v>
      </c>
      <c r="D223" s="811">
        <v>54.5</v>
      </c>
      <c r="E223" s="811" t="s">
        <v>2300</v>
      </c>
      <c r="F223" s="811">
        <v>654</v>
      </c>
    </row>
    <row r="224" spans="1:6">
      <c r="A224" s="811">
        <v>2.85</v>
      </c>
      <c r="B224" s="811" t="s">
        <v>916</v>
      </c>
      <c r="C224" s="815" t="s">
        <v>3116</v>
      </c>
      <c r="D224" s="811">
        <v>1031.8000000000002</v>
      </c>
      <c r="E224" s="811" t="s">
        <v>916</v>
      </c>
      <c r="F224" s="811">
        <v>2940.6300000000006</v>
      </c>
    </row>
    <row r="225" spans="1:6">
      <c r="A225" s="811">
        <v>6</v>
      </c>
      <c r="B225" s="811" t="s">
        <v>42</v>
      </c>
      <c r="C225" s="815" t="s">
        <v>1789</v>
      </c>
      <c r="D225" s="811">
        <v>110.17</v>
      </c>
      <c r="E225" s="811" t="s">
        <v>680</v>
      </c>
      <c r="F225" s="811">
        <v>661.02</v>
      </c>
    </row>
    <row r="226" spans="1:6">
      <c r="A226" s="811">
        <v>1</v>
      </c>
      <c r="B226" s="811" t="s">
        <v>42</v>
      </c>
      <c r="C226" s="815" t="s">
        <v>3117</v>
      </c>
      <c r="D226" s="811">
        <v>550</v>
      </c>
      <c r="E226" s="811" t="s">
        <v>680</v>
      </c>
      <c r="F226" s="811">
        <v>550</v>
      </c>
    </row>
    <row r="227" spans="1:6">
      <c r="A227" s="811">
        <v>3</v>
      </c>
      <c r="B227" s="811" t="s">
        <v>42</v>
      </c>
      <c r="C227" s="815" t="s">
        <v>1791</v>
      </c>
      <c r="D227" s="811">
        <v>160</v>
      </c>
      <c r="E227" s="811" t="s">
        <v>680</v>
      </c>
      <c r="F227" s="811">
        <v>480</v>
      </c>
    </row>
    <row r="228" spans="1:6" ht="31.5">
      <c r="A228" s="811">
        <v>2</v>
      </c>
      <c r="B228" s="811" t="s">
        <v>42</v>
      </c>
      <c r="C228" s="815" t="s">
        <v>3118</v>
      </c>
      <c r="D228" s="811">
        <v>160</v>
      </c>
      <c r="E228" s="811" t="s">
        <v>680</v>
      </c>
      <c r="F228" s="811">
        <v>320</v>
      </c>
    </row>
    <row r="229" spans="1:6">
      <c r="A229" s="811">
        <v>2</v>
      </c>
      <c r="B229" s="811" t="s">
        <v>42</v>
      </c>
      <c r="C229" s="815" t="s">
        <v>941</v>
      </c>
      <c r="D229" s="811">
        <v>43.8</v>
      </c>
      <c r="E229" s="811" t="s">
        <v>680</v>
      </c>
      <c r="F229" s="811">
        <v>87.6</v>
      </c>
    </row>
    <row r="230" spans="1:6">
      <c r="A230" s="811">
        <v>2</v>
      </c>
      <c r="B230" s="811" t="s">
        <v>42</v>
      </c>
      <c r="C230" s="815" t="s">
        <v>1795</v>
      </c>
      <c r="D230" s="811">
        <v>7.3</v>
      </c>
      <c r="E230" s="811" t="s">
        <v>680</v>
      </c>
      <c r="F230" s="811">
        <v>14.6</v>
      </c>
    </row>
    <row r="231" spans="1:6">
      <c r="A231" s="811">
        <v>1.05</v>
      </c>
      <c r="B231" s="811" t="s">
        <v>916</v>
      </c>
      <c r="C231" s="815" t="s">
        <v>3119</v>
      </c>
      <c r="D231" s="811">
        <v>112.37400000000002</v>
      </c>
      <c r="E231" s="811" t="s">
        <v>916</v>
      </c>
      <c r="F231" s="811">
        <v>117.99270000000003</v>
      </c>
    </row>
    <row r="232" spans="1:6">
      <c r="A232" s="811">
        <v>3.15</v>
      </c>
      <c r="B232" s="811" t="s">
        <v>916</v>
      </c>
      <c r="C232" s="815" t="s">
        <v>3120</v>
      </c>
      <c r="D232" s="811">
        <v>148.78800000000001</v>
      </c>
      <c r="E232" s="811" t="s">
        <v>916</v>
      </c>
      <c r="F232" s="811">
        <v>468.68220000000002</v>
      </c>
    </row>
    <row r="233" spans="1:6">
      <c r="A233" s="811"/>
      <c r="B233" s="811"/>
      <c r="C233" s="815" t="s">
        <v>3121</v>
      </c>
      <c r="D233" s="811" t="s">
        <v>589</v>
      </c>
      <c r="E233" s="811"/>
      <c r="F233" s="811">
        <v>277.3</v>
      </c>
    </row>
    <row r="234" spans="1:6">
      <c r="A234" s="811"/>
      <c r="B234" s="811"/>
      <c r="C234" s="815"/>
      <c r="D234" s="811"/>
      <c r="E234" s="811"/>
      <c r="F234" s="811" t="s">
        <v>528</v>
      </c>
    </row>
    <row r="235" spans="1:6">
      <c r="A235" s="811"/>
      <c r="B235" s="811"/>
      <c r="C235" s="815" t="s">
        <v>3122</v>
      </c>
      <c r="D235" s="811"/>
      <c r="E235" s="811"/>
      <c r="F235" s="811">
        <v>14528.984900000001</v>
      </c>
    </row>
    <row r="236" spans="1:6">
      <c r="A236" s="811"/>
      <c r="B236" s="811"/>
      <c r="C236" s="815"/>
      <c r="D236" s="811"/>
      <c r="E236" s="811"/>
      <c r="F236" s="811" t="s">
        <v>528</v>
      </c>
    </row>
    <row r="237" spans="1:6">
      <c r="A237" s="811"/>
      <c r="B237" s="811"/>
      <c r="C237" s="815" t="s">
        <v>3166</v>
      </c>
      <c r="D237" s="811"/>
      <c r="E237" s="811"/>
      <c r="F237" s="811"/>
    </row>
    <row r="238" spans="1:6">
      <c r="A238" s="811"/>
      <c r="B238" s="811"/>
      <c r="C238" s="815" t="s">
        <v>3167</v>
      </c>
      <c r="D238" s="811">
        <v>1.62</v>
      </c>
      <c r="E238" s="811"/>
      <c r="F238" s="811"/>
    </row>
    <row r="239" spans="1:6">
      <c r="A239" s="811">
        <v>1.62</v>
      </c>
      <c r="B239" s="811" t="s">
        <v>916</v>
      </c>
      <c r="C239" s="815" t="s">
        <v>3170</v>
      </c>
      <c r="D239" s="811">
        <v>2090</v>
      </c>
      <c r="E239" s="811" t="s">
        <v>916</v>
      </c>
      <c r="F239" s="811">
        <v>3385.8</v>
      </c>
    </row>
    <row r="240" spans="1:6">
      <c r="A240" s="811">
        <v>1.62</v>
      </c>
      <c r="B240" s="811" t="s">
        <v>916</v>
      </c>
      <c r="C240" s="815" t="s">
        <v>3173</v>
      </c>
      <c r="D240" s="811">
        <v>140</v>
      </c>
      <c r="E240" s="811" t="s">
        <v>916</v>
      </c>
      <c r="F240" s="811">
        <v>226.8</v>
      </c>
    </row>
    <row r="241" spans="1:6">
      <c r="A241" s="811">
        <v>2</v>
      </c>
      <c r="B241" s="811" t="s">
        <v>680</v>
      </c>
      <c r="C241" s="815" t="s">
        <v>3155</v>
      </c>
      <c r="D241" s="811">
        <v>50.4</v>
      </c>
      <c r="E241" s="811" t="s">
        <v>680</v>
      </c>
      <c r="F241" s="811">
        <v>100.8</v>
      </c>
    </row>
    <row r="242" spans="1:6">
      <c r="A242" s="811">
        <v>5</v>
      </c>
      <c r="B242" s="811" t="s">
        <v>680</v>
      </c>
      <c r="C242" s="815" t="s">
        <v>3157</v>
      </c>
      <c r="D242" s="811">
        <v>78.400000000000006</v>
      </c>
      <c r="E242" s="811" t="s">
        <v>680</v>
      </c>
      <c r="F242" s="811">
        <v>392</v>
      </c>
    </row>
    <row r="243" spans="1:6">
      <c r="A243" s="811">
        <v>2</v>
      </c>
      <c r="B243" s="811" t="s">
        <v>680</v>
      </c>
      <c r="C243" s="815" t="s">
        <v>3159</v>
      </c>
      <c r="D243" s="811">
        <v>56.7</v>
      </c>
      <c r="E243" s="811" t="s">
        <v>680</v>
      </c>
      <c r="F243" s="811">
        <v>113.4</v>
      </c>
    </row>
    <row r="244" spans="1:6">
      <c r="A244" s="811">
        <v>1</v>
      </c>
      <c r="B244" s="811" t="s">
        <v>680</v>
      </c>
      <c r="C244" s="815" t="s">
        <v>3117</v>
      </c>
      <c r="D244" s="811">
        <v>158.19999999999999</v>
      </c>
      <c r="E244" s="811" t="s">
        <v>680</v>
      </c>
      <c r="F244" s="811">
        <v>158.19999999999999</v>
      </c>
    </row>
    <row r="245" spans="1:6">
      <c r="A245" s="811">
        <v>92</v>
      </c>
      <c r="B245" s="811" t="s">
        <v>680</v>
      </c>
      <c r="C245" s="815" t="s">
        <v>3154</v>
      </c>
      <c r="D245" s="811">
        <v>2.35</v>
      </c>
      <c r="E245" s="811" t="s">
        <v>680</v>
      </c>
      <c r="F245" s="811">
        <v>216.20000000000002</v>
      </c>
    </row>
    <row r="246" spans="1:6">
      <c r="A246" s="811">
        <v>1</v>
      </c>
      <c r="B246" s="811" t="s">
        <v>680</v>
      </c>
      <c r="C246" s="815" t="s">
        <v>3162</v>
      </c>
      <c r="D246" s="811">
        <v>22.5</v>
      </c>
      <c r="E246" s="811" t="s">
        <v>680</v>
      </c>
      <c r="F246" s="811">
        <v>22.5</v>
      </c>
    </row>
    <row r="247" spans="1:6">
      <c r="A247" s="811">
        <v>1</v>
      </c>
      <c r="B247" s="811" t="s">
        <v>680</v>
      </c>
      <c r="C247" s="815" t="s">
        <v>3158</v>
      </c>
      <c r="D247" s="811">
        <v>43.8</v>
      </c>
      <c r="E247" s="811" t="s">
        <v>680</v>
      </c>
      <c r="F247" s="811">
        <v>43.8</v>
      </c>
    </row>
    <row r="248" spans="1:6">
      <c r="A248" s="816">
        <v>0.35</v>
      </c>
      <c r="B248" s="811" t="s">
        <v>916</v>
      </c>
      <c r="C248" s="815" t="s">
        <v>3177</v>
      </c>
      <c r="D248" s="811">
        <v>189.04319999999998</v>
      </c>
      <c r="E248" s="811" t="s">
        <v>916</v>
      </c>
      <c r="F248" s="811"/>
    </row>
    <row r="249" spans="1:6">
      <c r="A249" s="811"/>
      <c r="B249" s="811"/>
      <c r="C249" s="815" t="s">
        <v>3180</v>
      </c>
      <c r="D249" s="811"/>
      <c r="E249" s="811"/>
      <c r="F249" s="811">
        <v>4659.5</v>
      </c>
    </row>
    <row r="250" spans="1:6">
      <c r="A250" s="811"/>
      <c r="B250" s="811"/>
      <c r="C250" s="815" t="s">
        <v>2662</v>
      </c>
      <c r="D250" s="811"/>
      <c r="E250" s="811"/>
      <c r="F250" s="811">
        <v>2876.2345679012342</v>
      </c>
    </row>
    <row r="252" spans="1:6">
      <c r="B252" s="811"/>
      <c r="C252" s="815" t="s">
        <v>1920</v>
      </c>
      <c r="D252" s="811" t="s">
        <v>791</v>
      </c>
      <c r="E252" s="811"/>
      <c r="F252" s="811">
        <v>52</v>
      </c>
    </row>
    <row r="254" spans="1:6">
      <c r="B254" s="811" t="s">
        <v>307</v>
      </c>
      <c r="C254" s="815" t="s">
        <v>1933</v>
      </c>
      <c r="D254" s="811"/>
      <c r="E254" s="811"/>
      <c r="F254" s="811"/>
    </row>
    <row r="255" spans="1:6">
      <c r="B255" s="811"/>
      <c r="C255" s="815" t="s">
        <v>1936</v>
      </c>
      <c r="D255" s="811"/>
      <c r="E255" s="811"/>
      <c r="F255" s="811"/>
    </row>
    <row r="256" spans="1:6">
      <c r="B256" s="811"/>
      <c r="C256" s="815" t="s">
        <v>534</v>
      </c>
      <c r="D256" s="811"/>
      <c r="E256" s="811"/>
      <c r="F256" s="811"/>
    </row>
    <row r="257" spans="1:6">
      <c r="B257" s="811" t="s">
        <v>420</v>
      </c>
      <c r="C257" s="815" t="s">
        <v>1937</v>
      </c>
      <c r="D257" s="811">
        <v>60.9</v>
      </c>
      <c r="E257" s="811" t="s">
        <v>420</v>
      </c>
      <c r="F257" s="811">
        <v>60.9</v>
      </c>
    </row>
    <row r="258" spans="1:6">
      <c r="B258" s="811"/>
      <c r="C258" s="815"/>
      <c r="D258" s="811"/>
      <c r="E258" s="811"/>
      <c r="F258" s="811" t="s">
        <v>528</v>
      </c>
    </row>
    <row r="259" spans="1:6" ht="31.5">
      <c r="B259" s="811"/>
      <c r="C259" s="815" t="s">
        <v>1939</v>
      </c>
      <c r="D259" s="811">
        <v>54.5</v>
      </c>
      <c r="E259" s="811" t="s">
        <v>420</v>
      </c>
      <c r="F259" s="811">
        <v>54.5</v>
      </c>
    </row>
    <row r="260" spans="1:6">
      <c r="B260" s="811" t="s">
        <v>307</v>
      </c>
      <c r="C260" s="815" t="s">
        <v>1940</v>
      </c>
      <c r="D260" s="811" t="s">
        <v>22</v>
      </c>
      <c r="E260" s="811" t="s">
        <v>1549</v>
      </c>
      <c r="F260" s="811">
        <v>9.6</v>
      </c>
    </row>
    <row r="261" spans="1:6">
      <c r="B261" s="811"/>
      <c r="C261" s="815" t="s">
        <v>1941</v>
      </c>
      <c r="D261" s="811"/>
      <c r="E261" s="811"/>
      <c r="F261" s="811" t="s">
        <v>528</v>
      </c>
    </row>
    <row r="263" spans="1:6">
      <c r="A263" s="811" t="s">
        <v>711</v>
      </c>
      <c r="B263" s="811" t="s">
        <v>307</v>
      </c>
      <c r="C263" s="815" t="s">
        <v>1942</v>
      </c>
      <c r="D263" s="811"/>
      <c r="E263" s="811"/>
      <c r="F263" s="811"/>
    </row>
    <row r="264" spans="1:6">
      <c r="A264" s="811"/>
      <c r="B264" s="811"/>
      <c r="C264" s="815" t="s">
        <v>1943</v>
      </c>
      <c r="D264" s="811"/>
      <c r="E264" s="811"/>
      <c r="F264" s="811"/>
    </row>
    <row r="265" spans="1:6">
      <c r="A265" s="811"/>
      <c r="B265" s="811"/>
      <c r="C265" s="815" t="s">
        <v>534</v>
      </c>
      <c r="D265" s="811"/>
      <c r="E265" s="811"/>
      <c r="F265" s="811"/>
    </row>
    <row r="266" spans="1:6">
      <c r="A266" s="811">
        <v>0.22</v>
      </c>
      <c r="B266" s="811" t="s">
        <v>577</v>
      </c>
      <c r="C266" s="815" t="s">
        <v>702</v>
      </c>
      <c r="D266" s="811">
        <v>3667.67</v>
      </c>
      <c r="E266" s="811" t="s">
        <v>577</v>
      </c>
      <c r="F266" s="811">
        <v>806.88740000000007</v>
      </c>
    </row>
    <row r="267" spans="1:6">
      <c r="A267" s="811">
        <v>2.2000000000000002</v>
      </c>
      <c r="B267" s="811" t="s">
        <v>680</v>
      </c>
      <c r="C267" s="815" t="s">
        <v>778</v>
      </c>
      <c r="D267" s="811">
        <v>717.2</v>
      </c>
      <c r="E267" s="811" t="s">
        <v>680</v>
      </c>
      <c r="F267" s="811">
        <v>1577.8400000000001</v>
      </c>
    </row>
    <row r="268" spans="1:6">
      <c r="A268" s="811">
        <v>0.5</v>
      </c>
      <c r="B268" s="811" t="s">
        <v>680</v>
      </c>
      <c r="C268" s="815" t="s">
        <v>1944</v>
      </c>
      <c r="D268" s="811">
        <v>468.6</v>
      </c>
      <c r="E268" s="811" t="s">
        <v>680</v>
      </c>
      <c r="F268" s="811">
        <v>234.3</v>
      </c>
    </row>
    <row r="269" spans="1:6">
      <c r="A269" s="811">
        <v>3.2</v>
      </c>
      <c r="B269" s="811" t="s">
        <v>680</v>
      </c>
      <c r="C269" s="815" t="s">
        <v>756</v>
      </c>
      <c r="D269" s="811">
        <v>404.8</v>
      </c>
      <c r="E269" s="811" t="s">
        <v>680</v>
      </c>
      <c r="F269" s="811">
        <v>1295.3600000000001</v>
      </c>
    </row>
    <row r="270" spans="1:6">
      <c r="A270" s="811"/>
      <c r="B270" s="811"/>
      <c r="C270" s="815"/>
      <c r="D270" s="811"/>
      <c r="E270" s="811"/>
      <c r="F270" s="811"/>
    </row>
    <row r="271" spans="1:6">
      <c r="A271" s="811"/>
      <c r="B271" s="811"/>
      <c r="C271" s="815"/>
      <c r="D271" s="811"/>
      <c r="E271" s="811"/>
      <c r="F271" s="811"/>
    </row>
    <row r="272" spans="1:6">
      <c r="A272" s="811"/>
      <c r="B272" s="811"/>
      <c r="C272" s="815"/>
      <c r="D272" s="811"/>
      <c r="E272" s="811"/>
      <c r="F272" s="811"/>
    </row>
    <row r="273" spans="1:6">
      <c r="A273" s="811"/>
      <c r="B273" s="811"/>
      <c r="C273" s="815"/>
      <c r="D273" s="811"/>
      <c r="E273" s="811"/>
      <c r="F273" s="811"/>
    </row>
    <row r="274" spans="1:6">
      <c r="A274" s="811"/>
      <c r="B274" s="811"/>
      <c r="C274" s="815"/>
      <c r="D274" s="811"/>
      <c r="E274" s="811"/>
      <c r="F274" s="811"/>
    </row>
    <row r="275" spans="1:6">
      <c r="A275" s="811"/>
      <c r="B275" s="811" t="s">
        <v>589</v>
      </c>
      <c r="C275" s="815" t="s">
        <v>1945</v>
      </c>
      <c r="D275" s="811" t="s">
        <v>22</v>
      </c>
      <c r="E275" s="811" t="s">
        <v>589</v>
      </c>
      <c r="F275" s="811">
        <v>5</v>
      </c>
    </row>
    <row r="276" spans="1:6">
      <c r="A276" s="811"/>
      <c r="B276" s="811"/>
      <c r="C276" s="815"/>
      <c r="D276" s="811"/>
      <c r="E276" s="811"/>
      <c r="F276" s="811" t="s">
        <v>534</v>
      </c>
    </row>
    <row r="277" spans="1:6">
      <c r="A277" s="811"/>
      <c r="B277" s="811"/>
      <c r="C277" s="815" t="s">
        <v>879</v>
      </c>
      <c r="D277" s="811"/>
      <c r="E277" s="811"/>
      <c r="F277" s="811">
        <v>3919.3874000000005</v>
      </c>
    </row>
    <row r="278" spans="1:6">
      <c r="A278" s="811" t="s">
        <v>22</v>
      </c>
      <c r="B278" s="811"/>
      <c r="C278" s="815"/>
      <c r="D278" s="811"/>
      <c r="E278" s="811"/>
      <c r="F278" s="811" t="s">
        <v>534</v>
      </c>
    </row>
    <row r="279" spans="1:6">
      <c r="A279" s="811"/>
      <c r="B279" s="811"/>
      <c r="C279" s="815" t="s">
        <v>881</v>
      </c>
      <c r="D279" s="811"/>
      <c r="E279" s="811"/>
      <c r="F279" s="811">
        <v>391.93874000000005</v>
      </c>
    </row>
    <row r="281" spans="1:6">
      <c r="A281" s="867">
        <v>29.4</v>
      </c>
      <c r="B281" s="811" t="s">
        <v>307</v>
      </c>
      <c r="C281" s="815" t="s">
        <v>1988</v>
      </c>
      <c r="D281" s="811"/>
      <c r="E281" s="811"/>
      <c r="F281" s="811"/>
    </row>
    <row r="282" spans="1:6">
      <c r="A282" s="811"/>
      <c r="B282" s="811"/>
      <c r="C282" s="815" t="s">
        <v>1990</v>
      </c>
      <c r="D282" s="811"/>
      <c r="E282" s="811"/>
      <c r="F282" s="811"/>
    </row>
    <row r="283" spans="1:6">
      <c r="A283" s="811"/>
      <c r="B283" s="811"/>
      <c r="C283" s="815" t="s">
        <v>534</v>
      </c>
      <c r="D283" s="811"/>
      <c r="E283" s="811"/>
      <c r="F283" s="811"/>
    </row>
    <row r="284" spans="1:6">
      <c r="A284" s="811">
        <v>1.86</v>
      </c>
      <c r="B284" s="811" t="s">
        <v>916</v>
      </c>
      <c r="C284" s="815" t="s">
        <v>1991</v>
      </c>
      <c r="D284" s="811">
        <v>385</v>
      </c>
      <c r="E284" s="811" t="s">
        <v>916</v>
      </c>
      <c r="F284" s="811">
        <v>716.1</v>
      </c>
    </row>
    <row r="285" spans="1:6">
      <c r="A285" s="811">
        <v>0.4</v>
      </c>
      <c r="B285" s="811" t="s">
        <v>420</v>
      </c>
      <c r="C285" s="815" t="s">
        <v>1959</v>
      </c>
      <c r="D285" s="811">
        <v>36.1</v>
      </c>
      <c r="E285" s="811" t="s">
        <v>420</v>
      </c>
      <c r="F285" s="811">
        <v>14.440000000000001</v>
      </c>
    </row>
    <row r="286" spans="1:6">
      <c r="A286" s="811">
        <v>0.02</v>
      </c>
      <c r="B286" s="811" t="s">
        <v>577</v>
      </c>
      <c r="C286" s="815" t="s">
        <v>1987</v>
      </c>
      <c r="D286" s="811">
        <v>5737.67</v>
      </c>
      <c r="E286" s="811" t="s">
        <v>577</v>
      </c>
      <c r="F286" s="811">
        <v>114.7534</v>
      </c>
    </row>
    <row r="287" spans="1:6">
      <c r="A287" s="811">
        <v>1</v>
      </c>
      <c r="B287" s="811" t="s">
        <v>680</v>
      </c>
      <c r="C287" s="815" t="s">
        <v>778</v>
      </c>
      <c r="D287" s="811">
        <v>717.2</v>
      </c>
      <c r="E287" s="811" t="s">
        <v>680</v>
      </c>
      <c r="F287" s="811">
        <v>717.2</v>
      </c>
    </row>
    <row r="288" spans="1:6">
      <c r="A288" s="811">
        <v>1</v>
      </c>
      <c r="B288" s="811" t="s">
        <v>680</v>
      </c>
      <c r="C288" s="815" t="s">
        <v>1989</v>
      </c>
      <c r="D288" s="811">
        <v>468.6</v>
      </c>
      <c r="E288" s="811" t="s">
        <v>680</v>
      </c>
      <c r="F288" s="811">
        <v>468.6</v>
      </c>
    </row>
    <row r="289" spans="1:6">
      <c r="A289" s="811"/>
      <c r="B289" s="811" t="s">
        <v>589</v>
      </c>
      <c r="C289" s="815" t="s">
        <v>590</v>
      </c>
      <c r="D289" s="811"/>
      <c r="E289" s="811" t="s">
        <v>589</v>
      </c>
      <c r="F289" s="811"/>
    </row>
    <row r="290" spans="1:6">
      <c r="A290" s="811"/>
      <c r="B290" s="811"/>
      <c r="C290" s="815"/>
      <c r="D290" s="811"/>
      <c r="E290" s="811"/>
      <c r="F290" s="811" t="s">
        <v>534</v>
      </c>
    </row>
    <row r="291" spans="1:6">
      <c r="A291" s="811"/>
      <c r="B291" s="811"/>
      <c r="C291" s="815" t="s">
        <v>1992</v>
      </c>
      <c r="D291" s="811"/>
      <c r="E291" s="811"/>
      <c r="F291" s="811">
        <v>2031.0934000000002</v>
      </c>
    </row>
    <row r="292" spans="1:6">
      <c r="A292" s="811"/>
      <c r="B292" s="811"/>
      <c r="C292" s="815"/>
      <c r="D292" s="811"/>
      <c r="E292" s="811"/>
      <c r="F292" s="811" t="s">
        <v>534</v>
      </c>
    </row>
    <row r="293" spans="1:6">
      <c r="A293" s="811"/>
      <c r="B293" s="811"/>
      <c r="C293" s="815" t="s">
        <v>881</v>
      </c>
      <c r="D293" s="811"/>
      <c r="E293" s="811"/>
      <c r="F293" s="811">
        <v>1091.9856989247312</v>
      </c>
    </row>
    <row r="295" spans="1:6" ht="31.5">
      <c r="A295" s="867">
        <v>29.5</v>
      </c>
      <c r="B295" s="811" t="s">
        <v>307</v>
      </c>
      <c r="C295" s="815" t="s">
        <v>1975</v>
      </c>
      <c r="D295" s="811"/>
      <c r="E295" s="811"/>
      <c r="F295" s="811"/>
    </row>
    <row r="296" spans="1:6">
      <c r="A296" s="811"/>
      <c r="B296" s="811"/>
      <c r="C296" s="815" t="s">
        <v>1976</v>
      </c>
      <c r="D296" s="811"/>
      <c r="E296" s="811"/>
      <c r="F296" s="811"/>
    </row>
    <row r="297" spans="1:6">
      <c r="A297" s="811"/>
      <c r="B297" s="811"/>
      <c r="C297" s="815" t="s">
        <v>1977</v>
      </c>
      <c r="D297" s="811"/>
      <c r="E297" s="811"/>
      <c r="F297" s="811"/>
    </row>
    <row r="298" spans="1:6">
      <c r="A298" s="811"/>
      <c r="B298" s="811"/>
      <c r="C298" s="815" t="s">
        <v>534</v>
      </c>
      <c r="D298" s="811" t="s">
        <v>534</v>
      </c>
      <c r="E298" s="811"/>
      <c r="F298" s="811"/>
    </row>
    <row r="299" spans="1:6">
      <c r="A299" s="811">
        <v>10</v>
      </c>
      <c r="B299" s="811" t="s">
        <v>916</v>
      </c>
      <c r="C299" s="815" t="s">
        <v>1978</v>
      </c>
      <c r="D299" s="811">
        <v>346.14</v>
      </c>
      <c r="E299" s="811" t="s">
        <v>916</v>
      </c>
      <c r="F299" s="811">
        <v>3461.3999999999996</v>
      </c>
    </row>
    <row r="300" spans="1:6">
      <c r="A300" s="811">
        <v>0.21</v>
      </c>
      <c r="B300" s="811" t="s">
        <v>577</v>
      </c>
      <c r="C300" s="815" t="s">
        <v>1951</v>
      </c>
      <c r="D300" s="811">
        <v>4357.67</v>
      </c>
      <c r="E300" s="811" t="s">
        <v>577</v>
      </c>
      <c r="F300" s="811">
        <v>915.11069999999995</v>
      </c>
    </row>
    <row r="301" spans="1:6">
      <c r="A301" s="811"/>
      <c r="B301" s="811"/>
      <c r="C301" s="815" t="s">
        <v>1955</v>
      </c>
      <c r="D301" s="811" t="s">
        <v>22</v>
      </c>
      <c r="E301" s="811"/>
      <c r="F301" s="811" t="s">
        <v>22</v>
      </c>
    </row>
    <row r="302" spans="1:6">
      <c r="A302" s="811">
        <v>1.1000000000000001</v>
      </c>
      <c r="B302" s="811" t="s">
        <v>680</v>
      </c>
      <c r="C302" s="815" t="s">
        <v>778</v>
      </c>
      <c r="D302" s="811">
        <v>717.2</v>
      </c>
      <c r="E302" s="811" t="s">
        <v>680</v>
      </c>
      <c r="F302" s="811">
        <v>788.92000000000007</v>
      </c>
    </row>
    <row r="303" spans="1:6">
      <c r="A303" s="811">
        <v>1.1000000000000001</v>
      </c>
      <c r="B303" s="811" t="s">
        <v>680</v>
      </c>
      <c r="C303" s="815" t="s">
        <v>752</v>
      </c>
      <c r="D303" s="811">
        <v>669.90000000000009</v>
      </c>
      <c r="E303" s="811" t="s">
        <v>680</v>
      </c>
      <c r="F303" s="811">
        <v>736.89000000000021</v>
      </c>
    </row>
    <row r="304" spans="1:6">
      <c r="A304" s="811">
        <v>2.2000000000000002</v>
      </c>
      <c r="B304" s="811" t="s">
        <v>680</v>
      </c>
      <c r="C304" s="815" t="s">
        <v>754</v>
      </c>
      <c r="D304" s="811">
        <v>468.6</v>
      </c>
      <c r="E304" s="811" t="s">
        <v>680</v>
      </c>
      <c r="F304" s="811">
        <v>1030.92</v>
      </c>
    </row>
    <row r="305" spans="1:6">
      <c r="A305" s="811">
        <v>2.2000000000000002</v>
      </c>
      <c r="B305" s="811" t="s">
        <v>680</v>
      </c>
      <c r="C305" s="815" t="s">
        <v>756</v>
      </c>
      <c r="D305" s="811">
        <v>404.8</v>
      </c>
      <c r="E305" s="811" t="s">
        <v>680</v>
      </c>
      <c r="F305" s="811">
        <v>890.56000000000006</v>
      </c>
    </row>
    <row r="306" spans="1:6">
      <c r="A306" s="816">
        <v>20</v>
      </c>
      <c r="B306" s="811" t="s">
        <v>420</v>
      </c>
      <c r="C306" s="815" t="s">
        <v>568</v>
      </c>
      <c r="D306" s="811">
        <v>5750</v>
      </c>
      <c r="E306" s="811" t="s">
        <v>567</v>
      </c>
      <c r="F306" s="811">
        <v>115</v>
      </c>
    </row>
    <row r="307" spans="1:6">
      <c r="A307" s="816">
        <v>2</v>
      </c>
      <c r="B307" s="811" t="s">
        <v>420</v>
      </c>
      <c r="C307" s="815" t="s">
        <v>1981</v>
      </c>
      <c r="D307" s="811">
        <v>36.1</v>
      </c>
      <c r="E307" s="811" t="s">
        <v>420</v>
      </c>
      <c r="F307" s="811">
        <v>72.2</v>
      </c>
    </row>
    <row r="308" spans="1:6">
      <c r="A308" s="811">
        <v>1.6</v>
      </c>
      <c r="B308" s="811" t="s">
        <v>680</v>
      </c>
      <c r="C308" s="815" t="s">
        <v>752</v>
      </c>
      <c r="D308" s="811">
        <v>669.90000000000009</v>
      </c>
      <c r="E308" s="811" t="s">
        <v>680</v>
      </c>
      <c r="F308" s="811">
        <v>1071.8400000000001</v>
      </c>
    </row>
    <row r="309" spans="1:6">
      <c r="A309" s="811">
        <v>0.5</v>
      </c>
      <c r="B309" s="811" t="s">
        <v>680</v>
      </c>
      <c r="C309" s="815" t="s">
        <v>754</v>
      </c>
      <c r="D309" s="811">
        <v>468.6</v>
      </c>
      <c r="E309" s="811" t="s">
        <v>680</v>
      </c>
      <c r="F309" s="811">
        <v>234.3</v>
      </c>
    </row>
    <row r="310" spans="1:6">
      <c r="A310" s="811">
        <v>1.1000000000000001</v>
      </c>
      <c r="B310" s="811" t="s">
        <v>680</v>
      </c>
      <c r="C310" s="815" t="s">
        <v>756</v>
      </c>
      <c r="D310" s="811">
        <v>404.8</v>
      </c>
      <c r="E310" s="811" t="s">
        <v>680</v>
      </c>
      <c r="F310" s="811">
        <v>445.28000000000003</v>
      </c>
    </row>
    <row r="311" spans="1:6">
      <c r="A311" s="811"/>
      <c r="B311" s="811" t="s">
        <v>589</v>
      </c>
      <c r="C311" s="815" t="s">
        <v>590</v>
      </c>
      <c r="D311" s="811"/>
      <c r="E311" s="811" t="s">
        <v>589</v>
      </c>
      <c r="F311" s="811">
        <v>0</v>
      </c>
    </row>
    <row r="312" spans="1:6">
      <c r="A312" s="811"/>
      <c r="B312" s="811"/>
      <c r="C312" s="815"/>
      <c r="D312" s="811"/>
      <c r="E312" s="811"/>
      <c r="F312" s="811" t="s">
        <v>534</v>
      </c>
    </row>
    <row r="313" spans="1:6">
      <c r="A313" s="811"/>
      <c r="B313" s="811"/>
      <c r="C313" s="815" t="s">
        <v>879</v>
      </c>
      <c r="D313" s="811"/>
      <c r="E313" s="811"/>
      <c r="F313" s="811">
        <v>9762.4207000000006</v>
      </c>
    </row>
    <row r="314" spans="1:6">
      <c r="A314" s="811"/>
      <c r="B314" s="811"/>
      <c r="C314" s="815"/>
      <c r="D314" s="811"/>
      <c r="E314" s="811"/>
      <c r="F314" s="811" t="s">
        <v>534</v>
      </c>
    </row>
    <row r="315" spans="1:6">
      <c r="A315" s="811"/>
      <c r="B315" s="811"/>
      <c r="C315" s="815" t="s">
        <v>881</v>
      </c>
      <c r="D315" s="811"/>
      <c r="E315" s="811"/>
      <c r="F315" s="811">
        <v>976.24207000000001</v>
      </c>
    </row>
    <row r="316" spans="1:6">
      <c r="A316" s="811"/>
      <c r="B316" s="811"/>
      <c r="C316" s="815"/>
      <c r="D316" s="811"/>
      <c r="E316" s="811"/>
      <c r="F316" s="811" t="s">
        <v>528</v>
      </c>
    </row>
    <row r="317" spans="1:6">
      <c r="A317" s="811" t="s">
        <v>719</v>
      </c>
      <c r="B317" s="811" t="s">
        <v>307</v>
      </c>
      <c r="C317" s="815" t="s">
        <v>1942</v>
      </c>
      <c r="D317" s="811"/>
      <c r="E317" s="811"/>
      <c r="F317" s="811"/>
    </row>
    <row r="318" spans="1:6">
      <c r="A318" s="811"/>
      <c r="B318" s="811"/>
      <c r="C318" s="815" t="s">
        <v>2002</v>
      </c>
      <c r="D318" s="811"/>
      <c r="E318" s="811"/>
      <c r="F318" s="811"/>
    </row>
    <row r="319" spans="1:6">
      <c r="A319" s="811"/>
      <c r="B319" s="811"/>
      <c r="C319" s="815" t="s">
        <v>2003</v>
      </c>
      <c r="D319" s="811"/>
      <c r="E319" s="811"/>
      <c r="F319" s="811"/>
    </row>
    <row r="320" spans="1:6">
      <c r="A320" s="811"/>
      <c r="B320" s="811"/>
      <c r="C320" s="815" t="s">
        <v>3403</v>
      </c>
      <c r="D320" s="811"/>
      <c r="E320" s="811"/>
      <c r="F320" s="811"/>
    </row>
    <row r="321" spans="1:6">
      <c r="A321" s="811"/>
      <c r="B321" s="811"/>
      <c r="C321" s="815" t="s">
        <v>534</v>
      </c>
      <c r="D321" s="811"/>
      <c r="E321" s="811"/>
      <c r="F321" s="811"/>
    </row>
    <row r="322" spans="1:6">
      <c r="A322" s="811">
        <v>0.24</v>
      </c>
      <c r="B322" s="811" t="s">
        <v>577</v>
      </c>
      <c r="C322" s="815" t="s">
        <v>2009</v>
      </c>
      <c r="D322" s="811">
        <v>846.21</v>
      </c>
      <c r="E322" s="811" t="s">
        <v>577</v>
      </c>
      <c r="F322" s="811">
        <v>203.09039999999999</v>
      </c>
    </row>
    <row r="323" spans="1:6">
      <c r="A323" s="816">
        <v>0.11700000000000001</v>
      </c>
      <c r="B323" s="811" t="s">
        <v>567</v>
      </c>
      <c r="C323" s="815" t="s">
        <v>568</v>
      </c>
      <c r="D323" s="811">
        <v>5750</v>
      </c>
      <c r="E323" s="811" t="s">
        <v>567</v>
      </c>
      <c r="F323" s="811">
        <v>672.75</v>
      </c>
    </row>
    <row r="324" spans="1:6">
      <c r="A324" s="811">
        <v>0.5</v>
      </c>
      <c r="B324" s="811" t="s">
        <v>680</v>
      </c>
      <c r="C324" s="815" t="s">
        <v>778</v>
      </c>
      <c r="D324" s="811">
        <v>717.2</v>
      </c>
      <c r="E324" s="811" t="s">
        <v>680</v>
      </c>
      <c r="F324" s="811">
        <v>358.6</v>
      </c>
    </row>
    <row r="325" spans="1:6">
      <c r="A325" s="811">
        <v>1.1000000000000001</v>
      </c>
      <c r="B325" s="811" t="s">
        <v>680</v>
      </c>
      <c r="C325" s="815" t="s">
        <v>1944</v>
      </c>
      <c r="D325" s="811">
        <v>468.6</v>
      </c>
      <c r="E325" s="811" t="s">
        <v>680</v>
      </c>
      <c r="F325" s="811">
        <v>515.46</v>
      </c>
    </row>
    <row r="326" spans="1:6">
      <c r="A326" s="811">
        <v>4.3</v>
      </c>
      <c r="B326" s="811" t="s">
        <v>680</v>
      </c>
      <c r="C326" s="815" t="s">
        <v>756</v>
      </c>
      <c r="D326" s="811">
        <v>404.8</v>
      </c>
      <c r="E326" s="811" t="s">
        <v>680</v>
      </c>
      <c r="F326" s="811">
        <v>1740.6399999999999</v>
      </c>
    </row>
    <row r="327" spans="1:6">
      <c r="A327" s="811"/>
      <c r="B327" s="811" t="s">
        <v>589</v>
      </c>
      <c r="C327" s="815" t="s">
        <v>590</v>
      </c>
      <c r="D327" s="811"/>
      <c r="E327" s="811" t="s">
        <v>589</v>
      </c>
      <c r="F327" s="811">
        <v>0</v>
      </c>
    </row>
    <row r="328" spans="1:6">
      <c r="A328" s="811"/>
      <c r="B328" s="811"/>
      <c r="C328" s="815"/>
      <c r="D328" s="811"/>
      <c r="E328" s="811"/>
      <c r="F328" s="811" t="s">
        <v>534</v>
      </c>
    </row>
    <row r="329" spans="1:6">
      <c r="A329" s="811"/>
      <c r="B329" s="811"/>
      <c r="C329" s="815" t="s">
        <v>879</v>
      </c>
      <c r="D329" s="811"/>
      <c r="E329" s="811"/>
      <c r="F329" s="811">
        <v>3490.5403999999999</v>
      </c>
    </row>
    <row r="330" spans="1:6">
      <c r="A330" s="811"/>
      <c r="B330" s="811"/>
      <c r="C330" s="815"/>
      <c r="D330" s="811"/>
      <c r="E330" s="811"/>
      <c r="F330" s="811" t="s">
        <v>534</v>
      </c>
    </row>
    <row r="331" spans="1:6">
      <c r="A331" s="811"/>
      <c r="B331" s="811"/>
      <c r="C331" s="815" t="s">
        <v>881</v>
      </c>
      <c r="D331" s="811"/>
      <c r="E331" s="811"/>
      <c r="F331" s="811">
        <v>349.05403999999999</v>
      </c>
    </row>
    <row r="333" spans="1:6">
      <c r="A333" s="811" t="s">
        <v>2077</v>
      </c>
      <c r="B333" s="811" t="s">
        <v>307</v>
      </c>
      <c r="C333" s="815" t="s">
        <v>2078</v>
      </c>
      <c r="D333" s="811"/>
      <c r="E333" s="811"/>
      <c r="F333" s="811"/>
    </row>
    <row r="334" spans="1:6">
      <c r="A334" s="811"/>
      <c r="B334" s="811"/>
      <c r="C334" s="815" t="s">
        <v>534</v>
      </c>
      <c r="D334" s="811"/>
      <c r="E334" s="811"/>
      <c r="F334" s="811"/>
    </row>
    <row r="335" spans="1:6">
      <c r="A335" s="811">
        <v>0.14000000000000001</v>
      </c>
      <c r="B335" s="811" t="s">
        <v>577</v>
      </c>
      <c r="C335" s="815" t="s">
        <v>729</v>
      </c>
      <c r="D335" s="811">
        <v>3253.6699999999996</v>
      </c>
      <c r="E335" s="811" t="s">
        <v>577</v>
      </c>
      <c r="F335" s="811">
        <v>455.5138</v>
      </c>
    </row>
    <row r="336" spans="1:6">
      <c r="A336" s="811">
        <v>1.1000000000000001</v>
      </c>
      <c r="B336" s="811" t="s">
        <v>576</v>
      </c>
      <c r="C336" s="815" t="s">
        <v>778</v>
      </c>
      <c r="D336" s="811">
        <v>717.2</v>
      </c>
      <c r="E336" s="811" t="s">
        <v>576</v>
      </c>
      <c r="F336" s="811">
        <v>788.92000000000007</v>
      </c>
    </row>
    <row r="337" spans="1:6">
      <c r="A337" s="811">
        <v>0.5</v>
      </c>
      <c r="B337" s="811" t="s">
        <v>576</v>
      </c>
      <c r="C337" s="815" t="s">
        <v>754</v>
      </c>
      <c r="D337" s="811">
        <v>468.6</v>
      </c>
      <c r="E337" s="811" t="s">
        <v>576</v>
      </c>
      <c r="F337" s="811">
        <v>234.3</v>
      </c>
    </row>
    <row r="338" spans="1:6">
      <c r="A338" s="811">
        <v>1.1000000000000001</v>
      </c>
      <c r="B338" s="811" t="s">
        <v>576</v>
      </c>
      <c r="C338" s="815" t="s">
        <v>756</v>
      </c>
      <c r="D338" s="811">
        <v>404.8</v>
      </c>
      <c r="E338" s="811" t="s">
        <v>576</v>
      </c>
      <c r="F338" s="811">
        <v>445.28000000000003</v>
      </c>
    </row>
    <row r="339" spans="1:6">
      <c r="A339" s="811"/>
      <c r="B339" s="811" t="s">
        <v>589</v>
      </c>
      <c r="C339" s="815" t="s">
        <v>1945</v>
      </c>
      <c r="D339" s="811"/>
      <c r="E339" s="811" t="s">
        <v>589</v>
      </c>
      <c r="F339" s="811">
        <v>5</v>
      </c>
    </row>
    <row r="340" spans="1:6">
      <c r="A340" s="811"/>
      <c r="B340" s="811"/>
      <c r="C340" s="815"/>
      <c r="D340" s="811"/>
      <c r="E340" s="811"/>
      <c r="F340" s="811" t="s">
        <v>534</v>
      </c>
    </row>
    <row r="341" spans="1:6">
      <c r="A341" s="811"/>
      <c r="B341" s="811"/>
      <c r="C341" s="815" t="s">
        <v>879</v>
      </c>
      <c r="D341" s="811"/>
      <c r="E341" s="811"/>
      <c r="F341" s="811">
        <v>1929.0137999999999</v>
      </c>
    </row>
    <row r="342" spans="1:6">
      <c r="A342" s="811"/>
      <c r="B342" s="811"/>
      <c r="C342" s="815"/>
      <c r="D342" s="811"/>
      <c r="E342" s="811"/>
      <c r="F342" s="811" t="s">
        <v>534</v>
      </c>
    </row>
    <row r="343" spans="1:6">
      <c r="A343" s="811"/>
      <c r="B343" s="811"/>
      <c r="C343" s="815" t="s">
        <v>881</v>
      </c>
      <c r="D343" s="811"/>
      <c r="E343" s="811"/>
      <c r="F343" s="811">
        <v>192.90137999999999</v>
      </c>
    </row>
    <row r="344" spans="1:6">
      <c r="A344" s="811" t="s">
        <v>22</v>
      </c>
      <c r="B344" s="811"/>
      <c r="C344" s="815"/>
      <c r="D344" s="811"/>
      <c r="E344" s="811"/>
      <c r="F344" s="811"/>
    </row>
    <row r="345" spans="1:6">
      <c r="A345" s="811"/>
      <c r="B345" s="811"/>
      <c r="C345" s="815"/>
      <c r="D345" s="811"/>
      <c r="E345" s="811"/>
      <c r="F345" s="811" t="s">
        <v>528</v>
      </c>
    </row>
    <row r="346" spans="1:6">
      <c r="A346" s="811" t="s">
        <v>2087</v>
      </c>
      <c r="B346" s="811" t="s">
        <v>307</v>
      </c>
      <c r="C346" s="815" t="s">
        <v>2088</v>
      </c>
      <c r="D346" s="811"/>
      <c r="E346" s="811"/>
      <c r="F346" s="811"/>
    </row>
    <row r="347" spans="1:6">
      <c r="A347" s="811"/>
      <c r="B347" s="811"/>
      <c r="C347" s="815" t="s">
        <v>534</v>
      </c>
      <c r="D347" s="811"/>
      <c r="E347" s="811"/>
      <c r="F347" s="811"/>
    </row>
    <row r="348" spans="1:6">
      <c r="A348" s="811">
        <v>0.14000000000000001</v>
      </c>
      <c r="B348" s="811" t="s">
        <v>577</v>
      </c>
      <c r="C348" s="815" t="s">
        <v>702</v>
      </c>
      <c r="D348" s="811">
        <v>3667.67</v>
      </c>
      <c r="E348" s="811" t="s">
        <v>577</v>
      </c>
      <c r="F348" s="811">
        <v>513.4738000000001</v>
      </c>
    </row>
    <row r="349" spans="1:6">
      <c r="A349" s="811">
        <v>1.1000000000000001</v>
      </c>
      <c r="B349" s="811" t="s">
        <v>576</v>
      </c>
      <c r="C349" s="815" t="s">
        <v>778</v>
      </c>
      <c r="D349" s="811">
        <v>717.2</v>
      </c>
      <c r="E349" s="811" t="s">
        <v>576</v>
      </c>
      <c r="F349" s="811">
        <v>788.92000000000007</v>
      </c>
    </row>
    <row r="350" spans="1:6">
      <c r="A350" s="811">
        <v>0.5</v>
      </c>
      <c r="B350" s="811" t="s">
        <v>576</v>
      </c>
      <c r="C350" s="815" t="s">
        <v>754</v>
      </c>
      <c r="D350" s="811">
        <v>468.6</v>
      </c>
      <c r="E350" s="811" t="s">
        <v>576</v>
      </c>
      <c r="F350" s="811">
        <v>234.3</v>
      </c>
    </row>
    <row r="351" spans="1:6">
      <c r="A351" s="811">
        <v>1.1000000000000001</v>
      </c>
      <c r="B351" s="811" t="s">
        <v>576</v>
      </c>
      <c r="C351" s="815" t="s">
        <v>756</v>
      </c>
      <c r="D351" s="811">
        <v>404.8</v>
      </c>
      <c r="E351" s="811" t="s">
        <v>576</v>
      </c>
      <c r="F351" s="811">
        <v>445.28000000000003</v>
      </c>
    </row>
    <row r="352" spans="1:6">
      <c r="A352" s="811"/>
      <c r="B352" s="811" t="s">
        <v>589</v>
      </c>
      <c r="C352" s="815" t="s">
        <v>1945</v>
      </c>
      <c r="D352" s="811" t="s">
        <v>22</v>
      </c>
      <c r="E352" s="811" t="s">
        <v>589</v>
      </c>
      <c r="F352" s="811">
        <v>5</v>
      </c>
    </row>
    <row r="353" spans="1:6">
      <c r="A353" s="811"/>
      <c r="B353" s="811"/>
      <c r="C353" s="815"/>
      <c r="D353" s="811"/>
      <c r="E353" s="811"/>
      <c r="F353" s="811"/>
    </row>
    <row r="354" spans="1:6">
      <c r="A354" s="811"/>
      <c r="B354" s="811"/>
      <c r="C354" s="815"/>
      <c r="D354" s="811"/>
      <c r="E354" s="811"/>
      <c r="F354" s="811" t="s">
        <v>534</v>
      </c>
    </row>
    <row r="355" spans="1:6">
      <c r="A355" s="811"/>
      <c r="B355" s="811"/>
      <c r="C355" s="815" t="s">
        <v>879</v>
      </c>
      <c r="D355" s="811"/>
      <c r="E355" s="811"/>
      <c r="F355" s="811">
        <v>1986.9738000000002</v>
      </c>
    </row>
    <row r="356" spans="1:6">
      <c r="A356" s="811"/>
      <c r="B356" s="811"/>
      <c r="C356" s="815"/>
      <c r="D356" s="811"/>
      <c r="E356" s="811"/>
      <c r="F356" s="811" t="s">
        <v>534</v>
      </c>
    </row>
    <row r="357" spans="1:6">
      <c r="A357" s="811"/>
      <c r="B357" s="811"/>
      <c r="C357" s="815" t="s">
        <v>881</v>
      </c>
      <c r="D357" s="811"/>
      <c r="E357" s="811"/>
      <c r="F357" s="811">
        <v>198.69738000000001</v>
      </c>
    </row>
    <row r="358" spans="1:6">
      <c r="A358" s="811"/>
      <c r="B358" s="811"/>
      <c r="C358" s="815"/>
      <c r="D358" s="811"/>
      <c r="E358" s="811"/>
      <c r="F358" s="811" t="s">
        <v>528</v>
      </c>
    </row>
    <row r="359" spans="1:6">
      <c r="A359" s="811" t="s">
        <v>2093</v>
      </c>
      <c r="B359" s="811" t="s">
        <v>307</v>
      </c>
      <c r="C359" s="815" t="s">
        <v>2094</v>
      </c>
      <c r="D359" s="811"/>
      <c r="E359" s="811"/>
      <c r="F359" s="811"/>
    </row>
    <row r="360" spans="1:6">
      <c r="A360" s="811"/>
      <c r="B360" s="811"/>
      <c r="C360" s="815" t="s">
        <v>534</v>
      </c>
      <c r="D360" s="811"/>
      <c r="E360" s="811"/>
      <c r="F360" s="811"/>
    </row>
    <row r="361" spans="1:6">
      <c r="A361" s="811">
        <v>0.1</v>
      </c>
      <c r="B361" s="811" t="s">
        <v>577</v>
      </c>
      <c r="C361" s="815" t="s">
        <v>660</v>
      </c>
      <c r="D361" s="811">
        <v>4357.67</v>
      </c>
      <c r="E361" s="811" t="s">
        <v>577</v>
      </c>
      <c r="F361" s="811">
        <v>435.76700000000005</v>
      </c>
    </row>
    <row r="362" spans="1:6">
      <c r="A362" s="811">
        <v>1.1000000000000001</v>
      </c>
      <c r="B362" s="811" t="s">
        <v>576</v>
      </c>
      <c r="C362" s="815" t="s">
        <v>778</v>
      </c>
      <c r="D362" s="811">
        <v>717.2</v>
      </c>
      <c r="E362" s="811" t="s">
        <v>576</v>
      </c>
      <c r="F362" s="811">
        <v>788.92000000000007</v>
      </c>
    </row>
    <row r="363" spans="1:6">
      <c r="A363" s="811">
        <v>1.1000000000000001</v>
      </c>
      <c r="B363" s="811" t="s">
        <v>576</v>
      </c>
      <c r="C363" s="815" t="s">
        <v>754</v>
      </c>
      <c r="D363" s="811">
        <v>468.6</v>
      </c>
      <c r="E363" s="811" t="s">
        <v>576</v>
      </c>
      <c r="F363" s="811">
        <v>515.46</v>
      </c>
    </row>
    <row r="364" spans="1:6">
      <c r="A364" s="811">
        <v>1.1000000000000001</v>
      </c>
      <c r="B364" s="811" t="s">
        <v>576</v>
      </c>
      <c r="C364" s="815" t="s">
        <v>756</v>
      </c>
      <c r="D364" s="811">
        <v>404.8</v>
      </c>
      <c r="E364" s="811" t="s">
        <v>576</v>
      </c>
      <c r="F364" s="811">
        <v>445.28000000000003</v>
      </c>
    </row>
    <row r="365" spans="1:6">
      <c r="A365" s="811"/>
      <c r="B365" s="811" t="s">
        <v>589</v>
      </c>
      <c r="C365" s="815" t="s">
        <v>1945</v>
      </c>
      <c r="D365" s="811" t="s">
        <v>22</v>
      </c>
      <c r="E365" s="811" t="s">
        <v>589</v>
      </c>
      <c r="F365" s="811">
        <v>5</v>
      </c>
    </row>
    <row r="366" spans="1:6">
      <c r="A366" s="811"/>
      <c r="B366" s="811"/>
      <c r="C366" s="815"/>
      <c r="D366" s="811"/>
      <c r="E366" s="811"/>
      <c r="F366" s="811" t="s">
        <v>534</v>
      </c>
    </row>
    <row r="367" spans="1:6">
      <c r="A367" s="811"/>
      <c r="B367" s="811"/>
      <c r="C367" s="815" t="s">
        <v>879</v>
      </c>
      <c r="D367" s="811"/>
      <c r="E367" s="811"/>
      <c r="F367" s="811">
        <v>2190.4270000000001</v>
      </c>
    </row>
    <row r="368" spans="1:6">
      <c r="A368" s="811"/>
      <c r="B368" s="811"/>
      <c r="C368" s="815"/>
      <c r="D368" s="811"/>
      <c r="E368" s="811"/>
      <c r="F368" s="811" t="s">
        <v>534</v>
      </c>
    </row>
    <row r="369" spans="1:6">
      <c r="A369" s="811"/>
      <c r="B369" s="811"/>
      <c r="C369" s="815" t="s">
        <v>881</v>
      </c>
      <c r="D369" s="811"/>
      <c r="E369" s="811"/>
      <c r="F369" s="811">
        <v>219.04270000000002</v>
      </c>
    </row>
    <row r="370" spans="1:6">
      <c r="A370" s="811"/>
      <c r="B370" s="811"/>
      <c r="C370" s="815"/>
      <c r="D370" s="811"/>
      <c r="E370" s="811"/>
      <c r="F370" s="811" t="s">
        <v>528</v>
      </c>
    </row>
    <row r="371" spans="1:6">
      <c r="A371" s="811"/>
      <c r="B371" s="811"/>
      <c r="C371" s="815"/>
      <c r="D371" s="811"/>
      <c r="E371" s="811"/>
      <c r="F371" s="811"/>
    </row>
    <row r="372" spans="1:6">
      <c r="A372" s="811"/>
      <c r="B372" s="811" t="s">
        <v>307</v>
      </c>
      <c r="C372" s="815" t="s">
        <v>2098</v>
      </c>
      <c r="D372" s="811"/>
      <c r="E372" s="811"/>
      <c r="F372" s="811"/>
    </row>
    <row r="373" spans="1:6">
      <c r="A373" s="811"/>
      <c r="B373" s="811"/>
      <c r="C373" s="815" t="s">
        <v>2099</v>
      </c>
      <c r="D373" s="811"/>
      <c r="E373" s="811"/>
      <c r="F373" s="811"/>
    </row>
    <row r="374" spans="1:6">
      <c r="A374" s="811"/>
      <c r="B374" s="811"/>
      <c r="C374" s="815" t="s">
        <v>2100</v>
      </c>
      <c r="D374" s="811"/>
      <c r="E374" s="811"/>
      <c r="F374" s="811"/>
    </row>
    <row r="375" spans="1:6">
      <c r="A375" s="811"/>
      <c r="B375" s="811"/>
      <c r="C375" s="815" t="s">
        <v>534</v>
      </c>
      <c r="D375" s="811"/>
      <c r="E375" s="811"/>
      <c r="F375" s="811"/>
    </row>
    <row r="376" spans="1:6">
      <c r="A376" s="811">
        <v>0.14000000000000001</v>
      </c>
      <c r="B376" s="811" t="s">
        <v>577</v>
      </c>
      <c r="C376" s="815" t="s">
        <v>660</v>
      </c>
      <c r="D376" s="811">
        <v>4357.67</v>
      </c>
      <c r="E376" s="811" t="s">
        <v>577</v>
      </c>
      <c r="F376" s="811">
        <v>610.07380000000012</v>
      </c>
    </row>
    <row r="377" spans="1:6">
      <c r="A377" s="811">
        <v>1.1000000000000001</v>
      </c>
      <c r="B377" s="811" t="s">
        <v>576</v>
      </c>
      <c r="C377" s="815" t="s">
        <v>778</v>
      </c>
      <c r="D377" s="811">
        <v>717.2</v>
      </c>
      <c r="E377" s="811" t="s">
        <v>576</v>
      </c>
      <c r="F377" s="811">
        <v>788.92000000000007</v>
      </c>
    </row>
    <row r="378" spans="1:6">
      <c r="A378" s="811">
        <v>0.5</v>
      </c>
      <c r="B378" s="811" t="s">
        <v>576</v>
      </c>
      <c r="C378" s="815" t="s">
        <v>754</v>
      </c>
      <c r="D378" s="811">
        <v>468.6</v>
      </c>
      <c r="E378" s="811" t="s">
        <v>576</v>
      </c>
      <c r="F378" s="811">
        <v>234.3</v>
      </c>
    </row>
    <row r="379" spans="1:6">
      <c r="A379" s="811">
        <v>1.1000000000000001</v>
      </c>
      <c r="B379" s="811" t="s">
        <v>576</v>
      </c>
      <c r="C379" s="815" t="s">
        <v>756</v>
      </c>
      <c r="D379" s="811">
        <v>404.8</v>
      </c>
      <c r="E379" s="811" t="s">
        <v>576</v>
      </c>
      <c r="F379" s="811">
        <v>445.28000000000003</v>
      </c>
    </row>
    <row r="380" spans="1:6">
      <c r="A380" s="811">
        <v>2</v>
      </c>
      <c r="B380" s="811" t="s">
        <v>420</v>
      </c>
      <c r="C380" s="815" t="s">
        <v>2104</v>
      </c>
      <c r="D380" s="811">
        <v>41.5</v>
      </c>
      <c r="E380" s="811" t="s">
        <v>420</v>
      </c>
      <c r="F380" s="811">
        <v>83</v>
      </c>
    </row>
    <row r="381" spans="1:6">
      <c r="A381" s="811"/>
      <c r="B381" s="811" t="s">
        <v>589</v>
      </c>
      <c r="C381" s="815" t="s">
        <v>590</v>
      </c>
      <c r="D381" s="811" t="s">
        <v>22</v>
      </c>
      <c r="E381" s="811" t="s">
        <v>589</v>
      </c>
      <c r="F381" s="811">
        <v>0</v>
      </c>
    </row>
    <row r="382" spans="1:6">
      <c r="A382" s="811"/>
      <c r="B382" s="811"/>
      <c r="C382" s="815"/>
      <c r="D382" s="811"/>
      <c r="E382" s="811"/>
      <c r="F382" s="811" t="s">
        <v>534</v>
      </c>
    </row>
    <row r="383" spans="1:6">
      <c r="A383" s="811" t="s">
        <v>22</v>
      </c>
      <c r="B383" s="811"/>
      <c r="C383" s="815" t="s">
        <v>879</v>
      </c>
      <c r="D383" s="811"/>
      <c r="E383" s="811"/>
      <c r="F383" s="811">
        <v>2161.5738000000001</v>
      </c>
    </row>
    <row r="384" spans="1:6">
      <c r="A384" s="811"/>
      <c r="B384" s="811"/>
      <c r="C384" s="815"/>
      <c r="D384" s="811"/>
      <c r="E384" s="811"/>
      <c r="F384" s="811" t="s">
        <v>534</v>
      </c>
    </row>
    <row r="385" spans="1:6">
      <c r="A385" s="811"/>
      <c r="B385" s="811"/>
      <c r="C385" s="815" t="s">
        <v>881</v>
      </c>
      <c r="D385" s="811"/>
      <c r="E385" s="811"/>
      <c r="F385" s="811">
        <v>216.15738000000002</v>
      </c>
    </row>
    <row r="386" spans="1:6">
      <c r="A386" s="811"/>
      <c r="B386" s="811"/>
      <c r="C386" s="815"/>
      <c r="D386" s="811"/>
      <c r="E386" s="811"/>
      <c r="F386" s="811" t="s">
        <v>528</v>
      </c>
    </row>
    <row r="387" spans="1:6">
      <c r="A387" s="811"/>
      <c r="B387" s="811"/>
      <c r="C387" s="815" t="s">
        <v>22</v>
      </c>
      <c r="D387" s="811"/>
      <c r="E387" s="811"/>
      <c r="F387" s="811"/>
    </row>
    <row r="388" spans="1:6">
      <c r="A388" s="811"/>
      <c r="B388" s="811"/>
      <c r="C388" s="815"/>
      <c r="D388" s="811"/>
      <c r="E388" s="811"/>
      <c r="F388" s="811"/>
    </row>
    <row r="389" spans="1:6">
      <c r="A389" s="811" t="s">
        <v>2108</v>
      </c>
      <c r="B389" s="811" t="s">
        <v>307</v>
      </c>
      <c r="C389" s="815" t="s">
        <v>2109</v>
      </c>
      <c r="D389" s="811"/>
      <c r="E389" s="811"/>
      <c r="F389" s="811"/>
    </row>
    <row r="390" spans="1:6">
      <c r="A390" s="811"/>
      <c r="B390" s="811"/>
      <c r="C390" s="815" t="s">
        <v>2110</v>
      </c>
      <c r="D390" s="811"/>
      <c r="E390" s="811"/>
      <c r="F390" s="811"/>
    </row>
    <row r="391" spans="1:6">
      <c r="A391" s="811"/>
      <c r="B391" s="811"/>
      <c r="C391" s="815" t="s">
        <v>2112</v>
      </c>
      <c r="D391" s="811"/>
      <c r="E391" s="811"/>
      <c r="F391" s="811"/>
    </row>
    <row r="392" spans="1:6">
      <c r="A392" s="811"/>
      <c r="B392" s="811"/>
      <c r="C392" s="815" t="s">
        <v>2113</v>
      </c>
      <c r="D392" s="811"/>
      <c r="E392" s="811"/>
      <c r="F392" s="811"/>
    </row>
    <row r="393" spans="1:6">
      <c r="A393" s="811"/>
      <c r="B393" s="811"/>
      <c r="C393" s="815" t="s">
        <v>534</v>
      </c>
      <c r="D393" s="811" t="s">
        <v>534</v>
      </c>
      <c r="E393" s="811"/>
      <c r="F393" s="811"/>
    </row>
    <row r="394" spans="1:6">
      <c r="A394" s="811"/>
      <c r="B394" s="811" t="s">
        <v>1501</v>
      </c>
      <c r="C394" s="815" t="s">
        <v>2115</v>
      </c>
      <c r="D394" s="811"/>
      <c r="E394" s="811"/>
      <c r="F394" s="811"/>
    </row>
    <row r="395" spans="1:6">
      <c r="A395" s="811"/>
      <c r="B395" s="811" t="s">
        <v>534</v>
      </c>
      <c r="C395" s="815" t="s">
        <v>534</v>
      </c>
      <c r="D395" s="811"/>
      <c r="E395" s="811"/>
      <c r="F395" s="811"/>
    </row>
    <row r="396" spans="1:6">
      <c r="A396" s="814">
        <v>1.4E-2</v>
      </c>
      <c r="B396" s="811" t="s">
        <v>238</v>
      </c>
      <c r="C396" s="815" t="s">
        <v>2116</v>
      </c>
      <c r="D396" s="811">
        <v>3253.6699999999996</v>
      </c>
      <c r="E396" s="811" t="s">
        <v>238</v>
      </c>
      <c r="F396" s="811">
        <v>45.551379999999995</v>
      </c>
    </row>
    <row r="397" spans="1:6">
      <c r="A397" s="811">
        <v>0.3</v>
      </c>
      <c r="B397" s="811" t="s">
        <v>1261</v>
      </c>
      <c r="C397" s="815" t="s">
        <v>2117</v>
      </c>
      <c r="D397" s="811">
        <v>717.2</v>
      </c>
      <c r="E397" s="811" t="s">
        <v>1261</v>
      </c>
      <c r="F397" s="811">
        <v>215.16</v>
      </c>
    </row>
    <row r="398" spans="1:6">
      <c r="A398" s="811">
        <v>0.3</v>
      </c>
      <c r="B398" s="811" t="s">
        <v>1261</v>
      </c>
      <c r="C398" s="815" t="s">
        <v>1264</v>
      </c>
      <c r="D398" s="811">
        <v>468.6</v>
      </c>
      <c r="E398" s="811" t="s">
        <v>1261</v>
      </c>
      <c r="F398" s="811">
        <v>140.58000000000001</v>
      </c>
    </row>
    <row r="399" spans="1:6">
      <c r="A399" s="811"/>
      <c r="B399" s="811" t="s">
        <v>589</v>
      </c>
      <c r="C399" s="815" t="s">
        <v>1699</v>
      </c>
      <c r="D399" s="811"/>
      <c r="E399" s="811" t="s">
        <v>589</v>
      </c>
      <c r="F399" s="811">
        <v>0</v>
      </c>
    </row>
    <row r="400" spans="1:6">
      <c r="A400" s="811"/>
      <c r="B400" s="811"/>
      <c r="C400" s="815"/>
      <c r="D400" s="811"/>
      <c r="E400" s="811"/>
      <c r="F400" s="811" t="s">
        <v>534</v>
      </c>
    </row>
    <row r="401" spans="1:6">
      <c r="A401" s="811"/>
      <c r="B401" s="811"/>
      <c r="C401" s="815" t="s">
        <v>2119</v>
      </c>
      <c r="D401" s="811"/>
      <c r="E401" s="811"/>
      <c r="F401" s="811">
        <v>401.29138</v>
      </c>
    </row>
    <row r="402" spans="1:6">
      <c r="A402" s="811"/>
      <c r="B402" s="811"/>
      <c r="C402" s="815"/>
      <c r="D402" s="811"/>
      <c r="E402" s="811"/>
      <c r="F402" s="811" t="s">
        <v>534</v>
      </c>
    </row>
    <row r="403" spans="1:6">
      <c r="A403" s="811"/>
      <c r="B403" s="811"/>
      <c r="C403" s="815" t="s">
        <v>2120</v>
      </c>
      <c r="D403" s="811"/>
      <c r="E403" s="811"/>
      <c r="F403" s="811">
        <v>59.274945347119647</v>
      </c>
    </row>
    <row r="404" spans="1:6">
      <c r="A404" s="811" t="s">
        <v>22</v>
      </c>
      <c r="B404" s="811"/>
      <c r="C404" s="815"/>
      <c r="D404" s="811"/>
      <c r="E404" s="811"/>
      <c r="F404" s="811"/>
    </row>
    <row r="405" spans="1:6">
      <c r="A405" s="811"/>
      <c r="B405" s="811"/>
      <c r="C405" s="815"/>
      <c r="D405" s="811"/>
      <c r="E405" s="811"/>
      <c r="F405" s="811" t="s">
        <v>528</v>
      </c>
    </row>
    <row r="406" spans="1:6">
      <c r="A406" s="811"/>
      <c r="B406" s="811" t="s">
        <v>1530</v>
      </c>
      <c r="C406" s="815" t="s">
        <v>2121</v>
      </c>
      <c r="D406" s="811"/>
      <c r="E406" s="811"/>
      <c r="F406" s="811"/>
    </row>
    <row r="407" spans="1:6">
      <c r="A407" s="811"/>
      <c r="B407" s="811" t="s">
        <v>534</v>
      </c>
      <c r="C407" s="815" t="s">
        <v>534</v>
      </c>
      <c r="D407" s="811"/>
      <c r="E407" s="811"/>
      <c r="F407" s="811"/>
    </row>
    <row r="408" spans="1:6">
      <c r="A408" s="814">
        <v>7.0000000000000001E-3</v>
      </c>
      <c r="B408" s="811" t="s">
        <v>238</v>
      </c>
      <c r="C408" s="815" t="s">
        <v>2116</v>
      </c>
      <c r="D408" s="811">
        <v>3253.6699999999996</v>
      </c>
      <c r="E408" s="811" t="s">
        <v>238</v>
      </c>
      <c r="F408" s="811">
        <v>22.775689999999997</v>
      </c>
    </row>
    <row r="409" spans="1:6">
      <c r="A409" s="811">
        <v>0.2</v>
      </c>
      <c r="B409" s="811" t="s">
        <v>1261</v>
      </c>
      <c r="C409" s="815" t="s">
        <v>2117</v>
      </c>
      <c r="D409" s="811">
        <v>717.2</v>
      </c>
      <c r="E409" s="811" t="s">
        <v>1261</v>
      </c>
      <c r="F409" s="811">
        <v>143.44000000000003</v>
      </c>
    </row>
    <row r="410" spans="1:6">
      <c r="A410" s="811">
        <v>0.2</v>
      </c>
      <c r="B410" s="811" t="s">
        <v>1261</v>
      </c>
      <c r="C410" s="815" t="s">
        <v>1264</v>
      </c>
      <c r="D410" s="811">
        <v>468.6</v>
      </c>
      <c r="E410" s="811" t="s">
        <v>1261</v>
      </c>
      <c r="F410" s="811">
        <v>93.720000000000013</v>
      </c>
    </row>
    <row r="411" spans="1:6">
      <c r="A411" s="811"/>
      <c r="B411" s="811"/>
      <c r="C411" s="815" t="s">
        <v>1699</v>
      </c>
      <c r="D411" s="811"/>
      <c r="E411" s="811"/>
      <c r="F411" s="811">
        <v>0</v>
      </c>
    </row>
    <row r="412" spans="1:6">
      <c r="A412" s="811"/>
      <c r="B412" s="811"/>
      <c r="C412" s="815"/>
      <c r="D412" s="811"/>
      <c r="E412" s="811"/>
      <c r="F412" s="811" t="s">
        <v>534</v>
      </c>
    </row>
    <row r="413" spans="1:6">
      <c r="A413" s="811"/>
      <c r="B413" s="811"/>
      <c r="C413" s="815" t="s">
        <v>2119</v>
      </c>
      <c r="D413" s="811"/>
      <c r="E413" s="811"/>
      <c r="F413" s="811">
        <v>259.93569000000002</v>
      </c>
    </row>
    <row r="414" spans="1:6">
      <c r="A414" s="811"/>
      <c r="B414" s="811"/>
      <c r="C414" s="815"/>
      <c r="D414" s="811"/>
      <c r="E414" s="811"/>
      <c r="F414" s="811" t="s">
        <v>534</v>
      </c>
    </row>
    <row r="415" spans="1:6">
      <c r="A415" s="811"/>
      <c r="B415" s="811"/>
      <c r="C415" s="815" t="s">
        <v>2120</v>
      </c>
      <c r="D415" s="811"/>
      <c r="E415" s="811"/>
      <c r="F415" s="811">
        <v>38.395227474150673</v>
      </c>
    </row>
    <row r="416" spans="1:6">
      <c r="A416" s="811"/>
      <c r="B416" s="811"/>
      <c r="C416" s="815"/>
      <c r="D416" s="811"/>
      <c r="E416" s="811"/>
      <c r="F416" s="811" t="s">
        <v>528</v>
      </c>
    </row>
    <row r="417" spans="1:6">
      <c r="A417" s="811"/>
      <c r="B417" s="811"/>
      <c r="C417" s="815"/>
      <c r="D417" s="811"/>
      <c r="E417" s="811"/>
      <c r="F417" s="811"/>
    </row>
    <row r="418" spans="1:6">
      <c r="A418" s="811"/>
      <c r="B418" s="811"/>
      <c r="C418" s="815"/>
      <c r="D418" s="811"/>
      <c r="E418" s="811"/>
      <c r="F418" s="811"/>
    </row>
    <row r="419" spans="1:6">
      <c r="A419" s="811"/>
      <c r="B419" s="811" t="s">
        <v>1563</v>
      </c>
      <c r="C419" s="815" t="s">
        <v>2124</v>
      </c>
      <c r="D419" s="811"/>
      <c r="E419" s="811"/>
      <c r="F419" s="811"/>
    </row>
    <row r="420" spans="1:6">
      <c r="A420" s="811"/>
      <c r="B420" s="811" t="s">
        <v>534</v>
      </c>
      <c r="C420" s="815" t="s">
        <v>534</v>
      </c>
      <c r="D420" s="811"/>
      <c r="E420" s="811"/>
      <c r="F420" s="811"/>
    </row>
    <row r="421" spans="1:6">
      <c r="A421" s="814">
        <v>4.7000000000000002E-3</v>
      </c>
      <c r="B421" s="811" t="s">
        <v>238</v>
      </c>
      <c r="C421" s="815" t="s">
        <v>2116</v>
      </c>
      <c r="D421" s="811">
        <v>3253.6699999999996</v>
      </c>
      <c r="E421" s="811" t="s">
        <v>238</v>
      </c>
      <c r="F421" s="811">
        <v>15.292248999999998</v>
      </c>
    </row>
    <row r="422" spans="1:6">
      <c r="A422" s="811">
        <v>0.15</v>
      </c>
      <c r="B422" s="811" t="s">
        <v>1261</v>
      </c>
      <c r="C422" s="815" t="s">
        <v>2117</v>
      </c>
      <c r="D422" s="811">
        <v>717.2</v>
      </c>
      <c r="E422" s="811" t="s">
        <v>1261</v>
      </c>
      <c r="F422" s="811">
        <v>107.58</v>
      </c>
    </row>
    <row r="423" spans="1:6">
      <c r="A423" s="811">
        <v>0.15</v>
      </c>
      <c r="B423" s="811" t="s">
        <v>1261</v>
      </c>
      <c r="C423" s="815" t="s">
        <v>1264</v>
      </c>
      <c r="D423" s="811">
        <v>468.6</v>
      </c>
      <c r="E423" s="811" t="s">
        <v>1261</v>
      </c>
      <c r="F423" s="811">
        <v>70.290000000000006</v>
      </c>
    </row>
    <row r="424" spans="1:6">
      <c r="A424" s="811"/>
      <c r="B424" s="811"/>
      <c r="C424" s="815" t="s">
        <v>1699</v>
      </c>
      <c r="D424" s="811"/>
      <c r="E424" s="811"/>
      <c r="F424" s="811">
        <v>0</v>
      </c>
    </row>
    <row r="425" spans="1:6">
      <c r="A425" s="811"/>
      <c r="B425" s="811"/>
      <c r="C425" s="815"/>
      <c r="D425" s="811"/>
      <c r="E425" s="811"/>
      <c r="F425" s="811" t="s">
        <v>534</v>
      </c>
    </row>
    <row r="426" spans="1:6">
      <c r="A426" s="811"/>
      <c r="B426" s="811"/>
      <c r="C426" s="815" t="s">
        <v>2119</v>
      </c>
      <c r="D426" s="811"/>
      <c r="E426" s="811"/>
      <c r="F426" s="811">
        <v>193.162249</v>
      </c>
    </row>
    <row r="427" spans="1:6">
      <c r="A427" s="811"/>
      <c r="B427" s="811"/>
      <c r="C427" s="815"/>
      <c r="D427" s="811"/>
      <c r="E427" s="811"/>
      <c r="F427" s="811" t="s">
        <v>534</v>
      </c>
    </row>
    <row r="428" spans="1:6">
      <c r="A428" s="811"/>
      <c r="B428" s="811"/>
      <c r="C428" s="815" t="s">
        <v>2120</v>
      </c>
      <c r="D428" s="811"/>
      <c r="E428" s="811"/>
      <c r="F428" s="811">
        <v>28.532089955686857</v>
      </c>
    </row>
    <row r="429" spans="1:6">
      <c r="A429" s="811"/>
      <c r="B429" s="811"/>
      <c r="C429" s="815"/>
      <c r="D429" s="811"/>
      <c r="E429" s="811"/>
      <c r="F429" s="811" t="s">
        <v>528</v>
      </c>
    </row>
    <row r="430" spans="1:6">
      <c r="A430" s="811"/>
      <c r="B430" s="811"/>
      <c r="C430" s="815"/>
      <c r="D430" s="811"/>
      <c r="E430" s="811"/>
      <c r="F430" s="811"/>
    </row>
    <row r="431" spans="1:6">
      <c r="A431" s="867">
        <v>37.1</v>
      </c>
      <c r="B431" s="811" t="s">
        <v>307</v>
      </c>
      <c r="C431" s="815" t="s">
        <v>2126</v>
      </c>
      <c r="D431" s="811"/>
      <c r="E431" s="811"/>
      <c r="F431" s="811"/>
    </row>
    <row r="432" spans="1:6">
      <c r="A432" s="811"/>
      <c r="B432" s="811"/>
      <c r="C432" s="815" t="s">
        <v>534</v>
      </c>
      <c r="D432" s="811"/>
      <c r="E432" s="811"/>
      <c r="F432" s="811"/>
    </row>
    <row r="433" spans="1:6">
      <c r="A433" s="811">
        <v>0.09</v>
      </c>
      <c r="B433" s="811" t="s">
        <v>577</v>
      </c>
      <c r="C433" s="815" t="s">
        <v>815</v>
      </c>
      <c r="D433" s="811">
        <v>1272</v>
      </c>
      <c r="E433" s="811" t="s">
        <v>577</v>
      </c>
      <c r="F433" s="811">
        <v>114.47999999999999</v>
      </c>
    </row>
    <row r="434" spans="1:6">
      <c r="A434" s="811">
        <v>2.2000000000000002</v>
      </c>
      <c r="B434" s="811" t="s">
        <v>576</v>
      </c>
      <c r="C434" s="815" t="s">
        <v>752</v>
      </c>
      <c r="D434" s="811">
        <v>669.90000000000009</v>
      </c>
      <c r="E434" s="811" t="s">
        <v>576</v>
      </c>
      <c r="F434" s="811">
        <v>1473.7800000000004</v>
      </c>
    </row>
    <row r="435" spans="1:6">
      <c r="A435" s="811">
        <v>0.5</v>
      </c>
      <c r="B435" s="811" t="s">
        <v>576</v>
      </c>
      <c r="C435" s="815" t="s">
        <v>754</v>
      </c>
      <c r="D435" s="811">
        <v>468.6</v>
      </c>
      <c r="E435" s="811" t="s">
        <v>576</v>
      </c>
      <c r="F435" s="811">
        <v>234.3</v>
      </c>
    </row>
    <row r="436" spans="1:6">
      <c r="A436" s="811">
        <v>3.8</v>
      </c>
      <c r="B436" s="811" t="s">
        <v>576</v>
      </c>
      <c r="C436" s="815" t="s">
        <v>756</v>
      </c>
      <c r="D436" s="811">
        <v>404.8</v>
      </c>
      <c r="E436" s="811" t="s">
        <v>576</v>
      </c>
      <c r="F436" s="811">
        <v>1538.24</v>
      </c>
    </row>
    <row r="437" spans="1:6">
      <c r="A437" s="811"/>
      <c r="B437" s="811" t="s">
        <v>589</v>
      </c>
      <c r="C437" s="815" t="s">
        <v>2128</v>
      </c>
      <c r="D437" s="811" t="s">
        <v>22</v>
      </c>
      <c r="E437" s="811" t="s">
        <v>589</v>
      </c>
      <c r="F437" s="811">
        <v>1.5</v>
      </c>
    </row>
    <row r="438" spans="1:6">
      <c r="A438" s="811"/>
      <c r="B438" s="811"/>
      <c r="C438" s="815"/>
      <c r="D438" s="811"/>
      <c r="E438" s="811"/>
      <c r="F438" s="811" t="s">
        <v>534</v>
      </c>
    </row>
    <row r="439" spans="1:6">
      <c r="A439" s="811"/>
      <c r="B439" s="811"/>
      <c r="C439" s="815" t="s">
        <v>1079</v>
      </c>
      <c r="D439" s="811"/>
      <c r="E439" s="811"/>
      <c r="F439" s="811">
        <v>3362.3</v>
      </c>
    </row>
    <row r="440" spans="1:6">
      <c r="A440" s="811"/>
      <c r="B440" s="811"/>
      <c r="C440" s="815"/>
      <c r="D440" s="811"/>
      <c r="E440" s="811"/>
      <c r="F440" s="811" t="s">
        <v>534</v>
      </c>
    </row>
    <row r="441" spans="1:6">
      <c r="A441" s="811"/>
      <c r="B441" s="811"/>
      <c r="C441" s="815" t="s">
        <v>881</v>
      </c>
      <c r="D441" s="811"/>
      <c r="E441" s="811"/>
      <c r="F441" s="811">
        <v>33.623000000000005</v>
      </c>
    </row>
    <row r="442" spans="1:6">
      <c r="A442" s="811"/>
      <c r="B442" s="811"/>
      <c r="C442" s="815"/>
      <c r="D442" s="811"/>
      <c r="E442" s="811"/>
      <c r="F442" s="811" t="s">
        <v>528</v>
      </c>
    </row>
    <row r="443" spans="1:6">
      <c r="A443" s="811"/>
      <c r="B443" s="811"/>
      <c r="C443" s="815"/>
      <c r="D443" s="811"/>
      <c r="E443" s="811"/>
      <c r="F443" s="811" t="s">
        <v>528</v>
      </c>
    </row>
    <row r="444" spans="1:6">
      <c r="A444" s="811" t="s">
        <v>2016</v>
      </c>
      <c r="B444" s="811" t="s">
        <v>307</v>
      </c>
      <c r="C444" s="815" t="s">
        <v>2144</v>
      </c>
      <c r="D444" s="811"/>
      <c r="E444" s="811"/>
      <c r="F444" s="811"/>
    </row>
    <row r="445" spans="1:6">
      <c r="A445" s="811"/>
      <c r="B445" s="811"/>
      <c r="C445" s="815" t="s">
        <v>2145</v>
      </c>
      <c r="D445" s="811"/>
      <c r="E445" s="811"/>
      <c r="F445" s="811"/>
    </row>
    <row r="446" spans="1:6" ht="31.5">
      <c r="A446" s="811"/>
      <c r="B446" s="811"/>
      <c r="C446" s="815" t="s">
        <v>2146</v>
      </c>
      <c r="D446" s="811"/>
      <c r="E446" s="811"/>
      <c r="F446" s="811"/>
    </row>
    <row r="447" spans="1:6">
      <c r="A447" s="811"/>
      <c r="B447" s="811"/>
      <c r="C447" s="815" t="s">
        <v>534</v>
      </c>
      <c r="D447" s="811"/>
      <c r="E447" s="811"/>
      <c r="F447" s="811"/>
    </row>
    <row r="448" spans="1:6">
      <c r="A448" s="811">
        <v>1.44</v>
      </c>
      <c r="B448" s="811" t="s">
        <v>2006</v>
      </c>
      <c r="C448" s="815" t="s">
        <v>2148</v>
      </c>
      <c r="D448" s="811">
        <v>143.30000000000001</v>
      </c>
      <c r="E448" s="811" t="s">
        <v>2006</v>
      </c>
      <c r="F448" s="811">
        <v>206.352</v>
      </c>
    </row>
    <row r="449" spans="1:6">
      <c r="A449" s="811">
        <v>0.7</v>
      </c>
      <c r="B449" s="811" t="s">
        <v>680</v>
      </c>
      <c r="C449" s="815" t="s">
        <v>2008</v>
      </c>
      <c r="D449" s="811">
        <v>574.20000000000005</v>
      </c>
      <c r="E449" s="811" t="s">
        <v>680</v>
      </c>
      <c r="F449" s="811">
        <v>401.94</v>
      </c>
    </row>
    <row r="450" spans="1:6">
      <c r="A450" s="811">
        <v>2.5499999999999998</v>
      </c>
      <c r="B450" s="811" t="s">
        <v>2006</v>
      </c>
      <c r="C450" s="815" t="s">
        <v>2150</v>
      </c>
      <c r="D450" s="811">
        <v>232</v>
      </c>
      <c r="E450" s="811" t="s">
        <v>2006</v>
      </c>
      <c r="F450" s="811">
        <v>591.59999999999991</v>
      </c>
    </row>
    <row r="451" spans="1:6">
      <c r="A451" s="811">
        <v>1.2</v>
      </c>
      <c r="B451" s="811" t="s">
        <v>680</v>
      </c>
      <c r="C451" s="815" t="s">
        <v>2008</v>
      </c>
      <c r="D451" s="811">
        <v>574.20000000000005</v>
      </c>
      <c r="E451" s="811" t="s">
        <v>680</v>
      </c>
      <c r="F451" s="811">
        <v>689.04000000000008</v>
      </c>
    </row>
    <row r="452" spans="1:6">
      <c r="A452" s="811"/>
      <c r="B452" s="811" t="s">
        <v>589</v>
      </c>
      <c r="C452" s="815" t="s">
        <v>1914</v>
      </c>
      <c r="D452" s="811" t="s">
        <v>22</v>
      </c>
      <c r="E452" s="811" t="s">
        <v>589</v>
      </c>
      <c r="F452" s="811">
        <v>1.5</v>
      </c>
    </row>
    <row r="453" spans="1:6">
      <c r="A453" s="811"/>
      <c r="B453" s="811"/>
      <c r="C453" s="815"/>
      <c r="D453" s="811"/>
      <c r="E453" s="811"/>
      <c r="F453" s="811" t="s">
        <v>534</v>
      </c>
    </row>
    <row r="454" spans="1:6">
      <c r="A454" s="811"/>
      <c r="B454" s="811"/>
      <c r="C454" s="815" t="s">
        <v>879</v>
      </c>
      <c r="D454" s="811"/>
      <c r="E454" s="811"/>
      <c r="F454" s="811">
        <v>1890.4319999999998</v>
      </c>
    </row>
    <row r="455" spans="1:6">
      <c r="A455" s="811"/>
      <c r="B455" s="811"/>
      <c r="C455" s="815"/>
      <c r="D455" s="811"/>
      <c r="E455" s="811"/>
      <c r="F455" s="811" t="s">
        <v>534</v>
      </c>
    </row>
    <row r="456" spans="1:6">
      <c r="A456" s="811"/>
      <c r="B456" s="811"/>
      <c r="C456" s="815" t="s">
        <v>881</v>
      </c>
      <c r="D456" s="811"/>
      <c r="E456" s="811"/>
      <c r="F456" s="811">
        <v>189.04319999999998</v>
      </c>
    </row>
    <row r="457" spans="1:6">
      <c r="A457" s="811" t="s">
        <v>22</v>
      </c>
      <c r="B457" s="811"/>
      <c r="C457" s="815"/>
      <c r="D457" s="811"/>
      <c r="E457" s="811"/>
      <c r="F457" s="811"/>
    </row>
    <row r="458" spans="1:6">
      <c r="A458" s="811"/>
      <c r="B458" s="811"/>
      <c r="C458" s="815"/>
      <c r="D458" s="811"/>
      <c r="E458" s="811"/>
      <c r="F458" s="811" t="s">
        <v>528</v>
      </c>
    </row>
    <row r="459" spans="1:6">
      <c r="A459" s="812">
        <v>41</v>
      </c>
      <c r="B459" s="811" t="s">
        <v>307</v>
      </c>
      <c r="C459" s="815" t="s">
        <v>2159</v>
      </c>
      <c r="D459" s="811"/>
      <c r="E459" s="811"/>
      <c r="F459" s="811"/>
    </row>
    <row r="460" spans="1:6">
      <c r="A460" s="811"/>
      <c r="B460" s="811"/>
      <c r="C460" s="815" t="s">
        <v>2161</v>
      </c>
      <c r="D460" s="811"/>
      <c r="E460" s="811"/>
      <c r="F460" s="811"/>
    </row>
    <row r="461" spans="1:6">
      <c r="A461" s="811"/>
      <c r="B461" s="811"/>
      <c r="C461" s="815" t="s">
        <v>2162</v>
      </c>
      <c r="D461" s="811"/>
      <c r="E461" s="811"/>
      <c r="F461" s="811"/>
    </row>
    <row r="462" spans="1:6">
      <c r="A462" s="811"/>
      <c r="B462" s="811"/>
      <c r="C462" s="815" t="s">
        <v>534</v>
      </c>
      <c r="D462" s="811"/>
      <c r="E462" s="811"/>
      <c r="F462" s="811"/>
    </row>
    <row r="463" spans="1:6">
      <c r="A463" s="811">
        <v>2.2200000000000002</v>
      </c>
      <c r="B463" s="811" t="s">
        <v>2006</v>
      </c>
      <c r="C463" s="815" t="s">
        <v>2150</v>
      </c>
      <c r="D463" s="811">
        <v>221</v>
      </c>
      <c r="E463" s="811" t="s">
        <v>2006</v>
      </c>
      <c r="F463" s="811">
        <v>490.62000000000006</v>
      </c>
    </row>
    <row r="464" spans="1:6">
      <c r="A464" s="811">
        <v>1.1000000000000001</v>
      </c>
      <c r="B464" s="811" t="s">
        <v>680</v>
      </c>
      <c r="C464" s="815" t="s">
        <v>2008</v>
      </c>
      <c r="D464" s="811">
        <v>574.20000000000005</v>
      </c>
      <c r="E464" s="811" t="s">
        <v>680</v>
      </c>
      <c r="F464" s="811">
        <v>631.62000000000012</v>
      </c>
    </row>
    <row r="465" spans="1:6">
      <c r="A465" s="811"/>
      <c r="B465" s="811" t="s">
        <v>589</v>
      </c>
      <c r="C465" s="815" t="s">
        <v>1914</v>
      </c>
      <c r="D465" s="811" t="s">
        <v>22</v>
      </c>
      <c r="E465" s="811" t="s">
        <v>589</v>
      </c>
      <c r="F465" s="811">
        <v>1.5</v>
      </c>
    </row>
    <row r="466" spans="1:6">
      <c r="A466" s="811"/>
      <c r="B466" s="811"/>
      <c r="C466" s="815"/>
      <c r="D466" s="811"/>
      <c r="E466" s="811"/>
      <c r="F466" s="811" t="s">
        <v>534</v>
      </c>
    </row>
    <row r="467" spans="1:6">
      <c r="A467" s="811"/>
      <c r="B467" s="811"/>
      <c r="C467" s="815" t="s">
        <v>879</v>
      </c>
      <c r="D467" s="811"/>
      <c r="E467" s="811"/>
      <c r="F467" s="811">
        <v>1123.7400000000002</v>
      </c>
    </row>
    <row r="468" spans="1:6">
      <c r="A468" s="811"/>
      <c r="B468" s="811"/>
      <c r="C468" s="815"/>
      <c r="D468" s="811"/>
      <c r="E468" s="811"/>
      <c r="F468" s="811" t="s">
        <v>534</v>
      </c>
    </row>
    <row r="469" spans="1:6" ht="17.25" customHeight="1">
      <c r="A469" s="811"/>
      <c r="B469" s="811"/>
      <c r="C469" s="815" t="s">
        <v>881</v>
      </c>
      <c r="D469" s="811"/>
      <c r="E469" s="811"/>
      <c r="F469" s="811">
        <v>112.37400000000002</v>
      </c>
    </row>
    <row r="470" spans="1:6">
      <c r="A470" s="816"/>
      <c r="B470" s="811"/>
      <c r="C470" s="815" t="s">
        <v>22</v>
      </c>
      <c r="D470" s="811"/>
      <c r="E470" s="811"/>
      <c r="F470" s="811" t="s">
        <v>22</v>
      </c>
    </row>
    <row r="471" spans="1:6">
      <c r="A471" s="816" t="s">
        <v>2189</v>
      </c>
      <c r="B471" s="811" t="s">
        <v>1501</v>
      </c>
      <c r="C471" s="815" t="s">
        <v>2177</v>
      </c>
      <c r="D471" s="811"/>
      <c r="E471" s="811"/>
      <c r="F471" s="811"/>
    </row>
    <row r="472" spans="1:6" ht="31.5">
      <c r="A472" s="816"/>
      <c r="B472" s="811"/>
      <c r="C472" s="815" t="s">
        <v>2191</v>
      </c>
      <c r="D472" s="811"/>
      <c r="E472" s="811"/>
      <c r="F472" s="811"/>
    </row>
    <row r="473" spans="1:6">
      <c r="A473" s="816"/>
      <c r="B473" s="811"/>
      <c r="C473" s="815" t="s">
        <v>534</v>
      </c>
      <c r="D473" s="811"/>
      <c r="E473" s="811"/>
      <c r="F473" s="811"/>
    </row>
    <row r="474" spans="1:6">
      <c r="A474" s="811">
        <v>1</v>
      </c>
      <c r="B474" s="811" t="s">
        <v>2179</v>
      </c>
      <c r="C474" s="815" t="s">
        <v>2180</v>
      </c>
      <c r="D474" s="811">
        <v>45000</v>
      </c>
      <c r="E474" s="811" t="s">
        <v>47</v>
      </c>
      <c r="F474" s="811">
        <v>4500</v>
      </c>
    </row>
    <row r="475" spans="1:6">
      <c r="A475" s="816">
        <v>0.01</v>
      </c>
      <c r="B475" s="811" t="s">
        <v>2179</v>
      </c>
      <c r="C475" s="815" t="s">
        <v>2181</v>
      </c>
      <c r="D475" s="811">
        <v>43750</v>
      </c>
      <c r="E475" s="811" t="s">
        <v>47</v>
      </c>
      <c r="F475" s="811">
        <v>43.75</v>
      </c>
    </row>
    <row r="476" spans="1:6">
      <c r="A476" s="816">
        <v>3.5</v>
      </c>
      <c r="B476" s="811" t="s">
        <v>680</v>
      </c>
      <c r="C476" s="815" t="s">
        <v>2182</v>
      </c>
      <c r="D476" s="811">
        <v>622.6</v>
      </c>
      <c r="E476" s="811" t="s">
        <v>680</v>
      </c>
      <c r="F476" s="811">
        <v>2179.1</v>
      </c>
    </row>
    <row r="477" spans="1:6">
      <c r="A477" s="816"/>
      <c r="B477" s="811" t="s">
        <v>589</v>
      </c>
      <c r="C477" s="815" t="s">
        <v>590</v>
      </c>
      <c r="D477" s="811"/>
      <c r="E477" s="811" t="s">
        <v>589</v>
      </c>
      <c r="F477" s="811">
        <v>0</v>
      </c>
    </row>
    <row r="478" spans="1:6">
      <c r="A478" s="811"/>
      <c r="B478" s="811"/>
      <c r="C478" s="815"/>
      <c r="D478" s="811"/>
      <c r="E478" s="811"/>
      <c r="F478" s="811" t="s">
        <v>534</v>
      </c>
    </row>
    <row r="479" spans="1:6">
      <c r="A479" s="811"/>
      <c r="B479" s="811"/>
      <c r="C479" s="815" t="s">
        <v>2185</v>
      </c>
      <c r="D479" s="811"/>
      <c r="E479" s="811"/>
      <c r="F479" s="811">
        <v>6722.85</v>
      </c>
    </row>
    <row r="480" spans="1:6">
      <c r="A480" s="811"/>
      <c r="B480" s="811"/>
      <c r="C480" s="815"/>
      <c r="D480" s="811"/>
      <c r="E480" s="811"/>
      <c r="F480" s="811" t="s">
        <v>534</v>
      </c>
    </row>
    <row r="481" spans="1:6">
      <c r="A481" s="811"/>
      <c r="B481" s="811"/>
      <c r="C481" s="815" t="s">
        <v>2186</v>
      </c>
      <c r="D481" s="811"/>
      <c r="E481" s="811"/>
      <c r="F481" s="811">
        <v>67228.5</v>
      </c>
    </row>
    <row r="482" spans="1:6">
      <c r="A482" s="811"/>
      <c r="B482" s="811"/>
      <c r="C482" s="815" t="s">
        <v>22</v>
      </c>
      <c r="D482" s="811"/>
      <c r="E482" s="811"/>
      <c r="F482" s="811" t="s">
        <v>22</v>
      </c>
    </row>
    <row r="483" spans="1:6">
      <c r="A483" s="811"/>
      <c r="B483" s="811" t="s">
        <v>1530</v>
      </c>
      <c r="C483" s="815" t="s">
        <v>2177</v>
      </c>
      <c r="D483" s="811"/>
      <c r="E483" s="811"/>
      <c r="F483" s="811"/>
    </row>
    <row r="484" spans="1:6" ht="31.5">
      <c r="A484" s="811"/>
      <c r="B484" s="811"/>
      <c r="C484" s="815" t="s">
        <v>2193</v>
      </c>
      <c r="D484" s="811"/>
      <c r="E484" s="811"/>
      <c r="F484" s="811"/>
    </row>
    <row r="485" spans="1:6">
      <c r="A485" s="816"/>
      <c r="B485" s="811"/>
      <c r="C485" s="815" t="s">
        <v>534</v>
      </c>
      <c r="D485" s="811"/>
      <c r="E485" s="811"/>
      <c r="F485" s="811"/>
    </row>
    <row r="486" spans="1:6">
      <c r="A486" s="811">
        <v>1</v>
      </c>
      <c r="B486" s="811" t="s">
        <v>2179</v>
      </c>
      <c r="C486" s="815" t="s">
        <v>2188</v>
      </c>
      <c r="D486" s="811">
        <v>45000</v>
      </c>
      <c r="E486" s="811" t="s">
        <v>47</v>
      </c>
      <c r="F486" s="811">
        <v>4500</v>
      </c>
    </row>
    <row r="487" spans="1:6">
      <c r="A487" s="816">
        <v>0.01</v>
      </c>
      <c r="B487" s="811" t="s">
        <v>2179</v>
      </c>
      <c r="C487" s="815" t="s">
        <v>2181</v>
      </c>
      <c r="D487" s="811">
        <v>43750</v>
      </c>
      <c r="E487" s="811" t="s">
        <v>47</v>
      </c>
      <c r="F487" s="811">
        <v>43.75</v>
      </c>
    </row>
    <row r="488" spans="1:6">
      <c r="A488" s="816">
        <v>3.5</v>
      </c>
      <c r="B488" s="811" t="s">
        <v>680</v>
      </c>
      <c r="C488" s="815" t="s">
        <v>2182</v>
      </c>
      <c r="D488" s="811">
        <v>622.6</v>
      </c>
      <c r="E488" s="811" t="s">
        <v>680</v>
      </c>
      <c r="F488" s="811">
        <v>2179.1</v>
      </c>
    </row>
    <row r="489" spans="1:6">
      <c r="A489" s="816"/>
      <c r="B489" s="811" t="s">
        <v>589</v>
      </c>
      <c r="C489" s="815" t="s">
        <v>590</v>
      </c>
      <c r="D489" s="811"/>
      <c r="E489" s="811" t="s">
        <v>589</v>
      </c>
      <c r="F489" s="811">
        <v>0</v>
      </c>
    </row>
    <row r="490" spans="1:6">
      <c r="A490" s="811"/>
      <c r="B490" s="811"/>
      <c r="C490" s="815"/>
      <c r="D490" s="811"/>
      <c r="E490" s="811"/>
      <c r="F490" s="811" t="s">
        <v>534</v>
      </c>
    </row>
    <row r="491" spans="1:6">
      <c r="A491" s="811"/>
      <c r="B491" s="811"/>
      <c r="C491" s="815" t="s">
        <v>2185</v>
      </c>
      <c r="D491" s="811"/>
      <c r="E491" s="811"/>
      <c r="F491" s="811">
        <v>6722.85</v>
      </c>
    </row>
    <row r="492" spans="1:6">
      <c r="A492" s="811"/>
      <c r="B492" s="811"/>
      <c r="C492" s="815"/>
      <c r="D492" s="811"/>
      <c r="E492" s="811"/>
      <c r="F492" s="811" t="s">
        <v>534</v>
      </c>
    </row>
    <row r="493" spans="1:6">
      <c r="A493" s="811"/>
      <c r="B493" s="811"/>
      <c r="C493" s="815" t="s">
        <v>2186</v>
      </c>
      <c r="D493" s="811"/>
      <c r="E493" s="811"/>
      <c r="F493" s="811">
        <v>67228.5</v>
      </c>
    </row>
    <row r="494" spans="1:6">
      <c r="A494" s="811"/>
      <c r="B494" s="811"/>
      <c r="C494" s="815" t="s">
        <v>22</v>
      </c>
      <c r="D494" s="811"/>
      <c r="E494" s="811"/>
      <c r="F494" s="811"/>
    </row>
    <row r="495" spans="1:6">
      <c r="A495" s="867">
        <v>44.1</v>
      </c>
      <c r="B495" s="811" t="s">
        <v>307</v>
      </c>
      <c r="C495" s="815" t="s">
        <v>2194</v>
      </c>
      <c r="D495" s="811"/>
      <c r="E495" s="811"/>
      <c r="F495" s="811"/>
    </row>
    <row r="496" spans="1:6">
      <c r="A496" s="811"/>
      <c r="B496" s="811"/>
      <c r="C496" s="815" t="s">
        <v>2195</v>
      </c>
      <c r="D496" s="811"/>
      <c r="E496" s="811"/>
      <c r="F496" s="811"/>
    </row>
    <row r="497" spans="1:6">
      <c r="A497" s="811"/>
      <c r="B497" s="811"/>
      <c r="C497" s="815" t="s">
        <v>3404</v>
      </c>
      <c r="D497" s="811"/>
      <c r="E497" s="811"/>
      <c r="F497" s="811"/>
    </row>
    <row r="498" spans="1:6">
      <c r="A498" s="811"/>
      <c r="B498" s="811"/>
      <c r="C498" s="815" t="s">
        <v>534</v>
      </c>
      <c r="D498" s="811"/>
      <c r="E498" s="811"/>
      <c r="F498" s="811"/>
    </row>
    <row r="499" spans="1:6">
      <c r="A499" s="811">
        <v>3</v>
      </c>
      <c r="B499" s="811" t="s">
        <v>410</v>
      </c>
      <c r="C499" s="815" t="s">
        <v>2197</v>
      </c>
      <c r="D499" s="811">
        <v>120.54</v>
      </c>
      <c r="E499" s="811" t="s">
        <v>410</v>
      </c>
      <c r="F499" s="811">
        <v>361.62</v>
      </c>
    </row>
    <row r="500" spans="1:6">
      <c r="A500" s="811">
        <v>1</v>
      </c>
      <c r="B500" s="811" t="s">
        <v>576</v>
      </c>
      <c r="C500" s="815" t="s">
        <v>2198</v>
      </c>
      <c r="D500" s="811">
        <v>76</v>
      </c>
      <c r="E500" s="811" t="s">
        <v>576</v>
      </c>
      <c r="F500" s="811">
        <v>76</v>
      </c>
    </row>
    <row r="501" spans="1:6">
      <c r="A501" s="811">
        <v>1</v>
      </c>
      <c r="B501" s="811" t="s">
        <v>576</v>
      </c>
      <c r="C501" s="815" t="s">
        <v>2199</v>
      </c>
      <c r="D501" s="811">
        <v>71</v>
      </c>
      <c r="E501" s="811" t="s">
        <v>576</v>
      </c>
      <c r="F501" s="811">
        <v>71</v>
      </c>
    </row>
    <row r="502" spans="1:6">
      <c r="A502" s="811">
        <v>2</v>
      </c>
      <c r="B502" s="811" t="s">
        <v>576</v>
      </c>
      <c r="C502" s="815" t="s">
        <v>2200</v>
      </c>
      <c r="D502" s="811">
        <v>21</v>
      </c>
      <c r="E502" s="811" t="s">
        <v>576</v>
      </c>
      <c r="F502" s="811">
        <v>42</v>
      </c>
    </row>
    <row r="503" spans="1:6">
      <c r="A503" s="811">
        <v>1</v>
      </c>
      <c r="B503" s="811" t="s">
        <v>576</v>
      </c>
      <c r="C503" s="815" t="s">
        <v>2201</v>
      </c>
      <c r="D503" s="811">
        <v>31.2</v>
      </c>
      <c r="E503" s="811" t="s">
        <v>576</v>
      </c>
      <c r="F503" s="811">
        <v>31.2</v>
      </c>
    </row>
    <row r="504" spans="1:6">
      <c r="A504" s="811">
        <v>0.5</v>
      </c>
      <c r="B504" s="811" t="s">
        <v>576</v>
      </c>
      <c r="C504" s="815" t="s">
        <v>2202</v>
      </c>
      <c r="D504" s="811">
        <v>622.6</v>
      </c>
      <c r="E504" s="811" t="s">
        <v>576</v>
      </c>
      <c r="F504" s="811">
        <v>311.3</v>
      </c>
    </row>
    <row r="505" spans="1:6">
      <c r="A505" s="811"/>
      <c r="B505" s="811" t="s">
        <v>589</v>
      </c>
      <c r="C505" s="815" t="s">
        <v>2204</v>
      </c>
      <c r="D505" s="811"/>
      <c r="E505" s="811" t="s">
        <v>589</v>
      </c>
      <c r="F505" s="811"/>
    </row>
    <row r="506" spans="1:6">
      <c r="A506" s="811"/>
      <c r="B506" s="811"/>
      <c r="C506" s="815" t="s">
        <v>2205</v>
      </c>
      <c r="D506" s="811"/>
      <c r="E506" s="811"/>
      <c r="F506" s="811"/>
    </row>
    <row r="507" spans="1:6">
      <c r="A507" s="811"/>
      <c r="B507" s="811"/>
      <c r="C507" s="815"/>
      <c r="D507" s="811"/>
      <c r="E507" s="811"/>
      <c r="F507" s="811" t="s">
        <v>534</v>
      </c>
    </row>
    <row r="508" spans="1:6">
      <c r="A508" s="811"/>
      <c r="B508" s="811"/>
      <c r="C508" s="815" t="s">
        <v>2206</v>
      </c>
      <c r="D508" s="811"/>
      <c r="E508" s="811"/>
      <c r="F508" s="811">
        <v>893.12000000000012</v>
      </c>
    </row>
    <row r="509" spans="1:6">
      <c r="A509" s="811" t="s">
        <v>22</v>
      </c>
      <c r="B509" s="811"/>
      <c r="C509" s="815"/>
      <c r="D509" s="811"/>
      <c r="E509" s="811"/>
      <c r="F509" s="811"/>
    </row>
    <row r="510" spans="1:6">
      <c r="A510" s="811"/>
      <c r="B510" s="811"/>
      <c r="C510" s="815"/>
      <c r="D510" s="811"/>
      <c r="E510" s="811"/>
      <c r="F510" s="811" t="s">
        <v>534</v>
      </c>
    </row>
    <row r="511" spans="1:6">
      <c r="A511" s="811"/>
      <c r="B511" s="811"/>
      <c r="C511" s="815" t="s">
        <v>1139</v>
      </c>
      <c r="D511" s="811"/>
      <c r="E511" s="811"/>
      <c r="F511" s="811">
        <v>297.70666666666671</v>
      </c>
    </row>
    <row r="512" spans="1:6">
      <c r="A512" s="811"/>
      <c r="B512" s="811"/>
      <c r="C512" s="815"/>
      <c r="D512" s="811"/>
      <c r="E512" s="811"/>
      <c r="F512" s="811" t="s">
        <v>528</v>
      </c>
    </row>
    <row r="513" spans="1:6">
      <c r="A513" s="811" t="s">
        <v>2212</v>
      </c>
      <c r="B513" s="811" t="s">
        <v>307</v>
      </c>
      <c r="C513" s="815" t="s">
        <v>2213</v>
      </c>
      <c r="D513" s="811"/>
      <c r="E513" s="811"/>
      <c r="F513" s="811"/>
    </row>
    <row r="514" spans="1:6">
      <c r="A514" s="811"/>
      <c r="B514" s="811"/>
      <c r="C514" s="815" t="s">
        <v>2214</v>
      </c>
      <c r="D514" s="811"/>
      <c r="E514" s="811"/>
      <c r="F514" s="811"/>
    </row>
    <row r="515" spans="1:6">
      <c r="A515" s="811"/>
      <c r="B515" s="811"/>
      <c r="C515" s="815" t="s">
        <v>2215</v>
      </c>
      <c r="D515" s="811"/>
      <c r="E515" s="811" t="s">
        <v>22</v>
      </c>
      <c r="F515" s="811"/>
    </row>
    <row r="516" spans="1:6">
      <c r="A516" s="811"/>
      <c r="B516" s="811"/>
      <c r="C516" s="815" t="s">
        <v>2216</v>
      </c>
      <c r="D516" s="811"/>
      <c r="E516" s="811"/>
      <c r="F516" s="811"/>
    </row>
    <row r="517" spans="1:6">
      <c r="A517" s="811"/>
      <c r="B517" s="811"/>
      <c r="C517" s="815" t="s">
        <v>2217</v>
      </c>
      <c r="D517" s="811"/>
      <c r="E517" s="811"/>
      <c r="F517" s="811"/>
    </row>
    <row r="518" spans="1:6">
      <c r="A518" s="811"/>
      <c r="B518" s="811"/>
      <c r="C518" s="815" t="s">
        <v>2218</v>
      </c>
      <c r="D518" s="811"/>
      <c r="E518" s="811"/>
      <c r="F518" s="811"/>
    </row>
    <row r="519" spans="1:6">
      <c r="A519" s="811"/>
      <c r="B519" s="811"/>
      <c r="C519" s="815" t="s">
        <v>2219</v>
      </c>
      <c r="D519" s="811"/>
      <c r="E519" s="811"/>
      <c r="F519" s="811"/>
    </row>
    <row r="520" spans="1:6">
      <c r="A520" s="811"/>
      <c r="B520" s="811"/>
      <c r="C520" s="815" t="s">
        <v>2220</v>
      </c>
      <c r="D520" s="811"/>
      <c r="E520" s="811"/>
      <c r="F520" s="811"/>
    </row>
    <row r="521" spans="1:6">
      <c r="A521" s="811"/>
      <c r="B521" s="811"/>
      <c r="C521" s="815" t="s">
        <v>2221</v>
      </c>
      <c r="D521" s="811"/>
      <c r="E521" s="811"/>
      <c r="F521" s="811"/>
    </row>
    <row r="522" spans="1:6">
      <c r="A522" s="811"/>
      <c r="B522" s="811"/>
      <c r="C522" s="815" t="s">
        <v>528</v>
      </c>
      <c r="D522" s="811"/>
      <c r="E522" s="811"/>
      <c r="F522" s="811"/>
    </row>
    <row r="523" spans="1:6">
      <c r="A523" s="811"/>
      <c r="B523" s="811"/>
      <c r="C523" s="815"/>
      <c r="D523" s="811"/>
      <c r="E523" s="811"/>
      <c r="F523" s="811"/>
    </row>
    <row r="524" spans="1:6">
      <c r="A524" s="811">
        <v>1</v>
      </c>
      <c r="B524" s="811" t="s">
        <v>41</v>
      </c>
      <c r="C524" s="815" t="s">
        <v>2222</v>
      </c>
      <c r="D524" s="811">
        <v>45.72</v>
      </c>
      <c r="E524" s="811" t="s">
        <v>41</v>
      </c>
      <c r="F524" s="811">
        <v>45.72</v>
      </c>
    </row>
    <row r="525" spans="1:6">
      <c r="A525" s="811">
        <v>1</v>
      </c>
      <c r="B525" s="811" t="s">
        <v>393</v>
      </c>
      <c r="C525" s="815" t="s">
        <v>2223</v>
      </c>
      <c r="D525" s="811">
        <v>5</v>
      </c>
      <c r="E525" s="811" t="s">
        <v>393</v>
      </c>
      <c r="F525" s="811">
        <v>5</v>
      </c>
    </row>
    <row r="526" spans="1:6" ht="31.5">
      <c r="A526" s="811"/>
      <c r="B526" s="811" t="s">
        <v>589</v>
      </c>
      <c r="C526" s="815" t="s">
        <v>2224</v>
      </c>
      <c r="D526" s="811"/>
      <c r="E526" s="811" t="s">
        <v>589</v>
      </c>
      <c r="F526" s="811">
        <v>7.28</v>
      </c>
    </row>
    <row r="527" spans="1:6">
      <c r="A527" s="811"/>
      <c r="B527" s="811"/>
      <c r="C527" s="815"/>
      <c r="D527" s="811"/>
      <c r="E527" s="811"/>
      <c r="F527" s="811" t="s">
        <v>534</v>
      </c>
    </row>
    <row r="528" spans="1:6">
      <c r="A528" s="811"/>
      <c r="B528" s="811"/>
      <c r="C528" s="815" t="s">
        <v>2225</v>
      </c>
      <c r="D528" s="811"/>
      <c r="E528" s="811"/>
      <c r="F528" s="811">
        <v>58</v>
      </c>
    </row>
    <row r="529" spans="1:6">
      <c r="A529" s="811"/>
      <c r="B529" s="811"/>
      <c r="C529" s="815"/>
      <c r="D529" s="811"/>
      <c r="E529" s="811"/>
      <c r="F529" s="811" t="s">
        <v>528</v>
      </c>
    </row>
    <row r="530" spans="1:6" ht="31.5">
      <c r="A530" s="811" t="s">
        <v>2226</v>
      </c>
      <c r="B530" s="811" t="s">
        <v>307</v>
      </c>
      <c r="C530" s="815" t="s">
        <v>3405</v>
      </c>
      <c r="D530" s="811"/>
      <c r="E530" s="811"/>
      <c r="F530" s="811"/>
    </row>
    <row r="531" spans="1:6">
      <c r="A531" s="811"/>
      <c r="B531" s="811"/>
      <c r="C531" s="815" t="s">
        <v>2228</v>
      </c>
      <c r="D531" s="811"/>
      <c r="E531" s="811"/>
      <c r="F531" s="811"/>
    </row>
    <row r="532" spans="1:6" ht="31.5">
      <c r="A532" s="811"/>
      <c r="B532" s="811"/>
      <c r="C532" s="815" t="s">
        <v>2229</v>
      </c>
      <c r="D532" s="811"/>
      <c r="E532" s="811"/>
      <c r="F532" s="811"/>
    </row>
    <row r="533" spans="1:6" ht="31.5">
      <c r="A533" s="811"/>
      <c r="B533" s="811"/>
      <c r="C533" s="815" t="s">
        <v>2230</v>
      </c>
      <c r="D533" s="811"/>
      <c r="E533" s="811"/>
      <c r="F533" s="811"/>
    </row>
    <row r="534" spans="1:6">
      <c r="A534" s="811"/>
      <c r="B534" s="811"/>
      <c r="C534" s="815" t="s">
        <v>2231</v>
      </c>
      <c r="D534" s="811"/>
      <c r="E534" s="811"/>
      <c r="F534" s="811"/>
    </row>
    <row r="535" spans="1:6">
      <c r="A535" s="811"/>
      <c r="B535" s="811"/>
      <c r="C535" s="815" t="s">
        <v>534</v>
      </c>
      <c r="D535" s="811" t="s">
        <v>534</v>
      </c>
      <c r="E535" s="811"/>
      <c r="F535" s="811"/>
    </row>
    <row r="536" spans="1:6">
      <c r="A536" s="811">
        <v>1</v>
      </c>
      <c r="B536" s="811" t="s">
        <v>2232</v>
      </c>
      <c r="C536" s="815" t="s">
        <v>2233</v>
      </c>
      <c r="D536" s="811">
        <v>85</v>
      </c>
      <c r="E536" s="811" t="s">
        <v>332</v>
      </c>
      <c r="F536" s="811">
        <v>85</v>
      </c>
    </row>
    <row r="537" spans="1:6">
      <c r="A537" s="811"/>
      <c r="B537" s="811" t="s">
        <v>589</v>
      </c>
      <c r="C537" s="815" t="s">
        <v>2234</v>
      </c>
      <c r="D537" s="811"/>
      <c r="E537" s="811" t="s">
        <v>589</v>
      </c>
      <c r="F537" s="811">
        <v>7.5</v>
      </c>
    </row>
    <row r="538" spans="1:6">
      <c r="A538" s="811"/>
      <c r="B538" s="811" t="s">
        <v>589</v>
      </c>
      <c r="C538" s="815" t="s">
        <v>2235</v>
      </c>
      <c r="D538" s="811"/>
      <c r="E538" s="811" t="s">
        <v>589</v>
      </c>
      <c r="F538" s="811">
        <v>2.5</v>
      </c>
    </row>
    <row r="539" spans="1:6">
      <c r="A539" s="811"/>
      <c r="B539" s="811"/>
      <c r="C539" s="815" t="s">
        <v>2236</v>
      </c>
      <c r="D539" s="811"/>
      <c r="E539" s="811"/>
      <c r="F539" s="811" t="s">
        <v>534</v>
      </c>
    </row>
    <row r="540" spans="1:6">
      <c r="A540" s="811"/>
      <c r="B540" s="811"/>
      <c r="C540" s="815" t="s">
        <v>2225</v>
      </c>
      <c r="D540" s="811"/>
      <c r="E540" s="811"/>
      <c r="F540" s="811">
        <v>95</v>
      </c>
    </row>
    <row r="541" spans="1:6">
      <c r="A541" s="811"/>
      <c r="B541" s="811"/>
      <c r="C541" s="815"/>
      <c r="D541" s="811"/>
      <c r="E541" s="811"/>
      <c r="F541" s="811" t="s">
        <v>528</v>
      </c>
    </row>
    <row r="542" spans="1:6">
      <c r="A542" s="811" t="s">
        <v>2237</v>
      </c>
      <c r="B542" s="811" t="s">
        <v>307</v>
      </c>
      <c r="C542" s="815" t="s">
        <v>3406</v>
      </c>
      <c r="D542" s="811"/>
      <c r="E542" s="811"/>
      <c r="F542" s="811"/>
    </row>
    <row r="543" spans="1:6">
      <c r="A543" s="811"/>
      <c r="B543" s="811"/>
      <c r="C543" s="815" t="s">
        <v>2239</v>
      </c>
      <c r="D543" s="811"/>
      <c r="E543" s="811"/>
      <c r="F543" s="811" t="s">
        <v>22</v>
      </c>
    </row>
    <row r="544" spans="1:6">
      <c r="A544" s="811"/>
      <c r="B544" s="811"/>
      <c r="C544" s="815" t="s">
        <v>534</v>
      </c>
      <c r="D544" s="811"/>
      <c r="E544" s="811"/>
      <c r="F544" s="811"/>
    </row>
    <row r="545" spans="1:6">
      <c r="A545" s="811">
        <v>1</v>
      </c>
      <c r="B545" s="811" t="s">
        <v>2232</v>
      </c>
      <c r="C545" s="815" t="s">
        <v>2240</v>
      </c>
      <c r="D545" s="811">
        <v>50</v>
      </c>
      <c r="E545" s="811" t="s">
        <v>332</v>
      </c>
      <c r="F545" s="811">
        <v>50</v>
      </c>
    </row>
    <row r="546" spans="1:6">
      <c r="A546" s="811"/>
      <c r="B546" s="811" t="s">
        <v>589</v>
      </c>
      <c r="C546" s="815" t="s">
        <v>2241</v>
      </c>
      <c r="D546" s="811"/>
      <c r="E546" s="811" t="s">
        <v>589</v>
      </c>
      <c r="F546" s="811">
        <v>5</v>
      </c>
    </row>
    <row r="547" spans="1:6">
      <c r="A547" s="811"/>
      <c r="B547" s="811"/>
      <c r="C547" s="815"/>
      <c r="D547" s="811"/>
      <c r="E547" s="811"/>
      <c r="F547" s="811" t="s">
        <v>534</v>
      </c>
    </row>
    <row r="548" spans="1:6">
      <c r="A548" s="811"/>
      <c r="B548" s="811"/>
      <c r="C548" s="815" t="s">
        <v>2242</v>
      </c>
      <c r="D548" s="811"/>
      <c r="E548" s="811"/>
      <c r="F548" s="811">
        <v>55</v>
      </c>
    </row>
    <row r="549" spans="1:6">
      <c r="A549" s="811"/>
      <c r="B549" s="811"/>
      <c r="C549" s="815"/>
      <c r="D549" s="811"/>
      <c r="E549" s="811"/>
      <c r="F549" s="811" t="s">
        <v>528</v>
      </c>
    </row>
    <row r="550" spans="1:6">
      <c r="A550" s="811" t="s">
        <v>2243</v>
      </c>
      <c r="B550" s="811" t="s">
        <v>307</v>
      </c>
      <c r="C550" s="815" t="s">
        <v>3407</v>
      </c>
      <c r="D550" s="811"/>
      <c r="E550" s="811"/>
      <c r="F550" s="811"/>
    </row>
    <row r="551" spans="1:6">
      <c r="A551" s="811"/>
      <c r="B551" s="811"/>
      <c r="C551" s="815" t="s">
        <v>534</v>
      </c>
      <c r="D551" s="811" t="s">
        <v>534</v>
      </c>
      <c r="E551" s="811"/>
      <c r="F551" s="811"/>
    </row>
    <row r="552" spans="1:6">
      <c r="A552" s="811">
        <v>1</v>
      </c>
      <c r="B552" s="811" t="s">
        <v>2232</v>
      </c>
      <c r="C552" s="815" t="s">
        <v>2245</v>
      </c>
      <c r="D552" s="811">
        <v>1.2</v>
      </c>
      <c r="E552" s="811" t="s">
        <v>332</v>
      </c>
      <c r="F552" s="811">
        <v>1.2</v>
      </c>
    </row>
    <row r="553" spans="1:6">
      <c r="A553" s="811"/>
      <c r="B553" s="811" t="s">
        <v>589</v>
      </c>
      <c r="C553" s="815" t="s">
        <v>2241</v>
      </c>
      <c r="D553" s="811"/>
      <c r="E553" s="811" t="s">
        <v>589</v>
      </c>
      <c r="F553" s="811">
        <v>0.3</v>
      </c>
    </row>
    <row r="554" spans="1:6">
      <c r="A554" s="811"/>
      <c r="B554" s="811"/>
      <c r="C554" s="815"/>
      <c r="D554" s="811"/>
      <c r="E554" s="811"/>
      <c r="F554" s="811" t="s">
        <v>534</v>
      </c>
    </row>
    <row r="555" spans="1:6">
      <c r="A555" s="811"/>
      <c r="B555" s="811"/>
      <c r="C555" s="815" t="s">
        <v>2242</v>
      </c>
      <c r="D555" s="811"/>
      <c r="E555" s="811"/>
      <c r="F555" s="811">
        <v>1.5</v>
      </c>
    </row>
    <row r="556" spans="1:6">
      <c r="A556" s="811" t="s">
        <v>22</v>
      </c>
      <c r="B556" s="811"/>
      <c r="C556" s="815"/>
      <c r="D556" s="811"/>
      <c r="E556" s="811"/>
      <c r="F556" s="811" t="s">
        <v>534</v>
      </c>
    </row>
    <row r="557" spans="1:6">
      <c r="A557" s="867">
        <v>50.1</v>
      </c>
      <c r="B557" s="811" t="s">
        <v>307</v>
      </c>
      <c r="C557" s="815" t="s">
        <v>2246</v>
      </c>
      <c r="D557" s="811"/>
      <c r="E557" s="811"/>
      <c r="F557" s="811"/>
    </row>
    <row r="558" spans="1:6">
      <c r="A558" s="811"/>
      <c r="B558" s="811"/>
      <c r="C558" s="815" t="s">
        <v>2247</v>
      </c>
      <c r="D558" s="811"/>
      <c r="E558" s="811"/>
      <c r="F558" s="811"/>
    </row>
    <row r="559" spans="1:6">
      <c r="A559" s="811"/>
      <c r="B559" s="811"/>
      <c r="C559" s="815" t="s">
        <v>2248</v>
      </c>
      <c r="D559" s="811"/>
      <c r="E559" s="811"/>
      <c r="F559" s="811"/>
    </row>
    <row r="560" spans="1:6">
      <c r="A560" s="811"/>
      <c r="B560" s="811"/>
      <c r="C560" s="815" t="s">
        <v>2249</v>
      </c>
      <c r="D560" s="811"/>
      <c r="E560" s="811"/>
      <c r="F560" s="811"/>
    </row>
    <row r="561" spans="1:6">
      <c r="A561" s="811"/>
      <c r="B561" s="811"/>
      <c r="C561" s="815" t="s">
        <v>2250</v>
      </c>
      <c r="D561" s="811"/>
      <c r="E561" s="811"/>
      <c r="F561" s="811"/>
    </row>
    <row r="562" spans="1:6">
      <c r="A562" s="811"/>
      <c r="B562" s="811"/>
      <c r="C562" s="815" t="s">
        <v>534</v>
      </c>
      <c r="D562" s="811" t="s">
        <v>534</v>
      </c>
      <c r="E562" s="811"/>
      <c r="F562" s="811"/>
    </row>
    <row r="563" spans="1:6">
      <c r="A563" s="811">
        <v>9</v>
      </c>
      <c r="B563" s="811" t="s">
        <v>238</v>
      </c>
      <c r="C563" s="815" t="s">
        <v>2251</v>
      </c>
      <c r="D563" s="811">
        <v>1500.88</v>
      </c>
      <c r="E563" s="811" t="s">
        <v>238</v>
      </c>
      <c r="F563" s="811">
        <v>13507.920000000002</v>
      </c>
    </row>
    <row r="564" spans="1:6">
      <c r="A564" s="811">
        <v>4.5</v>
      </c>
      <c r="B564" s="811" t="s">
        <v>238</v>
      </c>
      <c r="C564" s="815" t="s">
        <v>2252</v>
      </c>
      <c r="D564" s="811">
        <v>4357.67</v>
      </c>
      <c r="E564" s="811" t="s">
        <v>238</v>
      </c>
      <c r="F564" s="811">
        <v>19609.514999999999</v>
      </c>
    </row>
    <row r="565" spans="1:6">
      <c r="A565" s="811">
        <v>1.8</v>
      </c>
      <c r="B565" s="811" t="s">
        <v>1261</v>
      </c>
      <c r="C565" s="815" t="s">
        <v>2253</v>
      </c>
      <c r="D565" s="811">
        <v>669.90000000000009</v>
      </c>
      <c r="E565" s="811" t="s">
        <v>332</v>
      </c>
      <c r="F565" s="811">
        <v>1205.8200000000002</v>
      </c>
    </row>
    <row r="566" spans="1:6">
      <c r="A566" s="811">
        <v>17.7</v>
      </c>
      <c r="B566" s="811" t="s">
        <v>1261</v>
      </c>
      <c r="C566" s="815" t="s">
        <v>1264</v>
      </c>
      <c r="D566" s="811">
        <v>468.6</v>
      </c>
      <c r="E566" s="811" t="s">
        <v>332</v>
      </c>
      <c r="F566" s="811">
        <v>8294.2199999999993</v>
      </c>
    </row>
    <row r="567" spans="1:6">
      <c r="A567" s="811">
        <v>14.1</v>
      </c>
      <c r="B567" s="811" t="s">
        <v>1261</v>
      </c>
      <c r="C567" s="815" t="s">
        <v>2141</v>
      </c>
      <c r="D567" s="811">
        <v>404.8</v>
      </c>
      <c r="E567" s="811" t="s">
        <v>332</v>
      </c>
      <c r="F567" s="811">
        <v>5707.68</v>
      </c>
    </row>
    <row r="568" spans="1:6">
      <c r="A568" s="811"/>
      <c r="B568" s="811"/>
      <c r="C568" s="815"/>
      <c r="D568" s="811"/>
      <c r="E568" s="811"/>
      <c r="F568" s="811" t="s">
        <v>534</v>
      </c>
    </row>
    <row r="569" spans="1:6">
      <c r="A569" s="811"/>
      <c r="B569" s="811"/>
      <c r="C569" s="815" t="s">
        <v>2254</v>
      </c>
      <c r="D569" s="811"/>
      <c r="E569" s="811"/>
      <c r="F569" s="811">
        <v>48325.154999999999</v>
      </c>
    </row>
    <row r="570" spans="1:6">
      <c r="A570" s="811"/>
      <c r="B570" s="811"/>
      <c r="C570" s="815"/>
      <c r="D570" s="811"/>
      <c r="E570" s="811"/>
      <c r="F570" s="811" t="s">
        <v>534</v>
      </c>
    </row>
    <row r="571" spans="1:6">
      <c r="A571" s="811"/>
      <c r="B571" s="811"/>
      <c r="C571" s="815" t="s">
        <v>2255</v>
      </c>
      <c r="D571" s="811"/>
      <c r="E571" s="811"/>
      <c r="F571" s="811">
        <v>4832.5154999999995</v>
      </c>
    </row>
    <row r="572" spans="1:6">
      <c r="A572" s="811"/>
      <c r="B572" s="811"/>
      <c r="C572" s="815"/>
      <c r="D572" s="811"/>
      <c r="E572" s="811"/>
      <c r="F572" s="811" t="s">
        <v>528</v>
      </c>
    </row>
    <row r="573" spans="1:6">
      <c r="A573" s="811"/>
      <c r="B573" s="811"/>
      <c r="C573" s="815"/>
      <c r="D573" s="811"/>
      <c r="E573" s="811"/>
      <c r="F573" s="811"/>
    </row>
    <row r="574" spans="1:6">
      <c r="A574" s="811"/>
      <c r="B574" s="811" t="s">
        <v>865</v>
      </c>
      <c r="C574" s="815" t="s">
        <v>2256</v>
      </c>
      <c r="D574" s="811"/>
      <c r="E574" s="811"/>
      <c r="F574" s="811"/>
    </row>
    <row r="575" spans="1:6">
      <c r="A575" s="811"/>
      <c r="B575" s="811"/>
      <c r="C575" s="815" t="s">
        <v>3408</v>
      </c>
      <c r="D575" s="811"/>
      <c r="E575" s="811"/>
      <c r="F575" s="811"/>
    </row>
    <row r="576" spans="1:6">
      <c r="A576" s="811"/>
      <c r="B576" s="811"/>
      <c r="C576" s="815" t="s">
        <v>534</v>
      </c>
      <c r="D576" s="811" t="s">
        <v>534</v>
      </c>
      <c r="E576" s="811"/>
      <c r="F576" s="811"/>
    </row>
    <row r="577" spans="1:6">
      <c r="A577" s="811"/>
      <c r="B577" s="811"/>
      <c r="C577" s="815"/>
      <c r="D577" s="811"/>
      <c r="E577" s="811"/>
      <c r="F577" s="811"/>
    </row>
    <row r="578" spans="1:6">
      <c r="A578" s="816">
        <v>0.314</v>
      </c>
      <c r="B578" s="811" t="s">
        <v>238</v>
      </c>
      <c r="C578" s="815" t="s">
        <v>2258</v>
      </c>
      <c r="D578" s="811">
        <v>4832.5154999999995</v>
      </c>
      <c r="E578" s="811" t="s">
        <v>238</v>
      </c>
      <c r="F578" s="811">
        <v>1517.4098669999998</v>
      </c>
    </row>
    <row r="579" spans="1:6" ht="31.5">
      <c r="A579" s="811">
        <v>18</v>
      </c>
      <c r="B579" s="811" t="s">
        <v>1261</v>
      </c>
      <c r="C579" s="815" t="s">
        <v>2259</v>
      </c>
      <c r="D579" s="811">
        <v>41.87</v>
      </c>
      <c r="E579" s="811" t="s">
        <v>332</v>
      </c>
      <c r="F579" s="811">
        <v>753.66</v>
      </c>
    </row>
    <row r="580" spans="1:6">
      <c r="A580" s="811">
        <v>18</v>
      </c>
      <c r="B580" s="811" t="s">
        <v>1261</v>
      </c>
      <c r="C580" s="815" t="s">
        <v>2260</v>
      </c>
      <c r="D580" s="811">
        <v>1</v>
      </c>
      <c r="E580" s="811" t="s">
        <v>332</v>
      </c>
      <c r="F580" s="811">
        <v>18</v>
      </c>
    </row>
    <row r="581" spans="1:6">
      <c r="A581" s="811">
        <v>18</v>
      </c>
      <c r="B581" s="811" t="s">
        <v>1261</v>
      </c>
      <c r="C581" s="815" t="s">
        <v>2261</v>
      </c>
      <c r="D581" s="811">
        <v>2</v>
      </c>
      <c r="E581" s="811" t="s">
        <v>332</v>
      </c>
      <c r="F581" s="811">
        <v>36</v>
      </c>
    </row>
    <row r="582" spans="1:6">
      <c r="A582" s="811"/>
      <c r="B582" s="811"/>
      <c r="C582" s="815"/>
      <c r="D582" s="811"/>
      <c r="E582" s="811"/>
      <c r="F582" s="811" t="s">
        <v>534</v>
      </c>
    </row>
    <row r="583" spans="1:6">
      <c r="A583" s="811"/>
      <c r="B583" s="811"/>
      <c r="C583" s="815" t="s">
        <v>2262</v>
      </c>
      <c r="D583" s="811"/>
      <c r="E583" s="811"/>
      <c r="F583" s="811">
        <v>2325.0698669999997</v>
      </c>
    </row>
    <row r="584" spans="1:6">
      <c r="A584" s="811"/>
      <c r="B584" s="811"/>
      <c r="C584" s="815"/>
      <c r="D584" s="811"/>
      <c r="E584" s="811"/>
      <c r="F584" s="811" t="s">
        <v>534</v>
      </c>
    </row>
    <row r="585" spans="1:6">
      <c r="A585" s="811"/>
      <c r="B585" s="811"/>
      <c r="C585" s="815" t="s">
        <v>2263</v>
      </c>
      <c r="D585" s="811"/>
      <c r="E585" s="811"/>
      <c r="F585" s="811">
        <v>370.23405525477699</v>
      </c>
    </row>
    <row r="586" spans="1:6">
      <c r="A586" s="811"/>
      <c r="B586" s="811"/>
      <c r="C586" s="815"/>
      <c r="D586" s="811"/>
      <c r="E586" s="811"/>
      <c r="F586" s="811" t="s">
        <v>528</v>
      </c>
    </row>
    <row r="587" spans="1:6">
      <c r="A587" s="811" t="s">
        <v>22</v>
      </c>
      <c r="B587" s="811"/>
      <c r="C587" s="815" t="s">
        <v>2264</v>
      </c>
      <c r="D587" s="811"/>
      <c r="E587" s="811"/>
      <c r="F587" s="811"/>
    </row>
    <row r="588" spans="1:6">
      <c r="A588" s="811"/>
      <c r="B588" s="811"/>
      <c r="C588" s="815" t="s">
        <v>534</v>
      </c>
      <c r="D588" s="811"/>
      <c r="E588" s="811"/>
      <c r="F588" s="811"/>
    </row>
    <row r="589" spans="1:6">
      <c r="A589" s="816">
        <v>0.01</v>
      </c>
      <c r="B589" s="811" t="s">
        <v>238</v>
      </c>
      <c r="C589" s="815" t="s">
        <v>2258</v>
      </c>
      <c r="D589" s="811">
        <v>4832.5154999999995</v>
      </c>
      <c r="E589" s="811" t="s">
        <v>238</v>
      </c>
      <c r="F589" s="811">
        <v>48.33</v>
      </c>
    </row>
    <row r="590" spans="1:6">
      <c r="A590" s="811">
        <v>0.01</v>
      </c>
      <c r="B590" s="811" t="s">
        <v>421</v>
      </c>
      <c r="C590" s="815" t="s">
        <v>2265</v>
      </c>
      <c r="D590" s="811" t="s">
        <v>519</v>
      </c>
      <c r="E590" s="811"/>
      <c r="F590" s="811">
        <v>1.2</v>
      </c>
    </row>
    <row r="591" spans="1:6">
      <c r="A591" s="811"/>
      <c r="B591" s="811"/>
      <c r="C591" s="815"/>
      <c r="D591" s="811"/>
      <c r="E591" s="811"/>
      <c r="F591" s="811" t="s">
        <v>534</v>
      </c>
    </row>
    <row r="592" spans="1:6">
      <c r="A592" s="811"/>
      <c r="B592" s="811"/>
      <c r="C592" s="815" t="s">
        <v>2266</v>
      </c>
      <c r="D592" s="811"/>
      <c r="E592" s="811"/>
      <c r="F592" s="811">
        <v>49.53</v>
      </c>
    </row>
    <row r="593" spans="1:6">
      <c r="A593" s="811"/>
      <c r="B593" s="811"/>
      <c r="C593" s="815"/>
      <c r="D593" s="811"/>
      <c r="E593" s="811"/>
      <c r="F593" s="811" t="s">
        <v>534</v>
      </c>
    </row>
    <row r="594" spans="1:6">
      <c r="A594" s="811"/>
      <c r="B594" s="811"/>
      <c r="C594" s="815" t="s">
        <v>2267</v>
      </c>
      <c r="D594" s="811"/>
      <c r="E594" s="811"/>
      <c r="F594" s="811">
        <v>4953</v>
      </c>
    </row>
    <row r="595" spans="1:6">
      <c r="A595" s="811"/>
      <c r="B595" s="811"/>
      <c r="C595" s="815"/>
      <c r="D595" s="811"/>
      <c r="E595" s="811"/>
      <c r="F595" s="811" t="s">
        <v>528</v>
      </c>
    </row>
    <row r="596" spans="1:6">
      <c r="A596" s="811"/>
      <c r="B596" s="811"/>
      <c r="C596" s="815"/>
      <c r="D596" s="811"/>
      <c r="E596" s="811"/>
      <c r="F596" s="811"/>
    </row>
    <row r="597" spans="1:6">
      <c r="A597" s="812">
        <v>86</v>
      </c>
      <c r="B597" s="811"/>
      <c r="C597" s="815" t="s">
        <v>2308</v>
      </c>
      <c r="D597" s="811"/>
      <c r="E597" s="811"/>
      <c r="F597" s="811">
        <v>33.9</v>
      </c>
    </row>
    <row r="598" spans="1:6">
      <c r="A598" s="867"/>
      <c r="B598" s="811"/>
      <c r="C598" s="815"/>
      <c r="D598" s="811"/>
      <c r="E598" s="811"/>
      <c r="F598" s="811"/>
    </row>
    <row r="599" spans="1:6" ht="31.5">
      <c r="A599" s="811" t="s">
        <v>2309</v>
      </c>
      <c r="B599" s="811"/>
      <c r="C599" s="815" t="s">
        <v>2310</v>
      </c>
      <c r="D599" s="811"/>
      <c r="E599" s="811"/>
      <c r="F599" s="811">
        <v>8.1999999999999993</v>
      </c>
    </row>
    <row r="600" spans="1:6">
      <c r="A600" s="811"/>
      <c r="B600" s="811"/>
      <c r="C600" s="815" t="s">
        <v>2311</v>
      </c>
      <c r="D600" s="811"/>
      <c r="E600" s="811"/>
      <c r="F600" s="811">
        <v>5739.9999999999991</v>
      </c>
    </row>
    <row r="601" spans="1:6" ht="31.5">
      <c r="A601" s="812">
        <v>52</v>
      </c>
      <c r="B601" s="811" t="s">
        <v>307</v>
      </c>
      <c r="C601" s="815" t="s">
        <v>2322</v>
      </c>
      <c r="D601" s="811"/>
      <c r="E601" s="811"/>
      <c r="F601" s="811"/>
    </row>
    <row r="602" spans="1:6">
      <c r="A602" s="811"/>
      <c r="B602" s="811"/>
      <c r="C602" s="815" t="s">
        <v>2323</v>
      </c>
      <c r="D602" s="811"/>
      <c r="E602" s="811"/>
      <c r="F602" s="811"/>
    </row>
    <row r="603" spans="1:6">
      <c r="A603" s="811"/>
      <c r="B603" s="811"/>
      <c r="C603" s="815" t="s">
        <v>2325</v>
      </c>
      <c r="D603" s="811"/>
      <c r="E603" s="811"/>
      <c r="F603" s="811"/>
    </row>
    <row r="604" spans="1:6" ht="31.5">
      <c r="A604" s="811"/>
      <c r="B604" s="811"/>
      <c r="C604" s="815" t="s">
        <v>2327</v>
      </c>
      <c r="D604" s="811"/>
      <c r="E604" s="811"/>
      <c r="F604" s="811"/>
    </row>
    <row r="605" spans="1:6" ht="31.5">
      <c r="A605" s="811"/>
      <c r="B605" s="811"/>
      <c r="C605" s="815" t="s">
        <v>2328</v>
      </c>
      <c r="D605" s="811"/>
      <c r="E605" s="811"/>
      <c r="F605" s="811"/>
    </row>
    <row r="606" spans="1:6" ht="31.5">
      <c r="A606" s="811"/>
      <c r="B606" s="811"/>
      <c r="C606" s="815" t="s">
        <v>2329</v>
      </c>
      <c r="D606" s="811"/>
      <c r="E606" s="811"/>
      <c r="F606" s="811"/>
    </row>
    <row r="607" spans="1:6">
      <c r="A607" s="811"/>
      <c r="B607" s="811"/>
      <c r="C607" s="815" t="s">
        <v>2330</v>
      </c>
      <c r="D607" s="811"/>
      <c r="E607" s="811"/>
      <c r="F607" s="811"/>
    </row>
    <row r="608" spans="1:6" ht="31.5">
      <c r="A608" s="811"/>
      <c r="B608" s="811"/>
      <c r="C608" s="815" t="s">
        <v>2331</v>
      </c>
      <c r="D608" s="811"/>
      <c r="E608" s="811"/>
      <c r="F608" s="811"/>
    </row>
    <row r="609" spans="1:6">
      <c r="A609" s="811"/>
      <c r="B609" s="811"/>
      <c r="C609" s="815" t="s">
        <v>528</v>
      </c>
      <c r="D609" s="811" t="s">
        <v>528</v>
      </c>
      <c r="E609" s="811"/>
      <c r="F609" s="811"/>
    </row>
    <row r="610" spans="1:6">
      <c r="A610" s="811"/>
      <c r="B610" s="811" t="s">
        <v>307</v>
      </c>
      <c r="C610" s="815" t="s">
        <v>2332</v>
      </c>
      <c r="D610" s="811"/>
      <c r="E610" s="811"/>
      <c r="F610" s="811"/>
    </row>
    <row r="611" spans="1:6">
      <c r="A611" s="811"/>
      <c r="B611" s="811"/>
      <c r="C611" s="815" t="s">
        <v>2333</v>
      </c>
      <c r="D611" s="811"/>
      <c r="E611" s="811"/>
      <c r="F611" s="811"/>
    </row>
    <row r="612" spans="1:6">
      <c r="A612" s="811"/>
      <c r="B612" s="811" t="s">
        <v>1563</v>
      </c>
      <c r="C612" s="815" t="s">
        <v>2334</v>
      </c>
      <c r="D612" s="811"/>
      <c r="E612" s="811"/>
      <c r="F612" s="811"/>
    </row>
    <row r="613" spans="1:6">
      <c r="A613" s="811"/>
      <c r="B613" s="811"/>
      <c r="C613" s="815" t="s">
        <v>534</v>
      </c>
      <c r="D613" s="811"/>
      <c r="E613" s="811"/>
      <c r="F613" s="811"/>
    </row>
    <row r="614" spans="1:6">
      <c r="A614" s="811">
        <v>1</v>
      </c>
      <c r="B614" s="811" t="s">
        <v>41</v>
      </c>
      <c r="C614" s="815" t="s">
        <v>2335</v>
      </c>
      <c r="D614" s="811">
        <v>26</v>
      </c>
      <c r="E614" s="811" t="s">
        <v>41</v>
      </c>
      <c r="F614" s="811">
        <v>26</v>
      </c>
    </row>
    <row r="615" spans="1:6">
      <c r="A615" s="811">
        <v>1</v>
      </c>
      <c r="B615" s="811" t="s">
        <v>589</v>
      </c>
      <c r="C615" s="815" t="s">
        <v>2336</v>
      </c>
      <c r="D615" s="811">
        <v>18.2</v>
      </c>
      <c r="E615" s="811" t="s">
        <v>589</v>
      </c>
      <c r="F615" s="811">
        <v>18.2</v>
      </c>
    </row>
    <row r="616" spans="1:6">
      <c r="A616" s="811">
        <v>1</v>
      </c>
      <c r="B616" s="811" t="s">
        <v>41</v>
      </c>
      <c r="C616" s="815" t="s">
        <v>2337</v>
      </c>
      <c r="D616" s="811">
        <v>132.36000000000001</v>
      </c>
      <c r="E616" s="811" t="s">
        <v>41</v>
      </c>
      <c r="F616" s="811">
        <v>132.36000000000001</v>
      </c>
    </row>
    <row r="617" spans="1:6">
      <c r="A617" s="811"/>
      <c r="B617" s="811"/>
      <c r="C617" s="815"/>
      <c r="D617" s="811" t="s">
        <v>22</v>
      </c>
      <c r="E617" s="811"/>
      <c r="F617" s="811" t="s">
        <v>534</v>
      </c>
    </row>
    <row r="618" spans="1:6">
      <c r="A618" s="811"/>
      <c r="B618" s="811"/>
      <c r="C618" s="815" t="s">
        <v>2338</v>
      </c>
      <c r="D618" s="811"/>
      <c r="E618" s="811"/>
      <c r="F618" s="811">
        <v>176.56</v>
      </c>
    </row>
    <row r="619" spans="1:6">
      <c r="A619" s="811"/>
      <c r="B619" s="811"/>
      <c r="C619" s="815" t="s">
        <v>22</v>
      </c>
      <c r="D619" s="811" t="s">
        <v>22</v>
      </c>
      <c r="E619" s="811"/>
      <c r="F619" s="811" t="s">
        <v>528</v>
      </c>
    </row>
    <row r="620" spans="1:6">
      <c r="A620" s="811"/>
      <c r="B620" s="811" t="s">
        <v>1530</v>
      </c>
      <c r="C620" s="815" t="s">
        <v>2340</v>
      </c>
      <c r="D620" s="811"/>
      <c r="E620" s="811"/>
      <c r="F620" s="811"/>
    </row>
    <row r="621" spans="1:6">
      <c r="A621" s="811"/>
      <c r="B621" s="811"/>
      <c r="C621" s="815" t="s">
        <v>534</v>
      </c>
      <c r="D621" s="811"/>
      <c r="E621" s="811"/>
      <c r="F621" s="811"/>
    </row>
    <row r="622" spans="1:6">
      <c r="A622" s="811">
        <v>1</v>
      </c>
      <c r="B622" s="811" t="s">
        <v>41</v>
      </c>
      <c r="C622" s="815" t="s">
        <v>2342</v>
      </c>
      <c r="D622" s="811">
        <v>35</v>
      </c>
      <c r="E622" s="811" t="s">
        <v>41</v>
      </c>
      <c r="F622" s="811">
        <v>35</v>
      </c>
    </row>
    <row r="623" spans="1:6">
      <c r="A623" s="811">
        <v>1</v>
      </c>
      <c r="B623" s="811" t="s">
        <v>589</v>
      </c>
      <c r="C623" s="815" t="s">
        <v>2344</v>
      </c>
      <c r="D623" s="811">
        <v>14</v>
      </c>
      <c r="E623" s="811" t="s">
        <v>589</v>
      </c>
      <c r="F623" s="811">
        <v>14</v>
      </c>
    </row>
    <row r="624" spans="1:6">
      <c r="A624" s="811">
        <v>1</v>
      </c>
      <c r="B624" s="811" t="s">
        <v>41</v>
      </c>
      <c r="C624" s="815" t="s">
        <v>2337</v>
      </c>
      <c r="D624" s="811">
        <v>132.34666666666669</v>
      </c>
      <c r="E624" s="811" t="s">
        <v>41</v>
      </c>
      <c r="F624" s="811">
        <v>132.34666666666669</v>
      </c>
    </row>
    <row r="625" spans="1:6">
      <c r="A625" s="811"/>
      <c r="B625" s="811"/>
      <c r="C625" s="815"/>
      <c r="D625" s="811" t="s">
        <v>22</v>
      </c>
      <c r="E625" s="811"/>
      <c r="F625" s="811" t="s">
        <v>534</v>
      </c>
    </row>
    <row r="626" spans="1:6">
      <c r="A626" s="811"/>
      <c r="B626" s="811"/>
      <c r="C626" s="815" t="s">
        <v>2338</v>
      </c>
      <c r="D626" s="811"/>
      <c r="E626" s="811"/>
      <c r="F626" s="811">
        <v>181.34666666666669</v>
      </c>
    </row>
    <row r="627" spans="1:6">
      <c r="A627" s="811"/>
      <c r="B627" s="811"/>
      <c r="C627" s="815"/>
      <c r="D627" s="811" t="s">
        <v>22</v>
      </c>
      <c r="E627" s="811"/>
      <c r="F627" s="811" t="s">
        <v>528</v>
      </c>
    </row>
    <row r="628" spans="1:6">
      <c r="A628" s="811"/>
      <c r="B628" s="811" t="s">
        <v>1501</v>
      </c>
      <c r="C628" s="815" t="s">
        <v>2345</v>
      </c>
      <c r="D628" s="811"/>
      <c r="E628" s="811"/>
      <c r="F628" s="811"/>
    </row>
    <row r="629" spans="1:6">
      <c r="A629" s="811"/>
      <c r="B629" s="811"/>
      <c r="C629" s="815" t="s">
        <v>534</v>
      </c>
      <c r="D629" s="811"/>
      <c r="E629" s="811"/>
      <c r="F629" s="811"/>
    </row>
    <row r="630" spans="1:6">
      <c r="A630" s="811">
        <v>1</v>
      </c>
      <c r="B630" s="811" t="s">
        <v>41</v>
      </c>
      <c r="C630" s="815" t="s">
        <v>2347</v>
      </c>
      <c r="D630" s="811">
        <v>52</v>
      </c>
      <c r="E630" s="811" t="s">
        <v>41</v>
      </c>
      <c r="F630" s="811">
        <v>52</v>
      </c>
    </row>
    <row r="631" spans="1:6">
      <c r="A631" s="811">
        <v>1</v>
      </c>
      <c r="B631" s="811" t="s">
        <v>589</v>
      </c>
      <c r="C631" s="815" t="s">
        <v>2343</v>
      </c>
      <c r="D631" s="811">
        <v>10.4</v>
      </c>
      <c r="E631" s="811" t="s">
        <v>589</v>
      </c>
      <c r="F631" s="811">
        <v>10.4</v>
      </c>
    </row>
    <row r="632" spans="1:6">
      <c r="A632" s="811">
        <v>1</v>
      </c>
      <c r="B632" s="811" t="s">
        <v>41</v>
      </c>
      <c r="C632" s="815" t="s">
        <v>2337</v>
      </c>
      <c r="D632" s="811">
        <v>135.27533333333335</v>
      </c>
      <c r="E632" s="811" t="s">
        <v>41</v>
      </c>
      <c r="F632" s="811">
        <v>135.27533333333335</v>
      </c>
    </row>
    <row r="633" spans="1:6">
      <c r="A633" s="811"/>
      <c r="B633" s="811"/>
      <c r="C633" s="815"/>
      <c r="D633" s="811" t="s">
        <v>22</v>
      </c>
      <c r="E633" s="811"/>
      <c r="F633" s="811" t="s">
        <v>534</v>
      </c>
    </row>
    <row r="634" spans="1:6">
      <c r="A634" s="811"/>
      <c r="B634" s="811"/>
      <c r="C634" s="815" t="s">
        <v>2338</v>
      </c>
      <c r="D634" s="811"/>
      <c r="E634" s="811"/>
      <c r="F634" s="811">
        <v>197.67533333333336</v>
      </c>
    </row>
    <row r="635" spans="1:6">
      <c r="A635" s="811"/>
      <c r="B635" s="811"/>
      <c r="C635" s="815"/>
      <c r="D635" s="811" t="s">
        <v>22</v>
      </c>
      <c r="E635" s="811"/>
      <c r="F635" s="811" t="s">
        <v>528</v>
      </c>
    </row>
    <row r="636" spans="1:6">
      <c r="A636" s="811"/>
      <c r="B636" s="811"/>
      <c r="C636" s="815"/>
      <c r="D636" s="811"/>
      <c r="E636" s="811"/>
      <c r="F636" s="811"/>
    </row>
    <row r="637" spans="1:6">
      <c r="A637" s="811"/>
      <c r="B637" s="811" t="s">
        <v>1501</v>
      </c>
      <c r="C637" s="815" t="s">
        <v>2350</v>
      </c>
      <c r="D637" s="811"/>
      <c r="E637" s="811"/>
      <c r="F637" s="811"/>
    </row>
    <row r="638" spans="1:6">
      <c r="A638" s="811"/>
      <c r="B638" s="811"/>
      <c r="C638" s="815" t="s">
        <v>534</v>
      </c>
      <c r="D638" s="811"/>
      <c r="E638" s="811"/>
      <c r="F638" s="811"/>
    </row>
    <row r="639" spans="1:6">
      <c r="A639" s="811">
        <v>1</v>
      </c>
      <c r="B639" s="811" t="s">
        <v>41</v>
      </c>
      <c r="C639" s="815" t="s">
        <v>2351</v>
      </c>
      <c r="D639" s="811">
        <v>82</v>
      </c>
      <c r="E639" s="811" t="s">
        <v>41</v>
      </c>
      <c r="F639" s="811">
        <v>82</v>
      </c>
    </row>
    <row r="640" spans="1:6">
      <c r="A640" s="811">
        <v>1</v>
      </c>
      <c r="B640" s="811" t="s">
        <v>589</v>
      </c>
      <c r="C640" s="815" t="s">
        <v>2343</v>
      </c>
      <c r="D640" s="811">
        <v>16.400000000000002</v>
      </c>
      <c r="E640" s="811" t="s">
        <v>589</v>
      </c>
      <c r="F640" s="811">
        <v>16.400000000000002</v>
      </c>
    </row>
    <row r="641" spans="1:6">
      <c r="A641" s="811">
        <v>1</v>
      </c>
      <c r="B641" s="811" t="s">
        <v>41</v>
      </c>
      <c r="C641" s="815" t="s">
        <v>2337</v>
      </c>
      <c r="D641" s="811">
        <v>135.27533333333335</v>
      </c>
      <c r="E641" s="811" t="s">
        <v>41</v>
      </c>
      <c r="F641" s="811">
        <v>135.27533333333335</v>
      </c>
    </row>
    <row r="642" spans="1:6">
      <c r="A642" s="811"/>
      <c r="B642" s="811"/>
      <c r="C642" s="815"/>
      <c r="D642" s="811" t="s">
        <v>22</v>
      </c>
      <c r="E642" s="811"/>
      <c r="F642" s="811" t="s">
        <v>534</v>
      </c>
    </row>
    <row r="643" spans="1:6">
      <c r="A643" s="811"/>
      <c r="B643" s="811"/>
      <c r="C643" s="815" t="s">
        <v>2338</v>
      </c>
      <c r="D643" s="811"/>
      <c r="E643" s="811"/>
      <c r="F643" s="811">
        <v>233.67533333333336</v>
      </c>
    </row>
    <row r="644" spans="1:6">
      <c r="A644" s="811"/>
      <c r="B644" s="811"/>
      <c r="C644" s="815"/>
      <c r="D644" s="811" t="s">
        <v>22</v>
      </c>
      <c r="E644" s="811"/>
      <c r="F644" s="811" t="s">
        <v>528</v>
      </c>
    </row>
    <row r="645" spans="1:6">
      <c r="A645" s="811"/>
      <c r="B645" s="811"/>
      <c r="C645" s="815"/>
      <c r="D645" s="811"/>
      <c r="E645" s="811"/>
      <c r="F645" s="811"/>
    </row>
    <row r="646" spans="1:6">
      <c r="A646" s="811"/>
      <c r="B646" s="811"/>
      <c r="C646" s="815"/>
      <c r="D646" s="811"/>
      <c r="E646" s="811"/>
      <c r="F646" s="811"/>
    </row>
    <row r="647" spans="1:6">
      <c r="A647" s="867">
        <v>53.1</v>
      </c>
      <c r="B647" s="811" t="s">
        <v>307</v>
      </c>
      <c r="C647" s="815" t="s">
        <v>2360</v>
      </c>
      <c r="D647" s="811"/>
      <c r="E647" s="811"/>
      <c r="F647" s="811"/>
    </row>
    <row r="648" spans="1:6">
      <c r="A648" s="811"/>
      <c r="B648" s="811"/>
      <c r="C648" s="815" t="s">
        <v>3409</v>
      </c>
      <c r="D648" s="811"/>
      <c r="E648" s="811"/>
      <c r="F648" s="811"/>
    </row>
    <row r="649" spans="1:6">
      <c r="A649" s="811"/>
      <c r="B649" s="811"/>
      <c r="C649" s="815" t="s">
        <v>2362</v>
      </c>
      <c r="D649" s="811"/>
      <c r="E649" s="811"/>
      <c r="F649" s="811"/>
    </row>
    <row r="650" spans="1:6">
      <c r="A650" s="811"/>
      <c r="B650" s="811"/>
      <c r="C650" s="815" t="s">
        <v>2363</v>
      </c>
      <c r="D650" s="811"/>
      <c r="E650" s="811"/>
      <c r="F650" s="811"/>
    </row>
    <row r="651" spans="1:6">
      <c r="A651" s="811"/>
      <c r="B651" s="811"/>
      <c r="C651" s="815" t="s">
        <v>534</v>
      </c>
      <c r="D651" s="811"/>
      <c r="E651" s="811"/>
      <c r="F651" s="811"/>
    </row>
    <row r="652" spans="1:6" ht="78.75">
      <c r="A652" s="811">
        <v>1</v>
      </c>
      <c r="B652" s="811" t="s">
        <v>576</v>
      </c>
      <c r="C652" s="815" t="s">
        <v>2364</v>
      </c>
      <c r="D652" s="811">
        <v>1625</v>
      </c>
      <c r="E652" s="811" t="s">
        <v>576</v>
      </c>
      <c r="F652" s="811">
        <v>1625</v>
      </c>
    </row>
    <row r="653" spans="1:6">
      <c r="A653" s="811"/>
      <c r="B653" s="811"/>
      <c r="C653" s="815"/>
      <c r="D653" s="811"/>
      <c r="E653" s="811"/>
      <c r="F653" s="811"/>
    </row>
    <row r="654" spans="1:6">
      <c r="A654" s="811"/>
      <c r="B654" s="811"/>
      <c r="C654" s="815"/>
      <c r="D654" s="811"/>
      <c r="E654" s="811"/>
      <c r="F654" s="811"/>
    </row>
    <row r="655" spans="1:6" ht="31.5">
      <c r="A655" s="811">
        <v>1</v>
      </c>
      <c r="B655" s="811" t="s">
        <v>576</v>
      </c>
      <c r="C655" s="815" t="s">
        <v>2365</v>
      </c>
      <c r="D655" s="811">
        <v>-159</v>
      </c>
      <c r="E655" s="811" t="s">
        <v>576</v>
      </c>
      <c r="F655" s="811">
        <v>-159</v>
      </c>
    </row>
    <row r="656" spans="1:6">
      <c r="A656" s="811"/>
      <c r="B656" s="811"/>
      <c r="C656" s="815"/>
      <c r="D656" s="811"/>
      <c r="E656" s="811"/>
      <c r="F656" s="811"/>
    </row>
    <row r="657" spans="1:6">
      <c r="A657" s="811">
        <v>1</v>
      </c>
      <c r="B657" s="811" t="s">
        <v>576</v>
      </c>
      <c r="C657" s="815" t="s">
        <v>2366</v>
      </c>
      <c r="D657" s="811">
        <v>250</v>
      </c>
      <c r="E657" s="811" t="s">
        <v>576</v>
      </c>
      <c r="F657" s="811">
        <v>250</v>
      </c>
    </row>
    <row r="658" spans="1:6">
      <c r="A658" s="811"/>
      <c r="B658" s="811"/>
      <c r="C658" s="815"/>
      <c r="D658" s="811"/>
      <c r="E658" s="811"/>
      <c r="F658" s="811"/>
    </row>
    <row r="659" spans="1:6">
      <c r="A659" s="811">
        <v>0.5</v>
      </c>
      <c r="B659" s="811" t="s">
        <v>576</v>
      </c>
      <c r="C659" s="815" t="s">
        <v>2202</v>
      </c>
      <c r="D659" s="811">
        <v>622.6</v>
      </c>
      <c r="E659" s="811" t="s">
        <v>576</v>
      </c>
      <c r="F659" s="811">
        <v>311.3</v>
      </c>
    </row>
    <row r="660" spans="1:6">
      <c r="A660" s="811">
        <v>1</v>
      </c>
      <c r="B660" s="811" t="s">
        <v>576</v>
      </c>
      <c r="C660" s="815" t="s">
        <v>754</v>
      </c>
      <c r="D660" s="811">
        <v>468.6</v>
      </c>
      <c r="E660" s="811" t="s">
        <v>576</v>
      </c>
      <c r="F660" s="811">
        <v>468.6</v>
      </c>
    </row>
    <row r="661" spans="1:6">
      <c r="A661" s="811">
        <v>0.5</v>
      </c>
      <c r="B661" s="811" t="s">
        <v>576</v>
      </c>
      <c r="C661" s="815" t="s">
        <v>778</v>
      </c>
      <c r="D661" s="811">
        <v>717.2</v>
      </c>
      <c r="E661" s="811" t="s">
        <v>576</v>
      </c>
      <c r="F661" s="811">
        <v>358.6</v>
      </c>
    </row>
    <row r="662" spans="1:6">
      <c r="A662" s="811"/>
      <c r="B662" s="811" t="s">
        <v>589</v>
      </c>
      <c r="C662" s="815" t="s">
        <v>2367</v>
      </c>
      <c r="D662" s="811"/>
      <c r="E662" s="811" t="s">
        <v>589</v>
      </c>
      <c r="F662" s="811">
        <v>0.82</v>
      </c>
    </row>
    <row r="663" spans="1:6">
      <c r="A663" s="811"/>
      <c r="B663" s="811"/>
      <c r="C663" s="815"/>
      <c r="D663" s="811"/>
      <c r="E663" s="811"/>
      <c r="F663" s="811" t="s">
        <v>534</v>
      </c>
    </row>
    <row r="664" spans="1:6">
      <c r="A664" s="811"/>
      <c r="B664" s="811"/>
      <c r="C664" s="815" t="s">
        <v>1299</v>
      </c>
      <c r="D664" s="811"/>
      <c r="E664" s="811"/>
      <c r="F664" s="811">
        <v>2855.32</v>
      </c>
    </row>
    <row r="665" spans="1:6">
      <c r="A665" s="811"/>
      <c r="B665" s="811"/>
      <c r="C665" s="815"/>
      <c r="D665" s="811"/>
      <c r="E665" s="811"/>
      <c r="F665" s="811"/>
    </row>
    <row r="666" spans="1:6">
      <c r="A666" s="812">
        <v>54</v>
      </c>
      <c r="B666" s="811" t="s">
        <v>307</v>
      </c>
      <c r="C666" s="815" t="s">
        <v>2373</v>
      </c>
      <c r="D666" s="811"/>
      <c r="E666" s="811" t="s">
        <v>332</v>
      </c>
      <c r="F666" s="811">
        <v>200</v>
      </c>
    </row>
    <row r="667" spans="1:6">
      <c r="A667" s="811"/>
      <c r="B667" s="811"/>
      <c r="C667" s="815"/>
      <c r="D667" s="811"/>
      <c r="E667" s="811"/>
      <c r="F667" s="811" t="s">
        <v>528</v>
      </c>
    </row>
    <row r="668" spans="1:6">
      <c r="A668" s="811"/>
      <c r="B668" s="811"/>
      <c r="C668" s="815"/>
      <c r="D668" s="811"/>
      <c r="E668" s="811"/>
      <c r="F668" s="811"/>
    </row>
    <row r="669" spans="1:6">
      <c r="A669" s="867">
        <v>54.1</v>
      </c>
      <c r="B669" s="811" t="s">
        <v>307</v>
      </c>
      <c r="C669" s="815" t="s">
        <v>2374</v>
      </c>
      <c r="D669" s="811"/>
      <c r="E669" s="811" t="s">
        <v>332</v>
      </c>
      <c r="F669" s="811">
        <v>300</v>
      </c>
    </row>
    <row r="670" spans="1:6">
      <c r="A670" s="811"/>
      <c r="B670" s="811"/>
      <c r="C670" s="815"/>
      <c r="D670" s="811"/>
      <c r="E670" s="811"/>
      <c r="F670" s="811" t="s">
        <v>528</v>
      </c>
    </row>
    <row r="671" spans="1:6">
      <c r="A671" s="811"/>
      <c r="B671" s="811"/>
      <c r="C671" s="815"/>
      <c r="D671" s="811"/>
      <c r="E671" s="811"/>
      <c r="F671" s="811"/>
    </row>
    <row r="672" spans="1:6">
      <c r="A672" s="867">
        <v>54.2</v>
      </c>
      <c r="B672" s="811" t="s">
        <v>307</v>
      </c>
      <c r="C672" s="815" t="s">
        <v>2375</v>
      </c>
      <c r="D672" s="811"/>
      <c r="E672" s="811" t="s">
        <v>332</v>
      </c>
      <c r="F672" s="811">
        <v>250</v>
      </c>
    </row>
    <row r="673" spans="1:6">
      <c r="A673" s="811"/>
      <c r="B673" s="811"/>
      <c r="C673" s="815"/>
      <c r="D673" s="811"/>
      <c r="E673" s="811"/>
      <c r="F673" s="811" t="s">
        <v>528</v>
      </c>
    </row>
    <row r="674" spans="1:6">
      <c r="A674" s="811"/>
      <c r="B674" s="811"/>
      <c r="C674" s="815"/>
      <c r="D674" s="811"/>
      <c r="E674" s="811"/>
      <c r="F674" s="811"/>
    </row>
    <row r="675" spans="1:6">
      <c r="A675" s="811" t="s">
        <v>2376</v>
      </c>
      <c r="B675" s="811" t="s">
        <v>307</v>
      </c>
      <c r="C675" s="815" t="s">
        <v>2377</v>
      </c>
      <c r="D675" s="811"/>
      <c r="E675" s="811"/>
      <c r="F675" s="811"/>
    </row>
    <row r="676" spans="1:6">
      <c r="A676" s="811"/>
      <c r="B676" s="811"/>
      <c r="C676" s="815" t="s">
        <v>2378</v>
      </c>
      <c r="D676" s="811"/>
      <c r="E676" s="811"/>
      <c r="F676" s="811"/>
    </row>
    <row r="677" spans="1:6">
      <c r="A677" s="811"/>
      <c r="B677" s="811"/>
      <c r="C677" s="815" t="s">
        <v>2379</v>
      </c>
      <c r="D677" s="811"/>
      <c r="E677" s="811"/>
      <c r="F677" s="811"/>
    </row>
    <row r="678" spans="1:6">
      <c r="A678" s="811"/>
      <c r="B678" s="811"/>
      <c r="C678" s="815" t="s">
        <v>2380</v>
      </c>
      <c r="D678" s="811"/>
      <c r="E678" s="811"/>
      <c r="F678" s="811"/>
    </row>
    <row r="679" spans="1:6">
      <c r="A679" s="811"/>
      <c r="B679" s="811"/>
      <c r="C679" s="815" t="s">
        <v>534</v>
      </c>
      <c r="D679" s="811"/>
      <c r="E679" s="811"/>
      <c r="F679" s="811"/>
    </row>
    <row r="680" spans="1:6">
      <c r="A680" s="811">
        <v>1</v>
      </c>
      <c r="B680" s="811" t="s">
        <v>576</v>
      </c>
      <c r="C680" s="815" t="s">
        <v>2381</v>
      </c>
      <c r="D680" s="811">
        <v>1170</v>
      </c>
      <c r="E680" s="811" t="s">
        <v>576</v>
      </c>
      <c r="F680" s="811">
        <v>1170</v>
      </c>
    </row>
    <row r="681" spans="1:6">
      <c r="A681" s="811">
        <v>0.65</v>
      </c>
      <c r="B681" s="811" t="s">
        <v>577</v>
      </c>
      <c r="C681" s="815" t="s">
        <v>2382</v>
      </c>
      <c r="D681" s="811">
        <v>160.82</v>
      </c>
      <c r="E681" s="811" t="s">
        <v>577</v>
      </c>
      <c r="F681" s="811">
        <v>104.533</v>
      </c>
    </row>
    <row r="682" spans="1:6">
      <c r="A682" s="811">
        <v>0.56999999999999995</v>
      </c>
      <c r="B682" s="811" t="s">
        <v>577</v>
      </c>
      <c r="C682" s="815" t="s">
        <v>2383</v>
      </c>
      <c r="D682" s="811">
        <v>28.05</v>
      </c>
      <c r="E682" s="811" t="s">
        <v>577</v>
      </c>
      <c r="F682" s="811">
        <v>15.988499999999998</v>
      </c>
    </row>
    <row r="683" spans="1:6">
      <c r="A683" s="816">
        <v>8.1000000000000003E-2</v>
      </c>
      <c r="B683" s="811" t="s">
        <v>577</v>
      </c>
      <c r="C683" s="815" t="s">
        <v>2384</v>
      </c>
      <c r="D683" s="811">
        <v>3405.6734999999999</v>
      </c>
      <c r="E683" s="811" t="s">
        <v>577</v>
      </c>
      <c r="F683" s="811">
        <v>275.8595535</v>
      </c>
    </row>
    <row r="684" spans="1:6">
      <c r="A684" s="811">
        <v>1</v>
      </c>
      <c r="B684" s="811" t="s">
        <v>576</v>
      </c>
      <c r="C684" s="815" t="s">
        <v>2202</v>
      </c>
      <c r="D684" s="811">
        <v>622.6</v>
      </c>
      <c r="E684" s="811" t="s">
        <v>576</v>
      </c>
      <c r="F684" s="811">
        <v>622.6</v>
      </c>
    </row>
    <row r="685" spans="1:6">
      <c r="A685" s="811">
        <v>0.5</v>
      </c>
      <c r="B685" s="811" t="s">
        <v>576</v>
      </c>
      <c r="C685" s="815" t="s">
        <v>752</v>
      </c>
      <c r="D685" s="811">
        <v>669.90000000000009</v>
      </c>
      <c r="E685" s="811" t="s">
        <v>576</v>
      </c>
      <c r="F685" s="811">
        <v>334.95000000000005</v>
      </c>
    </row>
    <row r="686" spans="1:6">
      <c r="A686" s="811">
        <v>0.5</v>
      </c>
      <c r="B686" s="811" t="s">
        <v>576</v>
      </c>
      <c r="C686" s="815" t="s">
        <v>754</v>
      </c>
      <c r="D686" s="811">
        <v>468.6</v>
      </c>
      <c r="E686" s="811" t="s">
        <v>576</v>
      </c>
      <c r="F686" s="811">
        <v>234.3</v>
      </c>
    </row>
    <row r="687" spans="1:6">
      <c r="A687" s="811"/>
      <c r="B687" s="811" t="s">
        <v>589</v>
      </c>
      <c r="C687" s="815" t="s">
        <v>590</v>
      </c>
      <c r="D687" s="811" t="s">
        <v>22</v>
      </c>
      <c r="E687" s="811" t="s">
        <v>589</v>
      </c>
      <c r="F687" s="811">
        <v>1.25</v>
      </c>
    </row>
    <row r="688" spans="1:6">
      <c r="A688" s="811"/>
      <c r="B688" s="811"/>
      <c r="C688" s="815"/>
      <c r="D688" s="811"/>
      <c r="E688" s="811"/>
      <c r="F688" s="811" t="s">
        <v>534</v>
      </c>
    </row>
    <row r="689" spans="1:6">
      <c r="A689" s="811"/>
      <c r="B689" s="811"/>
      <c r="C689" s="815" t="s">
        <v>1299</v>
      </c>
      <c r="D689" s="811"/>
      <c r="E689" s="811"/>
      <c r="F689" s="811">
        <v>2759.4810534999997</v>
      </c>
    </row>
    <row r="690" spans="1:6">
      <c r="A690" s="811"/>
      <c r="B690" s="811"/>
      <c r="C690" s="815"/>
      <c r="D690" s="811"/>
      <c r="E690" s="811"/>
      <c r="F690" s="811" t="s">
        <v>528</v>
      </c>
    </row>
    <row r="691" spans="1:6">
      <c r="A691" s="811"/>
      <c r="B691" s="811" t="s">
        <v>22</v>
      </c>
      <c r="C691" s="815" t="s">
        <v>22</v>
      </c>
      <c r="D691" s="811"/>
      <c r="E691" s="811"/>
      <c r="F691" s="811" t="s">
        <v>22</v>
      </c>
    </row>
    <row r="692" spans="1:6">
      <c r="A692" s="811"/>
      <c r="B692" s="811"/>
      <c r="C692" s="815"/>
      <c r="D692" s="811"/>
      <c r="E692" s="811" t="s">
        <v>22</v>
      </c>
      <c r="F692" s="811" t="s">
        <v>22</v>
      </c>
    </row>
    <row r="693" spans="1:6">
      <c r="A693" s="811"/>
      <c r="B693" s="811"/>
      <c r="C693" s="815"/>
      <c r="D693" s="811"/>
      <c r="E693" s="811"/>
      <c r="F693" s="811"/>
    </row>
    <row r="694" spans="1:6">
      <c r="A694" s="811" t="s">
        <v>2403</v>
      </c>
      <c r="B694" s="811" t="s">
        <v>307</v>
      </c>
      <c r="C694" s="815" t="s">
        <v>2404</v>
      </c>
      <c r="D694" s="811"/>
      <c r="E694" s="811"/>
      <c r="F694" s="811"/>
    </row>
    <row r="695" spans="1:6">
      <c r="A695" s="811"/>
      <c r="B695" s="811"/>
      <c r="C695" s="815" t="s">
        <v>2405</v>
      </c>
      <c r="D695" s="811"/>
      <c r="E695" s="811"/>
      <c r="F695" s="811"/>
    </row>
    <row r="696" spans="1:6">
      <c r="A696" s="811"/>
      <c r="B696" s="811"/>
      <c r="C696" s="815" t="s">
        <v>534</v>
      </c>
      <c r="D696" s="811"/>
      <c r="E696" s="811"/>
      <c r="F696" s="811"/>
    </row>
    <row r="697" spans="1:6">
      <c r="A697" s="811"/>
      <c r="B697" s="811" t="s">
        <v>930</v>
      </c>
      <c r="C697" s="815" t="s">
        <v>2406</v>
      </c>
      <c r="D697" s="811"/>
      <c r="E697" s="811"/>
      <c r="F697" s="811"/>
    </row>
    <row r="698" spans="1:6">
      <c r="A698" s="811"/>
      <c r="B698" s="811"/>
      <c r="C698" s="815" t="s">
        <v>3410</v>
      </c>
      <c r="D698" s="811"/>
      <c r="E698" s="811"/>
      <c r="F698" s="811"/>
    </row>
    <row r="699" spans="1:6">
      <c r="A699" s="811"/>
      <c r="B699" s="811"/>
      <c r="C699" s="815" t="s">
        <v>2408</v>
      </c>
      <c r="D699" s="811"/>
      <c r="E699" s="811"/>
      <c r="F699" s="811"/>
    </row>
    <row r="700" spans="1:6">
      <c r="A700" s="811"/>
      <c r="B700" s="811"/>
      <c r="C700" s="815" t="s">
        <v>2409</v>
      </c>
      <c r="D700" s="811"/>
      <c r="E700" s="811"/>
      <c r="F700" s="811"/>
    </row>
    <row r="701" spans="1:6">
      <c r="A701" s="811"/>
      <c r="B701" s="811"/>
      <c r="C701" s="815" t="s">
        <v>2410</v>
      </c>
      <c r="D701" s="811"/>
      <c r="E701" s="811"/>
      <c r="F701" s="811"/>
    </row>
    <row r="702" spans="1:6">
      <c r="A702" s="811"/>
      <c r="B702" s="811"/>
      <c r="C702" s="815" t="s">
        <v>2411</v>
      </c>
      <c r="D702" s="811"/>
      <c r="E702" s="811"/>
      <c r="F702" s="811"/>
    </row>
    <row r="703" spans="1:6">
      <c r="A703" s="811"/>
      <c r="B703" s="811"/>
      <c r="C703" s="815" t="s">
        <v>2412</v>
      </c>
      <c r="D703" s="811"/>
      <c r="E703" s="811"/>
      <c r="F703" s="811"/>
    </row>
    <row r="704" spans="1:6">
      <c r="A704" s="811"/>
      <c r="B704" s="811"/>
      <c r="C704" s="815" t="s">
        <v>534</v>
      </c>
      <c r="D704" s="811"/>
      <c r="E704" s="811"/>
      <c r="F704" s="811"/>
    </row>
    <row r="705" spans="1:6">
      <c r="A705" s="811">
        <v>3</v>
      </c>
      <c r="B705" s="811" t="s">
        <v>410</v>
      </c>
      <c r="C705" s="815" t="s">
        <v>2413</v>
      </c>
      <c r="D705" s="811">
        <v>193.05</v>
      </c>
      <c r="E705" s="811" t="s">
        <v>410</v>
      </c>
      <c r="F705" s="811">
        <v>579.15000000000009</v>
      </c>
    </row>
    <row r="706" spans="1:6">
      <c r="A706" s="811">
        <v>1</v>
      </c>
      <c r="B706" s="811" t="s">
        <v>680</v>
      </c>
      <c r="C706" s="815" t="s">
        <v>2414</v>
      </c>
      <c r="D706" s="811">
        <v>76</v>
      </c>
      <c r="E706" s="811" t="s">
        <v>1549</v>
      </c>
      <c r="F706" s="811">
        <v>76</v>
      </c>
    </row>
    <row r="707" spans="1:6">
      <c r="A707" s="811">
        <v>1</v>
      </c>
      <c r="B707" s="811" t="s">
        <v>680</v>
      </c>
      <c r="C707" s="815" t="s">
        <v>2415</v>
      </c>
      <c r="D707" s="811">
        <v>70</v>
      </c>
      <c r="E707" s="811" t="s">
        <v>1549</v>
      </c>
      <c r="F707" s="811">
        <v>70</v>
      </c>
    </row>
    <row r="708" spans="1:6">
      <c r="A708" s="811">
        <v>1</v>
      </c>
      <c r="B708" s="811" t="s">
        <v>680</v>
      </c>
      <c r="C708" s="815" t="s">
        <v>2416</v>
      </c>
      <c r="D708" s="811">
        <v>159.80000000000001</v>
      </c>
      <c r="E708" s="811" t="s">
        <v>1549</v>
      </c>
      <c r="F708" s="811">
        <v>159.80000000000001</v>
      </c>
    </row>
    <row r="709" spans="1:6">
      <c r="A709" s="811">
        <v>0.5</v>
      </c>
      <c r="B709" s="811" t="s">
        <v>576</v>
      </c>
      <c r="C709" s="815" t="s">
        <v>2202</v>
      </c>
      <c r="D709" s="811">
        <v>622.6</v>
      </c>
      <c r="E709" s="811" t="s">
        <v>1549</v>
      </c>
      <c r="F709" s="811">
        <v>311.3</v>
      </c>
    </row>
    <row r="710" spans="1:6">
      <c r="A710" s="811">
        <v>0.5</v>
      </c>
      <c r="B710" s="811" t="s">
        <v>576</v>
      </c>
      <c r="C710" s="815" t="s">
        <v>752</v>
      </c>
      <c r="D710" s="811">
        <v>669.90000000000009</v>
      </c>
      <c r="E710" s="811" t="s">
        <v>1549</v>
      </c>
      <c r="F710" s="811">
        <v>334.95000000000005</v>
      </c>
    </row>
    <row r="711" spans="1:6">
      <c r="A711" s="811">
        <v>0.5</v>
      </c>
      <c r="B711" s="811" t="s">
        <v>576</v>
      </c>
      <c r="C711" s="815" t="s">
        <v>754</v>
      </c>
      <c r="D711" s="811">
        <v>468.6</v>
      </c>
      <c r="E711" s="811" t="s">
        <v>1549</v>
      </c>
      <c r="F711" s="811">
        <v>234.3</v>
      </c>
    </row>
    <row r="712" spans="1:6">
      <c r="A712" s="811"/>
      <c r="B712" s="811" t="s">
        <v>589</v>
      </c>
      <c r="C712" s="815" t="s">
        <v>2417</v>
      </c>
      <c r="D712" s="811">
        <v>2.79</v>
      </c>
      <c r="E712" s="811" t="s">
        <v>589</v>
      </c>
      <c r="F712" s="811">
        <v>2.79</v>
      </c>
    </row>
    <row r="713" spans="1:6">
      <c r="A713" s="811"/>
      <c r="B713" s="811"/>
      <c r="C713" s="815" t="s">
        <v>2418</v>
      </c>
      <c r="D713" s="811"/>
      <c r="E713" s="811"/>
      <c r="F713" s="811"/>
    </row>
    <row r="714" spans="1:6">
      <c r="A714" s="811"/>
      <c r="B714" s="811"/>
      <c r="C714" s="815" t="s">
        <v>2419</v>
      </c>
      <c r="D714" s="811"/>
      <c r="E714" s="811"/>
      <c r="F714" s="811"/>
    </row>
    <row r="715" spans="1:6">
      <c r="A715" s="811"/>
      <c r="B715" s="811"/>
      <c r="C715" s="815" t="s">
        <v>2420</v>
      </c>
      <c r="D715" s="811"/>
      <c r="E715" s="811" t="s">
        <v>589</v>
      </c>
      <c r="F715" s="811">
        <v>0.12</v>
      </c>
    </row>
    <row r="716" spans="1:6">
      <c r="A716" s="811"/>
      <c r="B716" s="811"/>
      <c r="C716" s="815"/>
      <c r="D716" s="811"/>
      <c r="E716" s="811"/>
      <c r="F716" s="811" t="s">
        <v>534</v>
      </c>
    </row>
    <row r="717" spans="1:6">
      <c r="A717" s="811"/>
      <c r="B717" s="811"/>
      <c r="C717" s="815" t="s">
        <v>2206</v>
      </c>
      <c r="D717" s="811"/>
      <c r="E717" s="811"/>
      <c r="F717" s="811">
        <v>1768.4099999999999</v>
      </c>
    </row>
    <row r="718" spans="1:6">
      <c r="A718" s="811"/>
      <c r="B718" s="811"/>
      <c r="C718" s="815"/>
      <c r="D718" s="811"/>
      <c r="E718" s="811"/>
      <c r="F718" s="811" t="s">
        <v>534</v>
      </c>
    </row>
    <row r="719" spans="1:6">
      <c r="A719" s="811"/>
      <c r="B719" s="811"/>
      <c r="C719" s="815" t="s">
        <v>1139</v>
      </c>
      <c r="D719" s="811"/>
      <c r="E719" s="811"/>
      <c r="F719" s="811">
        <v>589.46999999999991</v>
      </c>
    </row>
    <row r="720" spans="1:6">
      <c r="A720" s="811"/>
      <c r="B720" s="811"/>
      <c r="C720" s="815"/>
      <c r="D720" s="811"/>
      <c r="E720" s="811"/>
      <c r="F720" s="811" t="s">
        <v>534</v>
      </c>
    </row>
    <row r="721" spans="1:6">
      <c r="A721" s="811" t="s">
        <v>2421</v>
      </c>
      <c r="B721" s="811" t="s">
        <v>2422</v>
      </c>
      <c r="C721" s="815" t="s">
        <v>2423</v>
      </c>
      <c r="D721" s="811"/>
      <c r="E721" s="811"/>
      <c r="F721" s="811"/>
    </row>
    <row r="722" spans="1:6">
      <c r="A722" s="811"/>
      <c r="B722" s="811"/>
      <c r="C722" s="815" t="s">
        <v>3411</v>
      </c>
      <c r="D722" s="811"/>
      <c r="E722" s="811"/>
      <c r="F722" s="811"/>
    </row>
    <row r="723" spans="1:6">
      <c r="A723" s="811"/>
      <c r="B723" s="811"/>
      <c r="C723" s="815" t="s">
        <v>2408</v>
      </c>
      <c r="D723" s="811"/>
      <c r="E723" s="811"/>
      <c r="F723" s="811"/>
    </row>
    <row r="724" spans="1:6">
      <c r="A724" s="811"/>
      <c r="B724" s="811"/>
      <c r="C724" s="815" t="s">
        <v>2425</v>
      </c>
      <c r="D724" s="811"/>
      <c r="E724" s="811"/>
      <c r="F724" s="811"/>
    </row>
    <row r="725" spans="1:6">
      <c r="A725" s="811"/>
      <c r="B725" s="811"/>
      <c r="C725" s="815" t="s">
        <v>2426</v>
      </c>
      <c r="D725" s="811"/>
      <c r="E725" s="811"/>
      <c r="F725" s="811"/>
    </row>
    <row r="726" spans="1:6">
      <c r="A726" s="811"/>
      <c r="B726" s="811"/>
      <c r="C726" s="815" t="s">
        <v>2411</v>
      </c>
      <c r="D726" s="811"/>
      <c r="E726" s="811"/>
      <c r="F726" s="811"/>
    </row>
    <row r="727" spans="1:6">
      <c r="A727" s="811"/>
      <c r="B727" s="811"/>
      <c r="C727" s="815" t="s">
        <v>2412</v>
      </c>
      <c r="D727" s="811"/>
      <c r="E727" s="811"/>
      <c r="F727" s="811"/>
    </row>
    <row r="728" spans="1:6">
      <c r="A728" s="811"/>
      <c r="B728" s="811"/>
      <c r="C728" s="815" t="s">
        <v>534</v>
      </c>
      <c r="D728" s="811"/>
      <c r="E728" s="811"/>
      <c r="F728" s="811"/>
    </row>
    <row r="729" spans="1:6">
      <c r="A729" s="811">
        <v>3</v>
      </c>
      <c r="B729" s="811" t="s">
        <v>410</v>
      </c>
      <c r="C729" s="815" t="s">
        <v>2427</v>
      </c>
      <c r="D729" s="811">
        <v>115.85</v>
      </c>
      <c r="E729" s="811" t="s">
        <v>410</v>
      </c>
      <c r="F729" s="811">
        <v>347.54999999999995</v>
      </c>
    </row>
    <row r="730" spans="1:6">
      <c r="A730" s="811">
        <v>1</v>
      </c>
      <c r="B730" s="811" t="s">
        <v>680</v>
      </c>
      <c r="C730" s="815" t="s">
        <v>2428</v>
      </c>
      <c r="D730" s="811">
        <v>45</v>
      </c>
      <c r="E730" s="811" t="s">
        <v>1549</v>
      </c>
      <c r="F730" s="811">
        <v>45</v>
      </c>
    </row>
    <row r="731" spans="1:6">
      <c r="A731" s="811">
        <v>1</v>
      </c>
      <c r="B731" s="811" t="s">
        <v>680</v>
      </c>
      <c r="C731" s="815" t="s">
        <v>2429</v>
      </c>
      <c r="D731" s="811">
        <v>47.3</v>
      </c>
      <c r="E731" s="811" t="s">
        <v>1549</v>
      </c>
      <c r="F731" s="811">
        <v>47.3</v>
      </c>
    </row>
    <row r="732" spans="1:6">
      <c r="A732" s="811">
        <v>1</v>
      </c>
      <c r="B732" s="811" t="s">
        <v>680</v>
      </c>
      <c r="C732" s="815" t="s">
        <v>2430</v>
      </c>
      <c r="D732" s="811">
        <v>106.6</v>
      </c>
      <c r="E732" s="811" t="s">
        <v>1549</v>
      </c>
      <c r="F732" s="811">
        <v>106.6</v>
      </c>
    </row>
    <row r="733" spans="1:6">
      <c r="A733" s="811">
        <v>0.5</v>
      </c>
      <c r="B733" s="811" t="s">
        <v>576</v>
      </c>
      <c r="C733" s="815" t="s">
        <v>2202</v>
      </c>
      <c r="D733" s="811">
        <v>622.6</v>
      </c>
      <c r="E733" s="811" t="s">
        <v>1549</v>
      </c>
      <c r="F733" s="811">
        <v>311.3</v>
      </c>
    </row>
    <row r="734" spans="1:6">
      <c r="A734" s="811">
        <v>0.5</v>
      </c>
      <c r="B734" s="811" t="s">
        <v>576</v>
      </c>
      <c r="C734" s="815" t="s">
        <v>752</v>
      </c>
      <c r="D734" s="811">
        <v>669.90000000000009</v>
      </c>
      <c r="E734" s="811" t="s">
        <v>1549</v>
      </c>
      <c r="F734" s="811">
        <v>334.95000000000005</v>
      </c>
    </row>
    <row r="735" spans="1:6">
      <c r="A735" s="811">
        <v>0.5</v>
      </c>
      <c r="B735" s="811" t="s">
        <v>576</v>
      </c>
      <c r="C735" s="815" t="s">
        <v>754</v>
      </c>
      <c r="D735" s="811">
        <v>468.6</v>
      </c>
      <c r="E735" s="811" t="s">
        <v>1549</v>
      </c>
      <c r="F735" s="811">
        <v>234.3</v>
      </c>
    </row>
    <row r="736" spans="1:6">
      <c r="A736" s="811"/>
      <c r="B736" s="811" t="s">
        <v>589</v>
      </c>
      <c r="C736" s="815" t="s">
        <v>2417</v>
      </c>
      <c r="D736" s="811" t="s">
        <v>22</v>
      </c>
      <c r="E736" s="811" t="s">
        <v>589</v>
      </c>
      <c r="F736" s="811">
        <v>2.73</v>
      </c>
    </row>
    <row r="737" spans="1:6">
      <c r="A737" s="811"/>
      <c r="B737" s="811"/>
      <c r="C737" s="815" t="s">
        <v>2418</v>
      </c>
      <c r="D737" s="811"/>
      <c r="E737" s="811"/>
      <c r="F737" s="811"/>
    </row>
    <row r="738" spans="1:6">
      <c r="A738" s="811"/>
      <c r="B738" s="811"/>
      <c r="C738" s="815" t="s">
        <v>2419</v>
      </c>
      <c r="D738" s="811"/>
      <c r="E738" s="811"/>
      <c r="F738" s="811"/>
    </row>
    <row r="739" spans="1:6">
      <c r="A739" s="811"/>
      <c r="B739" s="811"/>
      <c r="C739" s="815" t="s">
        <v>2420</v>
      </c>
      <c r="D739" s="811"/>
      <c r="E739" s="811" t="s">
        <v>589</v>
      </c>
      <c r="F739" s="811">
        <v>0.27</v>
      </c>
    </row>
    <row r="740" spans="1:6">
      <c r="A740" s="811"/>
      <c r="B740" s="811"/>
      <c r="C740" s="815"/>
      <c r="D740" s="811"/>
      <c r="E740" s="811"/>
      <c r="F740" s="811" t="s">
        <v>534</v>
      </c>
    </row>
    <row r="741" spans="1:6">
      <c r="A741" s="811"/>
      <c r="B741" s="811"/>
      <c r="C741" s="815" t="s">
        <v>2206</v>
      </c>
      <c r="D741" s="811"/>
      <c r="E741" s="811"/>
      <c r="F741" s="811">
        <v>1430</v>
      </c>
    </row>
    <row r="742" spans="1:6">
      <c r="A742" s="811"/>
      <c r="B742" s="811"/>
      <c r="C742" s="815"/>
      <c r="D742" s="811"/>
      <c r="E742" s="811"/>
      <c r="F742" s="811" t="s">
        <v>534</v>
      </c>
    </row>
    <row r="743" spans="1:6">
      <c r="A743" s="811"/>
      <c r="B743" s="811"/>
      <c r="C743" s="815" t="s">
        <v>1139</v>
      </c>
      <c r="D743" s="811"/>
      <c r="E743" s="811"/>
      <c r="F743" s="811">
        <v>476.66666666666669</v>
      </c>
    </row>
    <row r="744" spans="1:6">
      <c r="A744" s="811"/>
      <c r="B744" s="811"/>
      <c r="C744" s="815"/>
      <c r="D744" s="811"/>
      <c r="E744" s="811"/>
      <c r="F744" s="811" t="s">
        <v>534</v>
      </c>
    </row>
    <row r="745" spans="1:6">
      <c r="A745" s="811"/>
      <c r="B745" s="811"/>
      <c r="C745" s="815"/>
      <c r="D745" s="811"/>
      <c r="E745" s="811"/>
      <c r="F745" s="811"/>
    </row>
    <row r="746" spans="1:6">
      <c r="A746" s="811"/>
      <c r="B746" s="811"/>
      <c r="C746" s="815" t="s">
        <v>2648</v>
      </c>
      <c r="D746" s="811"/>
      <c r="E746" s="811"/>
      <c r="F746" s="811"/>
    </row>
    <row r="747" spans="1:6">
      <c r="A747" s="811">
        <v>1</v>
      </c>
      <c r="B747" s="811" t="s">
        <v>42</v>
      </c>
      <c r="C747" s="815" t="s">
        <v>2651</v>
      </c>
      <c r="D747" s="811">
        <v>913</v>
      </c>
      <c r="E747" s="811" t="s">
        <v>576</v>
      </c>
      <c r="F747" s="811">
        <v>913</v>
      </c>
    </row>
    <row r="748" spans="1:6">
      <c r="A748" s="811">
        <v>0.5</v>
      </c>
      <c r="B748" s="811" t="s">
        <v>42</v>
      </c>
      <c r="C748" s="815" t="s">
        <v>2653</v>
      </c>
      <c r="D748" s="811">
        <v>622.6</v>
      </c>
      <c r="E748" s="811" t="s">
        <v>576</v>
      </c>
      <c r="F748" s="811">
        <v>311.3</v>
      </c>
    </row>
    <row r="749" spans="1:6">
      <c r="A749" s="811">
        <v>0.5</v>
      </c>
      <c r="B749" s="811" t="s">
        <v>42</v>
      </c>
      <c r="C749" s="815" t="s">
        <v>2616</v>
      </c>
      <c r="D749" s="811">
        <v>717.2</v>
      </c>
      <c r="E749" s="811" t="s">
        <v>576</v>
      </c>
      <c r="F749" s="811">
        <v>358.6</v>
      </c>
    </row>
    <row r="750" spans="1:6">
      <c r="A750" s="811">
        <v>0.5</v>
      </c>
      <c r="B750" s="811" t="s">
        <v>250</v>
      </c>
      <c r="C750" s="815" t="s">
        <v>2553</v>
      </c>
      <c r="D750" s="811">
        <v>468.6</v>
      </c>
      <c r="E750" s="811" t="s">
        <v>576</v>
      </c>
      <c r="F750" s="811">
        <v>234.3</v>
      </c>
    </row>
    <row r="751" spans="1:6">
      <c r="A751" s="811"/>
      <c r="B751" s="811"/>
      <c r="C751" s="815" t="s">
        <v>2657</v>
      </c>
      <c r="D751" s="811"/>
      <c r="E751" s="811" t="s">
        <v>2658</v>
      </c>
      <c r="F751" s="811">
        <v>0.25</v>
      </c>
    </row>
    <row r="752" spans="1:6">
      <c r="A752" s="811"/>
      <c r="B752" s="811"/>
      <c r="C752" s="815"/>
      <c r="D752" s="811"/>
      <c r="E752" s="811"/>
      <c r="F752" s="811"/>
    </row>
    <row r="753" spans="1:6">
      <c r="A753" s="811"/>
      <c r="B753" s="811"/>
      <c r="C753" s="815"/>
      <c r="D753" s="811"/>
      <c r="E753" s="811"/>
      <c r="F753" s="811" t="s">
        <v>1892</v>
      </c>
    </row>
    <row r="754" spans="1:6">
      <c r="A754" s="811"/>
      <c r="B754" s="811"/>
      <c r="C754" s="815"/>
      <c r="D754" s="811"/>
      <c r="E754" s="811"/>
      <c r="F754" s="811">
        <v>1817.45</v>
      </c>
    </row>
    <row r="755" spans="1:6">
      <c r="A755" s="811"/>
      <c r="B755" s="811"/>
      <c r="C755" s="815"/>
      <c r="D755" s="811"/>
      <c r="E755" s="811"/>
      <c r="F755" s="811" t="s">
        <v>1892</v>
      </c>
    </row>
    <row r="757" spans="1:6" ht="31.5">
      <c r="A757" s="811"/>
      <c r="B757" s="811" t="s">
        <v>898</v>
      </c>
      <c r="C757" s="815" t="s">
        <v>1576</v>
      </c>
      <c r="D757" s="811"/>
      <c r="E757" s="811"/>
      <c r="F757" s="811"/>
    </row>
    <row r="758" spans="1:6" ht="31.5">
      <c r="A758" s="811"/>
      <c r="B758" s="811"/>
      <c r="C758" s="815" t="s">
        <v>2510</v>
      </c>
      <c r="D758" s="811"/>
      <c r="E758" s="811"/>
      <c r="F758" s="811"/>
    </row>
    <row r="759" spans="1:6" ht="31.5">
      <c r="A759" s="811" t="s">
        <v>22</v>
      </c>
      <c r="B759" s="811"/>
      <c r="C759" s="815" t="s">
        <v>2511</v>
      </c>
      <c r="D759" s="811"/>
      <c r="E759" s="811"/>
      <c r="F759" s="811"/>
    </row>
    <row r="760" spans="1:6">
      <c r="A760" s="811" t="s">
        <v>2512</v>
      </c>
      <c r="B760" s="811"/>
      <c r="C760" s="815" t="s">
        <v>1580</v>
      </c>
      <c r="D760" s="811"/>
      <c r="E760" s="811"/>
      <c r="F760" s="811">
        <v>1203</v>
      </c>
    </row>
    <row r="761" spans="1:6" ht="31.5">
      <c r="A761" s="811" t="s">
        <v>2513</v>
      </c>
      <c r="B761" s="811"/>
      <c r="C761" s="815" t="s">
        <v>1584</v>
      </c>
      <c r="D761" s="811"/>
      <c r="E761" s="811"/>
      <c r="F761" s="811">
        <v>1207</v>
      </c>
    </row>
    <row r="762" spans="1:6">
      <c r="A762" s="811" t="s">
        <v>2514</v>
      </c>
      <c r="B762" s="811"/>
      <c r="C762" s="815" t="s">
        <v>1647</v>
      </c>
      <c r="D762" s="811"/>
      <c r="E762" s="811"/>
      <c r="F762" s="811">
        <v>1235</v>
      </c>
    </row>
    <row r="763" spans="1:6">
      <c r="A763" s="812">
        <v>65</v>
      </c>
      <c r="B763" s="811"/>
      <c r="C763" s="815" t="s">
        <v>1586</v>
      </c>
      <c r="D763" s="811"/>
      <c r="E763" s="811"/>
      <c r="F763" s="811">
        <v>1261</v>
      </c>
    </row>
    <row r="764" spans="1:6">
      <c r="A764" s="812">
        <v>66</v>
      </c>
      <c r="B764" s="811"/>
      <c r="C764" s="815" t="s">
        <v>1593</v>
      </c>
      <c r="D764" s="811"/>
      <c r="E764" s="811"/>
      <c r="F764" s="811">
        <v>2232</v>
      </c>
    </row>
    <row r="765" spans="1:6" ht="31.5">
      <c r="A765" s="812">
        <v>67</v>
      </c>
      <c r="B765" s="811"/>
      <c r="C765" s="815" t="s">
        <v>1589</v>
      </c>
      <c r="D765" s="811"/>
      <c r="E765" s="811"/>
      <c r="F765" s="811">
        <v>612</v>
      </c>
    </row>
    <row r="766" spans="1:6" ht="31.5">
      <c r="A766" s="812">
        <v>68</v>
      </c>
      <c r="B766" s="811"/>
      <c r="C766" s="815" t="s">
        <v>1591</v>
      </c>
      <c r="D766" s="811"/>
      <c r="E766" s="811"/>
      <c r="F766" s="811">
        <v>842</v>
      </c>
    </row>
    <row r="767" spans="1:6">
      <c r="A767" s="812">
        <v>69</v>
      </c>
      <c r="B767" s="811"/>
      <c r="C767" s="815" t="s">
        <v>2515</v>
      </c>
      <c r="D767" s="811"/>
      <c r="E767" s="811"/>
      <c r="F767" s="811">
        <v>128</v>
      </c>
    </row>
    <row r="768" spans="1:6">
      <c r="A768" s="812" t="s">
        <v>2516</v>
      </c>
      <c r="B768" s="811"/>
      <c r="C768" s="815" t="s">
        <v>1656</v>
      </c>
      <c r="D768" s="811"/>
      <c r="E768" s="811"/>
      <c r="F768" s="811">
        <v>432</v>
      </c>
    </row>
    <row r="769" spans="1:6" ht="31.5">
      <c r="A769" s="812" t="s">
        <v>2517</v>
      </c>
      <c r="B769" s="811"/>
      <c r="C769" s="815" t="s">
        <v>2518</v>
      </c>
      <c r="D769" s="811"/>
      <c r="E769" s="811"/>
      <c r="F769" s="811"/>
    </row>
    <row r="770" spans="1:6">
      <c r="A770" s="812" t="s">
        <v>2519</v>
      </c>
      <c r="B770" s="811"/>
      <c r="C770" s="815" t="s">
        <v>2520</v>
      </c>
      <c r="D770" s="811"/>
      <c r="E770" s="811"/>
      <c r="F770" s="811">
        <v>12</v>
      </c>
    </row>
    <row r="771" spans="1:6">
      <c r="A771" s="812" t="s">
        <v>2521</v>
      </c>
      <c r="B771" s="811"/>
      <c r="C771" s="815" t="s">
        <v>2522</v>
      </c>
      <c r="D771" s="811"/>
      <c r="E771" s="811"/>
      <c r="F771" s="811">
        <v>10</v>
      </c>
    </row>
    <row r="772" spans="1:6">
      <c r="A772" s="812">
        <v>71</v>
      </c>
      <c r="B772" s="811"/>
      <c r="C772" s="815" t="s">
        <v>1657</v>
      </c>
      <c r="D772" s="811"/>
      <c r="E772" s="811"/>
      <c r="F772" s="811">
        <v>562</v>
      </c>
    </row>
    <row r="773" spans="1:6">
      <c r="A773" s="812">
        <v>72</v>
      </c>
      <c r="B773" s="811"/>
      <c r="C773" s="815" t="s">
        <v>2523</v>
      </c>
      <c r="D773" s="811"/>
      <c r="E773" s="811"/>
      <c r="F773" s="811">
        <v>33.9</v>
      </c>
    </row>
    <row r="774" spans="1:6">
      <c r="A774" s="812" t="s">
        <v>2524</v>
      </c>
      <c r="B774" s="811"/>
      <c r="C774" s="815" t="s">
        <v>1660</v>
      </c>
      <c r="D774" s="811"/>
      <c r="E774" s="811"/>
      <c r="F774" s="811">
        <v>3909</v>
      </c>
    </row>
    <row r="775" spans="1:6">
      <c r="A775" s="812" t="s">
        <v>2525</v>
      </c>
      <c r="B775" s="811"/>
      <c r="C775" s="815" t="s">
        <v>2526</v>
      </c>
      <c r="D775" s="811"/>
      <c r="E775" s="811"/>
      <c r="F775" s="811">
        <v>3149</v>
      </c>
    </row>
    <row r="776" spans="1:6">
      <c r="A776" s="812">
        <v>74</v>
      </c>
      <c r="B776" s="811"/>
      <c r="C776" s="815" t="s">
        <v>1661</v>
      </c>
      <c r="D776" s="811"/>
      <c r="E776" s="811"/>
      <c r="F776" s="811">
        <v>404</v>
      </c>
    </row>
    <row r="777" spans="1:6" ht="31.5">
      <c r="A777" s="812" t="s">
        <v>2527</v>
      </c>
      <c r="B777" s="811"/>
      <c r="C777" s="815" t="s">
        <v>2528</v>
      </c>
      <c r="D777" s="811"/>
      <c r="E777" s="811"/>
      <c r="F777" s="811">
        <v>1185</v>
      </c>
    </row>
    <row r="778" spans="1:6">
      <c r="A778" s="812" t="s">
        <v>2529</v>
      </c>
      <c r="B778" s="811"/>
      <c r="C778" s="815" t="s">
        <v>1664</v>
      </c>
      <c r="D778" s="811"/>
      <c r="E778" s="811"/>
      <c r="F778" s="811"/>
    </row>
    <row r="779" spans="1:6" ht="31.5">
      <c r="A779" s="812">
        <v>112</v>
      </c>
      <c r="B779" s="811"/>
      <c r="C779" s="815" t="s">
        <v>2530</v>
      </c>
      <c r="D779" s="811"/>
      <c r="E779" s="811"/>
      <c r="F779" s="811">
        <v>1789.81</v>
      </c>
    </row>
    <row r="780" spans="1:6">
      <c r="A780" s="812">
        <v>76</v>
      </c>
      <c r="B780" s="811"/>
      <c r="C780" s="815" t="s">
        <v>1666</v>
      </c>
      <c r="D780" s="811"/>
      <c r="E780" s="811"/>
      <c r="F780" s="811">
        <v>0</v>
      </c>
    </row>
    <row r="781" spans="1:6">
      <c r="A781" s="812">
        <v>77</v>
      </c>
      <c r="B781" s="811"/>
      <c r="C781" s="815" t="s">
        <v>2531</v>
      </c>
      <c r="D781" s="811"/>
      <c r="E781" s="811"/>
      <c r="F781" s="811">
        <v>156.4</v>
      </c>
    </row>
    <row r="782" spans="1:6" ht="47.25">
      <c r="A782" s="867">
        <v>77.099999999999994</v>
      </c>
      <c r="B782" s="811"/>
      <c r="C782" s="815" t="s">
        <v>2532</v>
      </c>
      <c r="D782" s="811"/>
      <c r="E782" s="811"/>
      <c r="F782" s="811">
        <v>202.6</v>
      </c>
    </row>
    <row r="783" spans="1:6">
      <c r="A783" s="867">
        <v>77.2</v>
      </c>
      <c r="B783" s="811"/>
      <c r="C783" s="815" t="s">
        <v>2533</v>
      </c>
      <c r="D783" s="811"/>
      <c r="E783" s="811"/>
      <c r="F783" s="811">
        <v>500</v>
      </c>
    </row>
    <row r="784" spans="1:6" ht="31.5">
      <c r="A784" s="867">
        <v>77.3</v>
      </c>
      <c r="B784" s="811"/>
      <c r="C784" s="815" t="s">
        <v>2534</v>
      </c>
      <c r="D784" s="811"/>
      <c r="E784" s="811"/>
      <c r="F784" s="811">
        <v>76</v>
      </c>
    </row>
    <row r="785" spans="1:6">
      <c r="A785" s="812">
        <v>78</v>
      </c>
      <c r="B785" s="811"/>
      <c r="C785" s="815" t="s">
        <v>1672</v>
      </c>
      <c r="D785" s="811"/>
      <c r="E785" s="811"/>
      <c r="F785" s="811">
        <v>2198</v>
      </c>
    </row>
    <row r="786" spans="1:6" ht="31.5">
      <c r="A786" s="812">
        <v>80</v>
      </c>
      <c r="B786" s="811"/>
      <c r="C786" s="815" t="s">
        <v>1679</v>
      </c>
      <c r="D786" s="811"/>
      <c r="E786" s="811"/>
      <c r="F786" s="811">
        <v>660</v>
      </c>
    </row>
    <row r="787" spans="1:6">
      <c r="A787" s="812">
        <v>81</v>
      </c>
      <c r="B787" s="811"/>
      <c r="C787" s="815" t="s">
        <v>1682</v>
      </c>
      <c r="D787" s="811"/>
      <c r="E787" s="811"/>
      <c r="F787" s="811">
        <v>2176.0771604938273</v>
      </c>
    </row>
    <row r="788" spans="1:6">
      <c r="A788" s="812">
        <v>82</v>
      </c>
      <c r="B788" s="811"/>
      <c r="C788" s="815" t="s">
        <v>1684</v>
      </c>
      <c r="D788" s="811"/>
      <c r="E788" s="811"/>
      <c r="F788" s="811">
        <v>2369</v>
      </c>
    </row>
    <row r="789" spans="1:6">
      <c r="A789" s="812">
        <v>87</v>
      </c>
      <c r="B789" s="811"/>
      <c r="C789" s="815" t="s">
        <v>1687</v>
      </c>
      <c r="D789" s="811"/>
      <c r="E789" s="811"/>
      <c r="F789" s="811">
        <v>2437</v>
      </c>
    </row>
    <row r="790" spans="1:6">
      <c r="A790" s="811"/>
      <c r="B790" s="811"/>
      <c r="C790" s="813" t="s">
        <v>402</v>
      </c>
      <c r="D790" s="811"/>
      <c r="E790" s="811"/>
      <c r="F790" s="811">
        <v>1640.81</v>
      </c>
    </row>
    <row r="791" spans="1:6">
      <c r="A791" s="811"/>
      <c r="B791" s="811"/>
      <c r="C791" s="815" t="s">
        <v>2535</v>
      </c>
      <c r="D791" s="811"/>
      <c r="E791" s="811"/>
      <c r="F791" s="811">
        <v>137</v>
      </c>
    </row>
    <row r="792" spans="1:6" ht="31.5">
      <c r="A792" s="867">
        <v>77.400000000000006</v>
      </c>
      <c r="B792" s="811"/>
      <c r="C792" s="815" t="s">
        <v>2536</v>
      </c>
      <c r="D792" s="811"/>
      <c r="E792" s="811"/>
      <c r="F792" s="811"/>
    </row>
    <row r="793" spans="1:6" ht="31.5">
      <c r="A793" s="811"/>
      <c r="B793" s="811"/>
      <c r="C793" s="815" t="s">
        <v>2510</v>
      </c>
      <c r="D793" s="811"/>
      <c r="E793" s="811"/>
      <c r="F793" s="811"/>
    </row>
    <row r="794" spans="1:6" ht="31.5">
      <c r="A794" s="811">
        <v>90</v>
      </c>
      <c r="B794" s="811" t="s">
        <v>2537</v>
      </c>
      <c r="C794" s="815" t="s">
        <v>2538</v>
      </c>
      <c r="D794" s="811">
        <v>17.100000000000001</v>
      </c>
      <c r="E794" s="811" t="s">
        <v>2537</v>
      </c>
      <c r="F794" s="811">
        <v>1539.0000000000002</v>
      </c>
    </row>
    <row r="795" spans="1:6">
      <c r="A795" s="811">
        <v>0.15</v>
      </c>
      <c r="B795" s="811" t="s">
        <v>47</v>
      </c>
      <c r="C795" s="815" t="s">
        <v>568</v>
      </c>
      <c r="D795" s="811">
        <v>5750</v>
      </c>
      <c r="E795" s="811" t="s">
        <v>47</v>
      </c>
      <c r="F795" s="811">
        <v>862.5</v>
      </c>
    </row>
    <row r="796" spans="1:6">
      <c r="A796" s="811">
        <v>1</v>
      </c>
      <c r="B796" s="811" t="s">
        <v>680</v>
      </c>
      <c r="C796" s="815" t="s">
        <v>2539</v>
      </c>
      <c r="D796" s="811">
        <v>568</v>
      </c>
      <c r="E796" s="811" t="s">
        <v>680</v>
      </c>
      <c r="F796" s="811">
        <v>568</v>
      </c>
    </row>
    <row r="797" spans="1:6">
      <c r="A797" s="811">
        <v>2</v>
      </c>
      <c r="B797" s="811" t="s">
        <v>680</v>
      </c>
      <c r="C797" s="815" t="s">
        <v>752</v>
      </c>
      <c r="D797" s="811">
        <v>669.90000000000009</v>
      </c>
      <c r="E797" s="811" t="s">
        <v>680</v>
      </c>
      <c r="F797" s="811">
        <v>1339.8000000000002</v>
      </c>
    </row>
    <row r="798" spans="1:6">
      <c r="A798" s="811">
        <v>4</v>
      </c>
      <c r="B798" s="811" t="s">
        <v>680</v>
      </c>
      <c r="C798" s="815" t="s">
        <v>1697</v>
      </c>
      <c r="D798" s="811">
        <v>422</v>
      </c>
      <c r="E798" s="811" t="s">
        <v>680</v>
      </c>
      <c r="F798" s="811">
        <v>1688</v>
      </c>
    </row>
    <row r="799" spans="1:6" ht="31.5">
      <c r="A799" s="811"/>
      <c r="B799" s="811"/>
      <c r="C799" s="815" t="s">
        <v>2540</v>
      </c>
      <c r="D799" s="811"/>
      <c r="E799" s="811"/>
      <c r="F799" s="811">
        <v>11.5</v>
      </c>
    </row>
    <row r="800" spans="1:6">
      <c r="A800" s="811"/>
      <c r="B800" s="811"/>
      <c r="C800" s="815"/>
      <c r="D800" s="811"/>
      <c r="E800" s="811"/>
      <c r="F800" s="811" t="s">
        <v>534</v>
      </c>
    </row>
    <row r="801" spans="1:6">
      <c r="A801" s="811"/>
      <c r="B801" s="811"/>
      <c r="C801" s="815" t="s">
        <v>2541</v>
      </c>
      <c r="D801" s="811"/>
      <c r="E801" s="811"/>
      <c r="F801" s="811">
        <v>6008.8</v>
      </c>
    </row>
    <row r="802" spans="1:6">
      <c r="A802" s="811"/>
      <c r="B802" s="811"/>
      <c r="C802" s="815"/>
      <c r="D802" s="811"/>
      <c r="E802" s="811"/>
      <c r="F802" s="811" t="s">
        <v>534</v>
      </c>
    </row>
    <row r="803" spans="1:6">
      <c r="A803" s="811"/>
      <c r="B803" s="811"/>
      <c r="C803" s="815" t="s">
        <v>2458</v>
      </c>
      <c r="D803" s="811"/>
      <c r="E803" s="811"/>
      <c r="F803" s="811">
        <v>66.76444444444445</v>
      </c>
    </row>
    <row r="804" spans="1:6">
      <c r="A804" s="811"/>
      <c r="B804" s="811"/>
      <c r="C804" s="815"/>
      <c r="D804" s="811"/>
      <c r="E804" s="811"/>
      <c r="F804" s="811" t="s">
        <v>528</v>
      </c>
    </row>
    <row r="805" spans="1:6">
      <c r="B805" s="811" t="s">
        <v>2587</v>
      </c>
      <c r="C805" s="815" t="s">
        <v>2588</v>
      </c>
      <c r="D805" s="811">
        <v>627.66622000000007</v>
      </c>
    </row>
    <row r="806" spans="1:6">
      <c r="B806" s="811"/>
      <c r="C806" s="815"/>
      <c r="D806" s="811"/>
    </row>
    <row r="807" spans="1:6">
      <c r="B807" s="811" t="s">
        <v>1530</v>
      </c>
      <c r="C807" s="815" t="s">
        <v>2589</v>
      </c>
      <c r="D807" s="811">
        <v>710.14822000000004</v>
      </c>
    </row>
    <row r="808" spans="1:6">
      <c r="B808" s="811"/>
      <c r="C808" s="815"/>
      <c r="D808" s="811"/>
    </row>
    <row r="809" spans="1:6" ht="31.5">
      <c r="B809" s="811" t="s">
        <v>1563</v>
      </c>
      <c r="C809" s="815" t="s">
        <v>2590</v>
      </c>
      <c r="D809" s="811">
        <v>852.177864</v>
      </c>
    </row>
    <row r="810" spans="1:6">
      <c r="B810" s="811"/>
      <c r="C810" s="815"/>
      <c r="D810" s="811"/>
    </row>
    <row r="811" spans="1:6">
      <c r="B811" s="811" t="s">
        <v>2592</v>
      </c>
      <c r="C811" s="815" t="s">
        <v>2593</v>
      </c>
      <c r="D811" s="811">
        <v>781.16304200000013</v>
      </c>
    </row>
    <row r="812" spans="1:6">
      <c r="B812" s="811"/>
      <c r="C812" s="815"/>
      <c r="D812" s="811"/>
    </row>
    <row r="814" spans="1:6">
      <c r="A814" s="867">
        <v>23.3</v>
      </c>
      <c r="B814" s="811"/>
      <c r="C814" s="815" t="s">
        <v>1920</v>
      </c>
      <c r="D814" s="811" t="s">
        <v>791</v>
      </c>
      <c r="E814" s="811"/>
      <c r="F814" s="811">
        <v>52</v>
      </c>
    </row>
    <row r="815" spans="1:6">
      <c r="A815" s="811"/>
      <c r="B815" s="811"/>
      <c r="C815" s="815"/>
      <c r="D815" s="811"/>
      <c r="E815" s="811"/>
      <c r="F815" s="811"/>
    </row>
    <row r="816" spans="1:6">
      <c r="A816" s="811"/>
      <c r="B816" s="811"/>
      <c r="C816" s="815"/>
      <c r="D816" s="811"/>
      <c r="E816" s="811"/>
      <c r="F816" s="811"/>
    </row>
    <row r="817" spans="1:6">
      <c r="A817" s="811" t="s">
        <v>1921</v>
      </c>
      <c r="B817" s="811" t="s">
        <v>307</v>
      </c>
      <c r="C817" s="815" t="s">
        <v>3412</v>
      </c>
      <c r="D817" s="811"/>
      <c r="E817" s="811"/>
      <c r="F817" s="811"/>
    </row>
    <row r="818" spans="1:6">
      <c r="A818" s="811"/>
      <c r="B818" s="811"/>
      <c r="C818" s="815" t="s">
        <v>1923</v>
      </c>
      <c r="D818" s="811"/>
      <c r="E818" s="811"/>
      <c r="F818" s="811"/>
    </row>
    <row r="819" spans="1:6">
      <c r="A819" s="811"/>
      <c r="B819" s="811"/>
      <c r="C819" s="815" t="s">
        <v>534</v>
      </c>
      <c r="D819" s="811" t="s">
        <v>534</v>
      </c>
      <c r="E819" s="811"/>
      <c r="F819" s="811"/>
    </row>
    <row r="820" spans="1:6">
      <c r="A820" s="814">
        <v>0.53339999999999999</v>
      </c>
      <c r="B820" s="811" t="s">
        <v>250</v>
      </c>
      <c r="C820" s="815" t="s">
        <v>1924</v>
      </c>
      <c r="D820" s="811">
        <v>208.8</v>
      </c>
      <c r="E820" s="811" t="s">
        <v>250</v>
      </c>
      <c r="F820" s="811">
        <v>111.37392</v>
      </c>
    </row>
    <row r="821" spans="1:6">
      <c r="A821" s="811">
        <v>4.24</v>
      </c>
      <c r="B821" s="811" t="s">
        <v>41</v>
      </c>
      <c r="C821" s="815" t="s">
        <v>1925</v>
      </c>
      <c r="D821" s="811">
        <v>35.61</v>
      </c>
      <c r="E821" s="811" t="s">
        <v>41</v>
      </c>
      <c r="F821" s="811">
        <v>150.9864</v>
      </c>
    </row>
    <row r="822" spans="1:6">
      <c r="A822" s="811">
        <v>16</v>
      </c>
      <c r="B822" s="811" t="s">
        <v>1261</v>
      </c>
      <c r="C822" s="815" t="s">
        <v>1926</v>
      </c>
      <c r="D822" s="811">
        <v>1</v>
      </c>
      <c r="E822" s="811" t="s">
        <v>332</v>
      </c>
      <c r="F822" s="811">
        <v>16</v>
      </c>
    </row>
    <row r="823" spans="1:6">
      <c r="A823" s="814">
        <v>0.53339999999999999</v>
      </c>
      <c r="B823" s="811" t="s">
        <v>250</v>
      </c>
      <c r="C823" s="815" t="s">
        <v>1927</v>
      </c>
      <c r="D823" s="811">
        <v>155.06944444444446</v>
      </c>
      <c r="E823" s="811" t="s">
        <v>250</v>
      </c>
      <c r="F823" s="811">
        <v>82.714041666666674</v>
      </c>
    </row>
    <row r="824" spans="1:6">
      <c r="A824" s="811"/>
      <c r="B824" s="811" t="s">
        <v>589</v>
      </c>
      <c r="C824" s="815" t="s">
        <v>1699</v>
      </c>
      <c r="D824" s="811"/>
      <c r="E824" s="811" t="s">
        <v>589</v>
      </c>
      <c r="F824" s="811"/>
    </row>
    <row r="825" spans="1:6">
      <c r="A825" s="811"/>
      <c r="B825" s="811"/>
      <c r="C825" s="815" t="s">
        <v>1928</v>
      </c>
      <c r="D825" s="811"/>
      <c r="E825" s="811"/>
      <c r="F825" s="811"/>
    </row>
    <row r="826" spans="1:6">
      <c r="A826" s="811"/>
      <c r="B826" s="811"/>
      <c r="C826" s="815"/>
      <c r="D826" s="811"/>
      <c r="E826" s="811"/>
      <c r="F826" s="811" t="s">
        <v>534</v>
      </c>
    </row>
    <row r="827" spans="1:6">
      <c r="A827" s="811"/>
      <c r="B827" s="811"/>
      <c r="C827" s="815" t="s">
        <v>1929</v>
      </c>
      <c r="D827" s="811"/>
      <c r="E827" s="811"/>
      <c r="F827" s="811">
        <v>361.07436166666668</v>
      </c>
    </row>
    <row r="828" spans="1:6">
      <c r="A828" s="811"/>
      <c r="B828" s="811"/>
      <c r="C828" s="815"/>
      <c r="D828" s="811"/>
      <c r="E828" s="811"/>
      <c r="F828" s="811" t="s">
        <v>534</v>
      </c>
    </row>
    <row r="829" spans="1:6">
      <c r="A829" s="811"/>
      <c r="B829" s="811"/>
      <c r="C829" s="815" t="s">
        <v>1930</v>
      </c>
      <c r="D829" s="811"/>
      <c r="E829" s="811"/>
      <c r="F829" s="811">
        <v>677</v>
      </c>
    </row>
    <row r="830" spans="1:6">
      <c r="A830" s="811" t="s">
        <v>22</v>
      </c>
      <c r="B830" s="811"/>
      <c r="C830" s="815"/>
      <c r="D830" s="811"/>
      <c r="E830" s="811"/>
      <c r="F830" s="811" t="s">
        <v>528</v>
      </c>
    </row>
    <row r="831" spans="1:6">
      <c r="A831" s="811" t="s">
        <v>22</v>
      </c>
      <c r="B831" s="811" t="s">
        <v>22</v>
      </c>
      <c r="C831" s="815" t="s">
        <v>22</v>
      </c>
      <c r="D831" s="811"/>
      <c r="E831" s="811"/>
      <c r="F831" s="811"/>
    </row>
    <row r="832" spans="1:6">
      <c r="A832" s="811" t="s">
        <v>694</v>
      </c>
      <c r="B832" s="811" t="s">
        <v>307</v>
      </c>
      <c r="C832" s="815" t="s">
        <v>1933</v>
      </c>
      <c r="D832" s="811"/>
      <c r="E832" s="811"/>
      <c r="F832" s="811"/>
    </row>
    <row r="833" spans="1:6">
      <c r="A833" s="811"/>
      <c r="B833" s="811"/>
      <c r="C833" s="815" t="s">
        <v>1936</v>
      </c>
      <c r="D833" s="811"/>
      <c r="E833" s="811"/>
      <c r="F833" s="811"/>
    </row>
    <row r="834" spans="1:6">
      <c r="A834" s="811"/>
      <c r="B834" s="811"/>
      <c r="C834" s="815" t="s">
        <v>534</v>
      </c>
      <c r="D834" s="811"/>
      <c r="E834" s="811"/>
      <c r="F834" s="811"/>
    </row>
    <row r="835" spans="1:6">
      <c r="A835" s="811">
        <v>1</v>
      </c>
      <c r="B835" s="811" t="s">
        <v>420</v>
      </c>
      <c r="C835" s="815" t="s">
        <v>1937</v>
      </c>
      <c r="D835" s="811">
        <v>60.9</v>
      </c>
      <c r="E835" s="811" t="s">
        <v>420</v>
      </c>
      <c r="F835" s="811">
        <v>60.9</v>
      </c>
    </row>
    <row r="836" spans="1:6">
      <c r="A836" s="811"/>
      <c r="B836" s="811"/>
      <c r="C836" s="815"/>
      <c r="D836" s="811"/>
      <c r="E836" s="811"/>
      <c r="F836" s="811" t="s">
        <v>528</v>
      </c>
    </row>
    <row r="837" spans="1:6" ht="31.5">
      <c r="A837" s="811">
        <v>39</v>
      </c>
      <c r="B837" s="811"/>
      <c r="C837" s="815" t="s">
        <v>1939</v>
      </c>
      <c r="D837" s="811">
        <v>54.5</v>
      </c>
      <c r="E837" s="811" t="s">
        <v>420</v>
      </c>
      <c r="F837" s="811">
        <v>54.5</v>
      </c>
    </row>
    <row r="838" spans="1:6">
      <c r="A838" s="811" t="s">
        <v>698</v>
      </c>
      <c r="B838" s="811" t="s">
        <v>307</v>
      </c>
      <c r="C838" s="815" t="s">
        <v>1940</v>
      </c>
      <c r="D838" s="811" t="s">
        <v>22</v>
      </c>
      <c r="E838" s="811" t="s">
        <v>1549</v>
      </c>
      <c r="F838" s="811">
        <v>9.6</v>
      </c>
    </row>
    <row r="839" spans="1:6">
      <c r="A839" s="811"/>
      <c r="B839" s="811"/>
      <c r="C839" s="815" t="s">
        <v>1941</v>
      </c>
      <c r="D839" s="811"/>
      <c r="E839" s="811"/>
      <c r="F839" s="811" t="s">
        <v>528</v>
      </c>
    </row>
    <row r="841" spans="1:6">
      <c r="C841" s="815"/>
      <c r="D841" s="811"/>
      <c r="E841" s="811"/>
      <c r="F841" s="811"/>
    </row>
    <row r="842" spans="1:6" ht="31.5">
      <c r="C842" s="815" t="s">
        <v>2903</v>
      </c>
      <c r="D842" s="811">
        <v>462</v>
      </c>
      <c r="E842" s="811" t="s">
        <v>412</v>
      </c>
      <c r="F842" s="811">
        <v>462</v>
      </c>
    </row>
    <row r="843" spans="1:6">
      <c r="C843" s="815"/>
      <c r="D843" s="811"/>
      <c r="E843" s="811"/>
      <c r="F843" s="811"/>
    </row>
    <row r="844" spans="1:6" ht="31.5">
      <c r="C844" s="815" t="s">
        <v>2904</v>
      </c>
      <c r="D844" s="811">
        <v>372</v>
      </c>
      <c r="E844" s="811" t="s">
        <v>412</v>
      </c>
      <c r="F844" s="811">
        <v>372</v>
      </c>
    </row>
    <row r="845" spans="1:6">
      <c r="C845" s="815"/>
      <c r="D845" s="811"/>
      <c r="E845" s="811"/>
      <c r="F845" s="811"/>
    </row>
    <row r="846" spans="1:6" ht="31.5">
      <c r="C846" s="815" t="s">
        <v>2905</v>
      </c>
      <c r="D846" s="811"/>
      <c r="E846" s="811"/>
      <c r="F846" s="811"/>
    </row>
    <row r="847" spans="1:6">
      <c r="C847" s="815" t="s">
        <v>2906</v>
      </c>
      <c r="D847" s="811">
        <v>807</v>
      </c>
      <c r="E847" s="811" t="s">
        <v>412</v>
      </c>
      <c r="F847" s="811">
        <v>807</v>
      </c>
    </row>
    <row r="848" spans="1:6" ht="31.5">
      <c r="C848" s="815" t="s">
        <v>2907</v>
      </c>
      <c r="D848" s="811">
        <v>1640.81</v>
      </c>
      <c r="E848" s="811"/>
      <c r="F848" s="811">
        <v>1640.81</v>
      </c>
    </row>
    <row r="850" spans="1:6" ht="31.5">
      <c r="A850" s="811"/>
      <c r="B850" s="811" t="s">
        <v>307</v>
      </c>
      <c r="C850" s="815" t="s">
        <v>3413</v>
      </c>
      <c r="D850" s="811"/>
      <c r="E850" s="811"/>
      <c r="F850" s="811"/>
    </row>
    <row r="851" spans="1:6">
      <c r="A851" s="811"/>
      <c r="B851" s="811"/>
      <c r="C851" s="815" t="s">
        <v>1999</v>
      </c>
      <c r="D851" s="811"/>
      <c r="E851" s="811"/>
      <c r="F851" s="811"/>
    </row>
    <row r="852" spans="1:6">
      <c r="A852" s="811"/>
      <c r="B852" s="811"/>
      <c r="C852" s="815" t="s">
        <v>3073</v>
      </c>
      <c r="D852" s="811"/>
      <c r="E852" s="811"/>
      <c r="F852" s="811"/>
    </row>
    <row r="853" spans="1:6">
      <c r="A853" s="811"/>
      <c r="B853" s="811"/>
      <c r="C853" s="815" t="s">
        <v>534</v>
      </c>
      <c r="D853" s="811"/>
      <c r="E853" s="811"/>
      <c r="F853" s="811"/>
    </row>
    <row r="854" spans="1:6">
      <c r="A854" s="811">
        <v>1.34</v>
      </c>
      <c r="B854" s="811" t="s">
        <v>420</v>
      </c>
      <c r="C854" s="815" t="s">
        <v>3074</v>
      </c>
      <c r="D854" s="811">
        <v>71.7</v>
      </c>
      <c r="E854" s="811" t="s">
        <v>420</v>
      </c>
      <c r="F854" s="811">
        <v>96.078000000000003</v>
      </c>
    </row>
    <row r="855" spans="1:6">
      <c r="A855" s="811">
        <v>0.5</v>
      </c>
      <c r="B855" s="811" t="s">
        <v>680</v>
      </c>
      <c r="C855" s="815" t="s">
        <v>2008</v>
      </c>
      <c r="D855" s="811">
        <v>574.20000000000005</v>
      </c>
      <c r="E855" s="811" t="s">
        <v>680</v>
      </c>
      <c r="F855" s="811">
        <v>287.10000000000002</v>
      </c>
    </row>
    <row r="856" spans="1:6">
      <c r="A856" s="811">
        <v>0.5</v>
      </c>
      <c r="B856" s="811" t="s">
        <v>680</v>
      </c>
      <c r="C856" s="815" t="s">
        <v>754</v>
      </c>
      <c r="D856" s="811">
        <v>468.6</v>
      </c>
      <c r="E856" s="811" t="s">
        <v>680</v>
      </c>
      <c r="F856" s="811">
        <v>234.3</v>
      </c>
    </row>
    <row r="857" spans="1:6">
      <c r="A857" s="811">
        <v>0.8</v>
      </c>
      <c r="B857" s="811" t="s">
        <v>680</v>
      </c>
      <c r="C857" s="815" t="s">
        <v>756</v>
      </c>
      <c r="D857" s="811">
        <v>404.8</v>
      </c>
      <c r="E857" s="811" t="s">
        <v>680</v>
      </c>
      <c r="F857" s="811">
        <v>323.84000000000003</v>
      </c>
    </row>
    <row r="858" spans="1:6">
      <c r="A858" s="811"/>
      <c r="B858" s="811" t="s">
        <v>589</v>
      </c>
      <c r="C858" s="815" t="s">
        <v>1914</v>
      </c>
      <c r="D858" s="811" t="s">
        <v>22</v>
      </c>
      <c r="E858" s="811" t="s">
        <v>589</v>
      </c>
      <c r="F858" s="811">
        <v>2.6</v>
      </c>
    </row>
    <row r="859" spans="1:6">
      <c r="A859" s="811"/>
      <c r="B859" s="811"/>
      <c r="C859" s="815"/>
      <c r="D859" s="811"/>
      <c r="E859" s="811"/>
      <c r="F859" s="811" t="s">
        <v>534</v>
      </c>
    </row>
    <row r="860" spans="1:6">
      <c r="A860" s="811"/>
      <c r="B860" s="811"/>
      <c r="C860" s="815" t="s">
        <v>879</v>
      </c>
      <c r="D860" s="811"/>
      <c r="E860" s="811"/>
      <c r="F860" s="811">
        <v>943.91800000000012</v>
      </c>
    </row>
    <row r="861" spans="1:6">
      <c r="A861" s="811"/>
      <c r="B861" s="811"/>
      <c r="C861" s="815"/>
      <c r="D861" s="811"/>
      <c r="E861" s="811"/>
      <c r="F861" s="811" t="s">
        <v>534</v>
      </c>
    </row>
    <row r="862" spans="1:6">
      <c r="A862" s="811"/>
      <c r="B862" s="811"/>
      <c r="C862" s="815" t="s">
        <v>881</v>
      </c>
      <c r="D862" s="811"/>
      <c r="E862" s="811"/>
      <c r="F862" s="811">
        <v>94.391800000000018</v>
      </c>
    </row>
    <row r="864" spans="1:6">
      <c r="A864" s="811"/>
      <c r="B864" s="811"/>
      <c r="C864" s="815" t="s">
        <v>3414</v>
      </c>
      <c r="D864" s="811"/>
      <c r="E864" s="811"/>
      <c r="F864" s="811"/>
    </row>
    <row r="865" spans="1:6">
      <c r="A865" s="811"/>
      <c r="B865" s="811"/>
      <c r="C865" s="815" t="s">
        <v>2621</v>
      </c>
      <c r="D865" s="811"/>
      <c r="E865" s="811"/>
      <c r="F865" s="811"/>
    </row>
    <row r="866" spans="1:6">
      <c r="A866" s="811"/>
      <c r="B866" s="811"/>
      <c r="C866" s="815" t="s">
        <v>2624</v>
      </c>
      <c r="D866" s="811"/>
      <c r="E866" s="811"/>
      <c r="F866" s="811"/>
    </row>
    <row r="867" spans="1:6">
      <c r="A867" s="811"/>
      <c r="B867" s="811"/>
      <c r="C867" s="815" t="s">
        <v>2625</v>
      </c>
      <c r="D867" s="811"/>
      <c r="E867" s="811"/>
      <c r="F867" s="811"/>
    </row>
    <row r="868" spans="1:6">
      <c r="A868" s="811"/>
      <c r="B868" s="811"/>
      <c r="C868" s="815" t="s">
        <v>534</v>
      </c>
      <c r="D868" s="811" t="s">
        <v>534</v>
      </c>
      <c r="E868" s="811"/>
      <c r="F868" s="811"/>
    </row>
    <row r="869" spans="1:6">
      <c r="A869" s="811">
        <v>8</v>
      </c>
      <c r="B869" s="811" t="s">
        <v>1882</v>
      </c>
      <c r="C869" s="815" t="s">
        <v>2627</v>
      </c>
      <c r="D869" s="811">
        <v>4.0999999999999996</v>
      </c>
      <c r="E869" s="811" t="s">
        <v>332</v>
      </c>
      <c r="F869" s="811">
        <v>32.799999999999997</v>
      </c>
    </row>
    <row r="870" spans="1:6">
      <c r="A870" s="811">
        <v>8</v>
      </c>
      <c r="B870" s="811" t="s">
        <v>1882</v>
      </c>
      <c r="C870" s="815" t="s">
        <v>2628</v>
      </c>
      <c r="D870" s="811">
        <v>3.69</v>
      </c>
      <c r="E870" s="811" t="s">
        <v>332</v>
      </c>
      <c r="F870" s="811">
        <v>29.52</v>
      </c>
    </row>
    <row r="871" spans="1:6">
      <c r="A871" s="811">
        <v>8</v>
      </c>
      <c r="B871" s="811" t="s">
        <v>1882</v>
      </c>
      <c r="C871" s="815" t="s">
        <v>2629</v>
      </c>
      <c r="D871" s="811">
        <v>4.0999999999999996</v>
      </c>
      <c r="E871" s="811" t="s">
        <v>332</v>
      </c>
      <c r="F871" s="811">
        <v>32.799999999999997</v>
      </c>
    </row>
    <row r="872" spans="1:6">
      <c r="A872" s="811">
        <v>0.75</v>
      </c>
      <c r="B872" s="811" t="s">
        <v>420</v>
      </c>
      <c r="C872" s="815" t="s">
        <v>2630</v>
      </c>
      <c r="D872" s="811">
        <v>176.4</v>
      </c>
      <c r="E872" s="811" t="s">
        <v>332</v>
      </c>
      <c r="F872" s="811">
        <v>132.30000000000001</v>
      </c>
    </row>
    <row r="873" spans="1:6">
      <c r="A873" s="811">
        <v>2.25</v>
      </c>
      <c r="B873" s="811" t="s">
        <v>2631</v>
      </c>
      <c r="C873" s="815" t="s">
        <v>2632</v>
      </c>
      <c r="D873" s="811">
        <v>140.41</v>
      </c>
      <c r="E873" s="811" t="s">
        <v>2631</v>
      </c>
      <c r="F873" s="811">
        <v>315.92250000000001</v>
      </c>
    </row>
    <row r="874" spans="1:6">
      <c r="A874" s="811">
        <v>4.5</v>
      </c>
      <c r="B874" s="811" t="s">
        <v>2631</v>
      </c>
      <c r="C874" s="815" t="s">
        <v>2633</v>
      </c>
      <c r="D874" s="811">
        <v>65</v>
      </c>
      <c r="E874" s="811" t="s">
        <v>2631</v>
      </c>
      <c r="F874" s="811">
        <v>292.5</v>
      </c>
    </row>
    <row r="875" spans="1:6">
      <c r="A875" s="811">
        <v>6</v>
      </c>
      <c r="B875" s="811" t="s">
        <v>1882</v>
      </c>
      <c r="C875" s="815" t="s">
        <v>2635</v>
      </c>
      <c r="D875" s="811">
        <v>8</v>
      </c>
      <c r="E875" s="811" t="s">
        <v>332</v>
      </c>
      <c r="F875" s="811">
        <v>48</v>
      </c>
    </row>
    <row r="876" spans="1:6">
      <c r="A876" s="811">
        <v>6</v>
      </c>
      <c r="B876" s="811" t="s">
        <v>1882</v>
      </c>
      <c r="C876" s="815" t="s">
        <v>2636</v>
      </c>
      <c r="D876" s="811">
        <v>8.61</v>
      </c>
      <c r="E876" s="811" t="s">
        <v>332</v>
      </c>
      <c r="F876" s="811">
        <v>51.66</v>
      </c>
    </row>
    <row r="877" spans="1:6">
      <c r="A877" s="811">
        <v>4</v>
      </c>
      <c r="B877" s="811" t="s">
        <v>1882</v>
      </c>
      <c r="C877" s="815" t="s">
        <v>2637</v>
      </c>
      <c r="D877" s="811">
        <v>8.61</v>
      </c>
      <c r="E877" s="811" t="s">
        <v>332</v>
      </c>
      <c r="F877" s="811">
        <v>34.44</v>
      </c>
    </row>
    <row r="878" spans="1:6">
      <c r="A878" s="811">
        <v>300</v>
      </c>
      <c r="B878" s="811" t="s">
        <v>2638</v>
      </c>
      <c r="C878" s="815" t="s">
        <v>2639</v>
      </c>
      <c r="D878" s="811">
        <v>30</v>
      </c>
      <c r="E878" s="811" t="s">
        <v>2640</v>
      </c>
      <c r="F878" s="811">
        <v>90</v>
      </c>
    </row>
    <row r="879" spans="1:6">
      <c r="A879" s="811">
        <v>300</v>
      </c>
      <c r="B879" s="811" t="s">
        <v>2638</v>
      </c>
      <c r="C879" s="815" t="s">
        <v>2641</v>
      </c>
      <c r="D879" s="811">
        <v>44.99</v>
      </c>
      <c r="E879" s="811" t="s">
        <v>2642</v>
      </c>
      <c r="F879" s="811">
        <v>26.994</v>
      </c>
    </row>
    <row r="880" spans="1:6">
      <c r="A880" s="811">
        <v>1.5</v>
      </c>
      <c r="B880" s="811" t="s">
        <v>420</v>
      </c>
      <c r="C880" s="815" t="s">
        <v>2643</v>
      </c>
      <c r="D880" s="811">
        <v>20.95</v>
      </c>
      <c r="E880" s="811" t="s">
        <v>420</v>
      </c>
      <c r="F880" s="811">
        <v>31.424999999999997</v>
      </c>
    </row>
    <row r="881" spans="1:6">
      <c r="A881" s="811">
        <v>2.25</v>
      </c>
      <c r="B881" s="811" t="s">
        <v>2631</v>
      </c>
      <c r="C881" s="815" t="s">
        <v>2644</v>
      </c>
      <c r="D881" s="811">
        <v>212.41</v>
      </c>
      <c r="E881" s="811" t="s">
        <v>2631</v>
      </c>
      <c r="F881" s="811">
        <v>477.92250000000001</v>
      </c>
    </row>
    <row r="882" spans="1:6">
      <c r="A882" s="811">
        <v>0.75</v>
      </c>
      <c r="B882" s="811" t="s">
        <v>2631</v>
      </c>
      <c r="C882" s="815" t="s">
        <v>2645</v>
      </c>
      <c r="D882" s="811">
        <v>205.21</v>
      </c>
      <c r="E882" s="811" t="s">
        <v>2631</v>
      </c>
      <c r="F882" s="811">
        <v>153.9075</v>
      </c>
    </row>
    <row r="883" spans="1:6">
      <c r="A883" s="811">
        <v>2.25</v>
      </c>
      <c r="B883" s="811" t="s">
        <v>2631</v>
      </c>
      <c r="C883" s="815" t="s">
        <v>2646</v>
      </c>
      <c r="D883" s="811">
        <v>185.21</v>
      </c>
      <c r="E883" s="811" t="s">
        <v>2631</v>
      </c>
      <c r="F883" s="811">
        <v>416.72250000000003</v>
      </c>
    </row>
    <row r="884" spans="1:6">
      <c r="A884" s="811">
        <v>500</v>
      </c>
      <c r="B884" s="811" t="s">
        <v>2638</v>
      </c>
      <c r="C884" s="815" t="s">
        <v>2647</v>
      </c>
      <c r="D884" s="811">
        <v>52.25</v>
      </c>
      <c r="E884" s="811" t="s">
        <v>420</v>
      </c>
      <c r="F884" s="811">
        <v>26.125</v>
      </c>
    </row>
    <row r="885" spans="1:6">
      <c r="A885" s="811">
        <v>1</v>
      </c>
      <c r="B885" s="811" t="s">
        <v>1882</v>
      </c>
      <c r="C885" s="815" t="s">
        <v>2649</v>
      </c>
      <c r="D885" s="811">
        <v>131.21</v>
      </c>
      <c r="E885" s="811" t="s">
        <v>2650</v>
      </c>
      <c r="F885" s="811">
        <v>131.21</v>
      </c>
    </row>
    <row r="886" spans="1:6">
      <c r="A886" s="811">
        <v>1</v>
      </c>
      <c r="B886" s="811" t="s">
        <v>1882</v>
      </c>
      <c r="C886" s="815" t="s">
        <v>2652</v>
      </c>
      <c r="D886" s="811">
        <v>12.3</v>
      </c>
      <c r="E886" s="811" t="s">
        <v>2650</v>
      </c>
      <c r="F886" s="811">
        <v>12.3</v>
      </c>
    </row>
    <row r="887" spans="1:6">
      <c r="A887" s="811">
        <v>4</v>
      </c>
      <c r="B887" s="811" t="s">
        <v>1882</v>
      </c>
      <c r="C887" s="815" t="s">
        <v>2654</v>
      </c>
      <c r="D887" s="811">
        <v>574.20000000000005</v>
      </c>
      <c r="E887" s="811" t="s">
        <v>332</v>
      </c>
      <c r="F887" s="811">
        <v>2296.8000000000002</v>
      </c>
    </row>
    <row r="888" spans="1:6">
      <c r="A888" s="811">
        <v>2</v>
      </c>
      <c r="B888" s="811" t="s">
        <v>1882</v>
      </c>
      <c r="C888" s="815" t="s">
        <v>2655</v>
      </c>
      <c r="D888" s="811">
        <v>555.5</v>
      </c>
      <c r="E888" s="811" t="s">
        <v>332</v>
      </c>
      <c r="F888" s="811">
        <v>1111</v>
      </c>
    </row>
    <row r="889" spans="1:6">
      <c r="A889" s="811">
        <v>2</v>
      </c>
      <c r="B889" s="811" t="s">
        <v>1882</v>
      </c>
      <c r="C889" s="815" t="s">
        <v>2656</v>
      </c>
      <c r="D889" s="811">
        <v>404.8</v>
      </c>
      <c r="E889" s="811" t="s">
        <v>332</v>
      </c>
      <c r="F889" s="811">
        <v>809.6</v>
      </c>
    </row>
    <row r="890" spans="1:6">
      <c r="A890" s="811"/>
      <c r="B890" s="811"/>
      <c r="C890" s="815" t="s">
        <v>2659</v>
      </c>
      <c r="D890" s="811"/>
      <c r="E890" s="811"/>
      <c r="F890" s="811">
        <v>20</v>
      </c>
    </row>
    <row r="891" spans="1:6">
      <c r="A891" s="811"/>
      <c r="B891" s="811"/>
      <c r="C891" s="815"/>
      <c r="D891" s="811"/>
      <c r="E891" s="811"/>
      <c r="F891" s="811" t="s">
        <v>2660</v>
      </c>
    </row>
    <row r="892" spans="1:6">
      <c r="A892" s="811"/>
      <c r="B892" s="811"/>
      <c r="C892" s="815" t="s">
        <v>3415</v>
      </c>
      <c r="D892" s="811"/>
      <c r="E892" s="811"/>
      <c r="F892" s="811">
        <v>6573.9490000000005</v>
      </c>
    </row>
    <row r="893" spans="1:6">
      <c r="A893" s="811"/>
      <c r="B893" s="811"/>
      <c r="C893" s="815"/>
      <c r="D893" s="811"/>
      <c r="E893" s="811"/>
      <c r="F893" s="811" t="s">
        <v>528</v>
      </c>
    </row>
    <row r="894" spans="1:6">
      <c r="A894" s="811"/>
      <c r="B894" s="811"/>
      <c r="C894" s="815" t="s">
        <v>2662</v>
      </c>
      <c r="D894" s="811"/>
      <c r="E894" s="811"/>
      <c r="F894" s="811">
        <v>1159.4266313932981</v>
      </c>
    </row>
    <row r="896" spans="1:6">
      <c r="A896" s="811"/>
      <c r="B896" s="811"/>
      <c r="C896" s="815" t="s">
        <v>1979</v>
      </c>
      <c r="D896" s="811"/>
      <c r="E896" s="811" t="s">
        <v>1980</v>
      </c>
      <c r="F896" s="811"/>
    </row>
    <row r="897" spans="1:6">
      <c r="A897" s="811"/>
      <c r="B897" s="811"/>
      <c r="C897" s="815"/>
      <c r="D897" s="811"/>
      <c r="E897" s="811"/>
      <c r="F897" s="811"/>
    </row>
    <row r="898" spans="1:6">
      <c r="A898" s="811"/>
      <c r="B898" s="811"/>
      <c r="C898" s="815"/>
      <c r="D898" s="811"/>
      <c r="E898" s="811"/>
      <c r="F898" s="811"/>
    </row>
    <row r="899" spans="1:6">
      <c r="A899" s="811">
        <v>10</v>
      </c>
      <c r="B899" s="811" t="s">
        <v>916</v>
      </c>
      <c r="C899" s="815" t="s">
        <v>3416</v>
      </c>
      <c r="D899" s="811">
        <v>421.3</v>
      </c>
      <c r="E899" s="811" t="s">
        <v>916</v>
      </c>
      <c r="F899" s="811">
        <v>4213</v>
      </c>
    </row>
    <row r="900" spans="1:6">
      <c r="A900" s="811">
        <v>0.21</v>
      </c>
      <c r="B900" s="811" t="s">
        <v>577</v>
      </c>
      <c r="C900" s="815" t="s">
        <v>1951</v>
      </c>
      <c r="D900" s="811">
        <v>4357.67</v>
      </c>
      <c r="E900" s="811" t="s">
        <v>577</v>
      </c>
      <c r="F900" s="811">
        <v>915.11069999999995</v>
      </c>
    </row>
    <row r="901" spans="1:6">
      <c r="A901" s="811">
        <v>1.1000000000000001</v>
      </c>
      <c r="B901" s="811" t="s">
        <v>680</v>
      </c>
      <c r="C901" s="815" t="s">
        <v>778</v>
      </c>
      <c r="D901" s="811">
        <v>717.2</v>
      </c>
      <c r="E901" s="811" t="s">
        <v>680</v>
      </c>
      <c r="F901" s="811">
        <v>788.92000000000007</v>
      </c>
    </row>
    <row r="902" spans="1:6">
      <c r="A902" s="811">
        <v>1.1000000000000001</v>
      </c>
      <c r="B902" s="811" t="s">
        <v>680</v>
      </c>
      <c r="C902" s="815" t="s">
        <v>752</v>
      </c>
      <c r="D902" s="811">
        <v>669.90000000000009</v>
      </c>
      <c r="E902" s="811" t="s">
        <v>680</v>
      </c>
      <c r="F902" s="811">
        <v>736.89000000000021</v>
      </c>
    </row>
    <row r="903" spans="1:6">
      <c r="A903" s="811">
        <v>2.2000000000000002</v>
      </c>
      <c r="B903" s="811" t="s">
        <v>680</v>
      </c>
      <c r="C903" s="815" t="s">
        <v>754</v>
      </c>
      <c r="D903" s="811">
        <v>468.6</v>
      </c>
      <c r="E903" s="811" t="s">
        <v>680</v>
      </c>
      <c r="F903" s="811">
        <v>1030.92</v>
      </c>
    </row>
    <row r="904" spans="1:6">
      <c r="A904" s="811">
        <v>2.2000000000000002</v>
      </c>
      <c r="B904" s="811" t="s">
        <v>680</v>
      </c>
      <c r="C904" s="815" t="s">
        <v>756</v>
      </c>
      <c r="D904" s="811">
        <v>404.8</v>
      </c>
      <c r="E904" s="811" t="s">
        <v>680</v>
      </c>
      <c r="F904" s="811">
        <v>890.56000000000006</v>
      </c>
    </row>
    <row r="905" spans="1:6">
      <c r="A905" s="816">
        <v>20</v>
      </c>
      <c r="B905" s="811" t="s">
        <v>420</v>
      </c>
      <c r="C905" s="815" t="s">
        <v>568</v>
      </c>
      <c r="D905" s="811">
        <v>5750</v>
      </c>
      <c r="E905" s="811" t="s">
        <v>567</v>
      </c>
      <c r="F905" s="811">
        <v>115</v>
      </c>
    </row>
    <row r="906" spans="1:6">
      <c r="A906" s="816">
        <v>2</v>
      </c>
      <c r="B906" s="811" t="s">
        <v>420</v>
      </c>
      <c r="C906" s="815" t="s">
        <v>1973</v>
      </c>
      <c r="D906" s="811">
        <v>36.1</v>
      </c>
      <c r="E906" s="811" t="s">
        <v>420</v>
      </c>
      <c r="F906" s="811">
        <v>72.2</v>
      </c>
    </row>
    <row r="907" spans="1:6">
      <c r="A907" s="811">
        <v>1.6</v>
      </c>
      <c r="B907" s="811" t="s">
        <v>680</v>
      </c>
      <c r="C907" s="815" t="s">
        <v>752</v>
      </c>
      <c r="D907" s="811">
        <v>669.90000000000009</v>
      </c>
      <c r="E907" s="811" t="s">
        <v>680</v>
      </c>
      <c r="F907" s="811">
        <v>1071.8400000000001</v>
      </c>
    </row>
    <row r="908" spans="1:6">
      <c r="A908" s="811">
        <v>0.5</v>
      </c>
      <c r="B908" s="811" t="s">
        <v>680</v>
      </c>
      <c r="C908" s="815" t="s">
        <v>754</v>
      </c>
      <c r="D908" s="811">
        <v>468.6</v>
      </c>
      <c r="E908" s="811" t="s">
        <v>680</v>
      </c>
      <c r="F908" s="811">
        <v>234.3</v>
      </c>
    </row>
    <row r="909" spans="1:6">
      <c r="A909" s="811">
        <v>1.1000000000000001</v>
      </c>
      <c r="B909" s="811" t="s">
        <v>680</v>
      </c>
      <c r="C909" s="815" t="s">
        <v>756</v>
      </c>
      <c r="D909" s="811">
        <v>404.8</v>
      </c>
      <c r="E909" s="811" t="s">
        <v>680</v>
      </c>
      <c r="F909" s="811">
        <v>445.28000000000003</v>
      </c>
    </row>
    <row r="910" spans="1:6">
      <c r="A910" s="811"/>
      <c r="B910" s="811" t="s">
        <v>589</v>
      </c>
      <c r="C910" s="815" t="s">
        <v>590</v>
      </c>
      <c r="D910" s="811"/>
      <c r="E910" s="811" t="s">
        <v>589</v>
      </c>
      <c r="F910" s="811">
        <v>0</v>
      </c>
    </row>
    <row r="911" spans="1:6">
      <c r="A911" s="811"/>
      <c r="B911" s="811"/>
      <c r="C911" s="815"/>
      <c r="D911" s="811"/>
      <c r="E911" s="811"/>
      <c r="F911" s="811"/>
    </row>
    <row r="912" spans="1:6">
      <c r="A912" s="811"/>
      <c r="B912" s="811"/>
      <c r="C912" s="815" t="s">
        <v>879</v>
      </c>
      <c r="D912" s="811"/>
      <c r="E912" s="811"/>
      <c r="F912" s="811">
        <v>10514.020700000001</v>
      </c>
    </row>
    <row r="913" spans="1:6">
      <c r="A913" s="811"/>
      <c r="B913" s="811"/>
      <c r="C913" s="815"/>
      <c r="D913" s="811"/>
      <c r="E913" s="811"/>
      <c r="F913" s="811" t="s">
        <v>534</v>
      </c>
    </row>
    <row r="914" spans="1:6">
      <c r="A914" s="811"/>
      <c r="B914" s="811"/>
      <c r="C914" s="815" t="s">
        <v>881</v>
      </c>
      <c r="D914" s="811"/>
      <c r="E914" s="811"/>
      <c r="F914" s="811">
        <v>1051.4020700000001</v>
      </c>
    </row>
    <row r="916" spans="1:6" ht="31.5">
      <c r="A916" s="811"/>
      <c r="B916" s="811"/>
      <c r="C916" s="815" t="s">
        <v>1948</v>
      </c>
      <c r="D916" s="811"/>
      <c r="E916" s="811"/>
      <c r="F916" s="811"/>
    </row>
    <row r="917" spans="1:6">
      <c r="A917" s="811"/>
      <c r="B917" s="811"/>
      <c r="C917" s="815"/>
      <c r="D917" s="811"/>
      <c r="E917" s="811"/>
      <c r="F917" s="811"/>
    </row>
    <row r="918" spans="1:6">
      <c r="A918" s="811"/>
      <c r="B918" s="811"/>
      <c r="C918" s="815"/>
      <c r="D918" s="811"/>
      <c r="E918" s="811"/>
      <c r="F918" s="811"/>
    </row>
    <row r="919" spans="1:6">
      <c r="A919" s="811">
        <v>10</v>
      </c>
      <c r="B919" s="811" t="s">
        <v>916</v>
      </c>
      <c r="C919" s="815" t="s">
        <v>3417</v>
      </c>
      <c r="D919" s="811">
        <v>599</v>
      </c>
      <c r="E919" s="811" t="s">
        <v>916</v>
      </c>
      <c r="F919" s="811">
        <v>5990</v>
      </c>
    </row>
    <row r="920" spans="1:6">
      <c r="A920" s="811">
        <v>0.21</v>
      </c>
      <c r="B920" s="811" t="s">
        <v>577</v>
      </c>
      <c r="C920" s="815" t="s">
        <v>1951</v>
      </c>
      <c r="D920" s="811">
        <v>4357.67</v>
      </c>
      <c r="E920" s="811" t="s">
        <v>577</v>
      </c>
      <c r="F920" s="811">
        <v>915.11069999999995</v>
      </c>
    </row>
    <row r="921" spans="1:6">
      <c r="A921" s="811">
        <v>1.1000000000000001</v>
      </c>
      <c r="B921" s="811" t="s">
        <v>680</v>
      </c>
      <c r="C921" s="815" t="s">
        <v>778</v>
      </c>
      <c r="D921" s="811">
        <v>717.2</v>
      </c>
      <c r="E921" s="811" t="s">
        <v>680</v>
      </c>
      <c r="F921" s="811">
        <v>788.92000000000007</v>
      </c>
    </row>
    <row r="922" spans="1:6">
      <c r="A922" s="811">
        <v>1.1000000000000001</v>
      </c>
      <c r="B922" s="811" t="s">
        <v>680</v>
      </c>
      <c r="C922" s="815" t="s">
        <v>752</v>
      </c>
      <c r="D922" s="811">
        <v>669.90000000000009</v>
      </c>
      <c r="E922" s="811" t="s">
        <v>680</v>
      </c>
      <c r="F922" s="811">
        <v>736.89000000000021</v>
      </c>
    </row>
    <row r="923" spans="1:6">
      <c r="A923" s="811">
        <v>2.2000000000000002</v>
      </c>
      <c r="B923" s="811" t="s">
        <v>680</v>
      </c>
      <c r="C923" s="815" t="s">
        <v>754</v>
      </c>
      <c r="D923" s="811">
        <v>468.6</v>
      </c>
      <c r="E923" s="811" t="s">
        <v>680</v>
      </c>
      <c r="F923" s="811">
        <v>1030.92</v>
      </c>
    </row>
    <row r="924" spans="1:6">
      <c r="A924" s="811">
        <v>2.2000000000000002</v>
      </c>
      <c r="B924" s="811" t="s">
        <v>680</v>
      </c>
      <c r="C924" s="815" t="s">
        <v>756</v>
      </c>
      <c r="D924" s="811">
        <v>404.8</v>
      </c>
      <c r="E924" s="811" t="s">
        <v>680</v>
      </c>
      <c r="F924" s="811">
        <v>890.56000000000006</v>
      </c>
    </row>
    <row r="925" spans="1:6">
      <c r="A925" s="816">
        <v>20</v>
      </c>
      <c r="B925" s="811" t="s">
        <v>420</v>
      </c>
      <c r="C925" s="815" t="s">
        <v>568</v>
      </c>
      <c r="D925" s="811">
        <v>5750</v>
      </c>
      <c r="E925" s="811" t="s">
        <v>567</v>
      </c>
      <c r="F925" s="811">
        <v>115</v>
      </c>
    </row>
    <row r="926" spans="1:6">
      <c r="A926" s="816">
        <v>2</v>
      </c>
      <c r="B926" s="811" t="s">
        <v>420</v>
      </c>
      <c r="C926" s="815" t="s">
        <v>1960</v>
      </c>
      <c r="D926" s="811">
        <v>24.3</v>
      </c>
      <c r="E926" s="811" t="s">
        <v>420</v>
      </c>
      <c r="F926" s="811">
        <v>48.6</v>
      </c>
    </row>
    <row r="927" spans="1:6">
      <c r="A927" s="811">
        <v>1.6</v>
      </c>
      <c r="B927" s="811" t="s">
        <v>680</v>
      </c>
      <c r="C927" s="815" t="s">
        <v>752</v>
      </c>
      <c r="D927" s="811">
        <v>669.90000000000009</v>
      </c>
      <c r="E927" s="811" t="s">
        <v>680</v>
      </c>
      <c r="F927" s="811">
        <v>1071.8400000000001</v>
      </c>
    </row>
    <row r="928" spans="1:6">
      <c r="A928" s="811">
        <v>0.5</v>
      </c>
      <c r="B928" s="811" t="s">
        <v>680</v>
      </c>
      <c r="C928" s="815" t="s">
        <v>754</v>
      </c>
      <c r="D928" s="811">
        <v>468.6</v>
      </c>
      <c r="E928" s="811" t="s">
        <v>680</v>
      </c>
      <c r="F928" s="811">
        <v>234.3</v>
      </c>
    </row>
    <row r="929" spans="1:6">
      <c r="A929" s="811">
        <v>1.1000000000000001</v>
      </c>
      <c r="B929" s="811" t="s">
        <v>680</v>
      </c>
      <c r="C929" s="815" t="s">
        <v>756</v>
      </c>
      <c r="D929" s="811">
        <v>404.8</v>
      </c>
      <c r="E929" s="811" t="s">
        <v>680</v>
      </c>
      <c r="F929" s="811">
        <v>445.28000000000003</v>
      </c>
    </row>
    <row r="930" spans="1:6">
      <c r="A930" s="811"/>
      <c r="B930" s="811" t="s">
        <v>589</v>
      </c>
      <c r="C930" s="815" t="s">
        <v>590</v>
      </c>
      <c r="D930" s="811"/>
      <c r="E930" s="811" t="s">
        <v>589</v>
      </c>
      <c r="F930" s="811">
        <v>4.5999999999999996</v>
      </c>
    </row>
    <row r="931" spans="1:6">
      <c r="A931" s="811"/>
      <c r="B931" s="811"/>
      <c r="C931" s="815"/>
      <c r="D931" s="811"/>
      <c r="E931" s="811"/>
      <c r="F931" s="811" t="s">
        <v>534</v>
      </c>
    </row>
    <row r="932" spans="1:6">
      <c r="A932" s="811"/>
      <c r="B932" s="811"/>
      <c r="C932" s="815" t="s">
        <v>879</v>
      </c>
      <c r="D932" s="811"/>
      <c r="E932" s="811"/>
      <c r="F932" s="811">
        <v>12272.020700000001</v>
      </c>
    </row>
    <row r="933" spans="1:6">
      <c r="A933" s="811"/>
      <c r="B933" s="811"/>
      <c r="C933" s="815"/>
      <c r="D933" s="811"/>
      <c r="E933" s="811"/>
      <c r="F933" s="811" t="s">
        <v>534</v>
      </c>
    </row>
    <row r="934" spans="1:6">
      <c r="A934" s="811"/>
      <c r="B934" s="811"/>
      <c r="C934" s="815" t="s">
        <v>881</v>
      </c>
      <c r="D934" s="811"/>
      <c r="E934" s="811"/>
      <c r="F934" s="811">
        <v>1227.20207</v>
      </c>
    </row>
    <row r="936" spans="1:6">
      <c r="A936" s="811"/>
      <c r="B936" s="811"/>
      <c r="C936" s="815" t="s">
        <v>3241</v>
      </c>
      <c r="D936" s="811"/>
      <c r="E936" s="811"/>
      <c r="F936" s="811"/>
    </row>
    <row r="937" spans="1:6">
      <c r="A937" s="811"/>
      <c r="B937" s="811"/>
      <c r="C937" s="815" t="s">
        <v>534</v>
      </c>
      <c r="D937" s="811"/>
      <c r="E937" s="811"/>
      <c r="F937" s="811"/>
    </row>
    <row r="938" spans="1:6">
      <c r="A938" s="811"/>
      <c r="B938" s="811" t="s">
        <v>307</v>
      </c>
      <c r="C938" s="815" t="s">
        <v>3243</v>
      </c>
      <c r="D938" s="811"/>
      <c r="E938" s="811"/>
      <c r="F938" s="811"/>
    </row>
    <row r="939" spans="1:6">
      <c r="A939" s="811"/>
      <c r="B939" s="811"/>
      <c r="C939" s="815" t="s">
        <v>3245</v>
      </c>
      <c r="D939" s="811"/>
      <c r="E939" s="811"/>
      <c r="F939" s="811"/>
    </row>
    <row r="940" spans="1:6">
      <c r="A940" s="811"/>
      <c r="B940" s="811"/>
      <c r="C940" s="815" t="s">
        <v>1117</v>
      </c>
      <c r="D940" s="811"/>
      <c r="E940" s="811"/>
      <c r="F940" s="811"/>
    </row>
    <row r="941" spans="1:6">
      <c r="A941" s="811"/>
      <c r="B941" s="811"/>
      <c r="C941" s="815" t="s">
        <v>534</v>
      </c>
      <c r="D941" s="811"/>
      <c r="E941" s="811"/>
      <c r="F941" s="811"/>
    </row>
    <row r="942" spans="1:6">
      <c r="A942" s="811"/>
      <c r="B942" s="811" t="s">
        <v>1118</v>
      </c>
      <c r="C942" s="815" t="s">
        <v>3249</v>
      </c>
      <c r="D942" s="811"/>
      <c r="E942" s="811"/>
      <c r="F942" s="811"/>
    </row>
    <row r="943" spans="1:6">
      <c r="A943" s="811"/>
      <c r="B943" s="811"/>
      <c r="C943" s="815" t="s">
        <v>534</v>
      </c>
      <c r="D943" s="811"/>
      <c r="E943" s="811"/>
      <c r="F943" s="811"/>
    </row>
    <row r="944" spans="1:6">
      <c r="A944" s="811">
        <v>18.899999999999999</v>
      </c>
      <c r="B944" s="811" t="s">
        <v>577</v>
      </c>
      <c r="C944" s="815" t="s">
        <v>1122</v>
      </c>
      <c r="D944" s="811">
        <v>160.82</v>
      </c>
      <c r="E944" s="811" t="s">
        <v>577</v>
      </c>
      <c r="F944" s="811">
        <v>3039.4979999999996</v>
      </c>
    </row>
    <row r="945" spans="1:6">
      <c r="A945" s="811">
        <v>18.63</v>
      </c>
      <c r="B945" s="811" t="s">
        <v>577</v>
      </c>
      <c r="C945" s="815" t="s">
        <v>1123</v>
      </c>
      <c r="D945" s="811">
        <v>28.05</v>
      </c>
      <c r="E945" s="811" t="s">
        <v>577</v>
      </c>
      <c r="F945" s="811">
        <v>522.57150000000001</v>
      </c>
    </row>
    <row r="946" spans="1:6" ht="31.5">
      <c r="A946" s="811">
        <v>30</v>
      </c>
      <c r="B946" s="811" t="s">
        <v>410</v>
      </c>
      <c r="C946" s="815" t="s">
        <v>3253</v>
      </c>
      <c r="D946" s="811">
        <v>226</v>
      </c>
      <c r="E946" s="811" t="s">
        <v>410</v>
      </c>
      <c r="F946" s="811">
        <v>6780</v>
      </c>
    </row>
    <row r="947" spans="1:6">
      <c r="A947" s="811"/>
      <c r="B947" s="811"/>
      <c r="C947" s="815"/>
      <c r="D947" s="811"/>
      <c r="E947" s="811"/>
      <c r="F947" s="811"/>
    </row>
    <row r="948" spans="1:6">
      <c r="A948" s="811">
        <v>30</v>
      </c>
      <c r="B948" s="811" t="s">
        <v>410</v>
      </c>
      <c r="C948" s="815" t="s">
        <v>1124</v>
      </c>
      <c r="D948" s="811">
        <v>11.02</v>
      </c>
      <c r="E948" s="811" t="s">
        <v>410</v>
      </c>
      <c r="F948" s="811">
        <v>330.59999999999997</v>
      </c>
    </row>
    <row r="949" spans="1:6">
      <c r="A949" s="811"/>
      <c r="B949" s="811"/>
      <c r="C949" s="815" t="s">
        <v>1125</v>
      </c>
      <c r="D949" s="811"/>
      <c r="E949" s="811"/>
      <c r="F949" s="811"/>
    </row>
    <row r="950" spans="1:6">
      <c r="A950" s="811"/>
      <c r="B950" s="811"/>
      <c r="C950" s="815" t="s">
        <v>1126</v>
      </c>
      <c r="D950" s="811"/>
      <c r="E950" s="811"/>
      <c r="F950" s="811"/>
    </row>
    <row r="951" spans="1:6">
      <c r="A951" s="811"/>
      <c r="B951" s="811"/>
      <c r="C951" s="815" t="s">
        <v>1127</v>
      </c>
      <c r="D951" s="811"/>
      <c r="E951" s="811"/>
      <c r="F951" s="811"/>
    </row>
    <row r="952" spans="1:6">
      <c r="A952" s="811"/>
      <c r="B952" s="811"/>
      <c r="C952" s="815" t="s">
        <v>3258</v>
      </c>
      <c r="D952" s="811"/>
      <c r="E952" s="811"/>
      <c r="F952" s="811"/>
    </row>
    <row r="953" spans="1:6">
      <c r="A953" s="811"/>
      <c r="B953" s="811"/>
      <c r="C953" s="815"/>
      <c r="D953" s="811"/>
      <c r="E953" s="811"/>
      <c r="F953" s="811"/>
    </row>
    <row r="954" spans="1:6">
      <c r="A954" s="811">
        <v>5</v>
      </c>
      <c r="B954" s="811" t="s">
        <v>680</v>
      </c>
      <c r="C954" s="815" t="s">
        <v>3259</v>
      </c>
      <c r="D954" s="811">
        <v>31</v>
      </c>
      <c r="E954" s="811" t="s">
        <v>680</v>
      </c>
      <c r="F954" s="811">
        <v>155</v>
      </c>
    </row>
    <row r="955" spans="1:6">
      <c r="A955" s="811">
        <v>1</v>
      </c>
      <c r="B955" s="811" t="s">
        <v>589</v>
      </c>
      <c r="C955" s="815" t="s">
        <v>1136</v>
      </c>
      <c r="D955" s="811">
        <v>12.1</v>
      </c>
      <c r="E955" s="811" t="s">
        <v>589</v>
      </c>
      <c r="F955" s="811">
        <v>12.1</v>
      </c>
    </row>
    <row r="956" spans="1:6">
      <c r="A956" s="811"/>
      <c r="B956" s="811" t="s">
        <v>589</v>
      </c>
      <c r="C956" s="815" t="s">
        <v>590</v>
      </c>
      <c r="D956" s="811"/>
      <c r="E956" s="811" t="s">
        <v>589</v>
      </c>
      <c r="F956" s="811">
        <v>17.100000000000001</v>
      </c>
    </row>
    <row r="957" spans="1:6">
      <c r="A957" s="811"/>
      <c r="B957" s="811"/>
      <c r="C957" s="815"/>
      <c r="D957" s="811"/>
      <c r="E957" s="811"/>
      <c r="F957" s="811"/>
    </row>
    <row r="958" spans="1:6">
      <c r="A958" s="811"/>
      <c r="B958" s="811"/>
      <c r="C958" s="815"/>
      <c r="D958" s="811"/>
      <c r="E958" s="811"/>
      <c r="F958" s="811" t="s">
        <v>534</v>
      </c>
    </row>
    <row r="959" spans="1:6">
      <c r="A959" s="811"/>
      <c r="B959" s="811"/>
      <c r="C959" s="815" t="s">
        <v>1138</v>
      </c>
      <c r="D959" s="811"/>
      <c r="E959" s="811"/>
      <c r="F959" s="811">
        <v>10856.869500000001</v>
      </c>
    </row>
    <row r="960" spans="1:6">
      <c r="A960" s="811"/>
      <c r="B960" s="811"/>
      <c r="C960" s="815"/>
      <c r="D960" s="811"/>
      <c r="E960" s="811"/>
      <c r="F960" s="811" t="s">
        <v>534</v>
      </c>
    </row>
    <row r="961" spans="1:6">
      <c r="A961" s="811"/>
      <c r="B961" s="811"/>
      <c r="C961" s="815" t="s">
        <v>1139</v>
      </c>
      <c r="D961" s="811"/>
      <c r="E961" s="811"/>
      <c r="F961" s="811">
        <v>361.89565000000005</v>
      </c>
    </row>
    <row r="962" spans="1:6">
      <c r="A962" s="811"/>
      <c r="B962" s="811"/>
      <c r="C962" s="815"/>
      <c r="D962" s="811"/>
      <c r="E962" s="811"/>
      <c r="F962" s="811" t="s">
        <v>534</v>
      </c>
    </row>
    <row r="963" spans="1:6">
      <c r="A963" s="811"/>
      <c r="B963" s="811" t="s">
        <v>7</v>
      </c>
      <c r="C963" s="815" t="s">
        <v>3260</v>
      </c>
      <c r="D963" s="811"/>
      <c r="E963" s="811"/>
      <c r="F963" s="811"/>
    </row>
    <row r="964" spans="1:6">
      <c r="A964" s="811"/>
      <c r="B964" s="811"/>
      <c r="C964" s="815" t="s">
        <v>534</v>
      </c>
      <c r="D964" s="811"/>
      <c r="E964" s="811"/>
      <c r="F964" s="811"/>
    </row>
    <row r="965" spans="1:6">
      <c r="A965" s="811">
        <v>18.899999999999999</v>
      </c>
      <c r="B965" s="811" t="s">
        <v>577</v>
      </c>
      <c r="C965" s="815" t="s">
        <v>1122</v>
      </c>
      <c r="D965" s="811">
        <v>160.82</v>
      </c>
      <c r="E965" s="811" t="s">
        <v>577</v>
      </c>
      <c r="F965" s="811">
        <v>3039.4979999999996</v>
      </c>
    </row>
    <row r="966" spans="1:6">
      <c r="A966" s="811">
        <v>18.3</v>
      </c>
      <c r="B966" s="811" t="s">
        <v>577</v>
      </c>
      <c r="C966" s="815" t="s">
        <v>1123</v>
      </c>
      <c r="D966" s="811">
        <v>28.05</v>
      </c>
      <c r="E966" s="811" t="s">
        <v>577</v>
      </c>
      <c r="F966" s="811">
        <v>513.31500000000005</v>
      </c>
    </row>
    <row r="967" spans="1:6" ht="31.5">
      <c r="A967" s="811">
        <v>30</v>
      </c>
      <c r="B967" s="811" t="s">
        <v>410</v>
      </c>
      <c r="C967" s="815" t="s">
        <v>3262</v>
      </c>
      <c r="D967" s="811">
        <v>483</v>
      </c>
      <c r="E967" s="811" t="s">
        <v>410</v>
      </c>
      <c r="F967" s="811">
        <v>14490</v>
      </c>
    </row>
    <row r="968" spans="1:6">
      <c r="A968" s="811"/>
      <c r="B968" s="811"/>
      <c r="C968" s="815"/>
      <c r="D968" s="811"/>
      <c r="E968" s="811"/>
      <c r="F968" s="811"/>
    </row>
    <row r="969" spans="1:6">
      <c r="A969" s="811">
        <v>30</v>
      </c>
      <c r="B969" s="811"/>
      <c r="C969" s="815" t="s">
        <v>1124</v>
      </c>
      <c r="D969" s="811">
        <v>15.54</v>
      </c>
      <c r="E969" s="811" t="s">
        <v>410</v>
      </c>
      <c r="F969" s="811">
        <v>466.2</v>
      </c>
    </row>
    <row r="970" spans="1:6">
      <c r="A970" s="811"/>
      <c r="B970" s="811"/>
      <c r="C970" s="815" t="s">
        <v>1125</v>
      </c>
      <c r="D970" s="811"/>
      <c r="E970" s="811"/>
      <c r="F970" s="811"/>
    </row>
    <row r="971" spans="1:6">
      <c r="A971" s="811"/>
      <c r="B971" s="811"/>
      <c r="C971" s="815" t="s">
        <v>1126</v>
      </c>
      <c r="D971" s="811"/>
      <c r="E971" s="811"/>
      <c r="F971" s="811"/>
    </row>
    <row r="972" spans="1:6">
      <c r="A972" s="811"/>
      <c r="B972" s="811"/>
      <c r="C972" s="815" t="s">
        <v>1127</v>
      </c>
      <c r="D972" s="811"/>
      <c r="E972" s="811"/>
      <c r="F972" s="811"/>
    </row>
    <row r="973" spans="1:6">
      <c r="A973" s="811"/>
      <c r="B973" s="811"/>
      <c r="C973" s="815" t="s">
        <v>3258</v>
      </c>
      <c r="D973" s="811"/>
      <c r="E973" s="811"/>
      <c r="F973" s="811"/>
    </row>
    <row r="974" spans="1:6">
      <c r="A974" s="811"/>
      <c r="B974" s="811"/>
      <c r="C974" s="815"/>
      <c r="D974" s="811"/>
      <c r="E974" s="811"/>
      <c r="F974" s="811"/>
    </row>
    <row r="975" spans="1:6">
      <c r="A975" s="811">
        <v>5</v>
      </c>
      <c r="B975" s="811" t="s">
        <v>589</v>
      </c>
      <c r="C975" s="815" t="s">
        <v>3259</v>
      </c>
      <c r="D975" s="811">
        <v>31</v>
      </c>
      <c r="E975" s="811" t="s">
        <v>680</v>
      </c>
      <c r="F975" s="811">
        <v>155</v>
      </c>
    </row>
    <row r="976" spans="1:6">
      <c r="A976" s="811">
        <v>1</v>
      </c>
      <c r="B976" s="811"/>
      <c r="C976" s="815" t="s">
        <v>1136</v>
      </c>
      <c r="D976" s="811">
        <v>12.1</v>
      </c>
      <c r="E976" s="811" t="s">
        <v>589</v>
      </c>
      <c r="F976" s="811">
        <v>12.1</v>
      </c>
    </row>
    <row r="977" spans="1:6">
      <c r="A977" s="811"/>
      <c r="B977" s="811"/>
      <c r="C977" s="815" t="s">
        <v>590</v>
      </c>
      <c r="D977" s="811"/>
      <c r="E977" s="811" t="s">
        <v>589</v>
      </c>
      <c r="F977" s="811">
        <v>24.3</v>
      </c>
    </row>
    <row r="978" spans="1:6">
      <c r="A978" s="811"/>
      <c r="B978" s="811"/>
      <c r="C978" s="815"/>
      <c r="D978" s="811"/>
      <c r="E978" s="811"/>
      <c r="F978" s="811"/>
    </row>
    <row r="979" spans="1:6">
      <c r="A979" s="811"/>
      <c r="B979" s="811"/>
      <c r="C979" s="815" t="s">
        <v>1138</v>
      </c>
      <c r="D979" s="811"/>
      <c r="E979" s="811"/>
      <c r="F979" s="811">
        <v>18700.412999999997</v>
      </c>
    </row>
    <row r="980" spans="1:6">
      <c r="A980" s="811"/>
      <c r="B980" s="811"/>
      <c r="C980" s="815"/>
      <c r="D980" s="811"/>
      <c r="E980" s="811"/>
      <c r="F980" s="811" t="s">
        <v>534</v>
      </c>
    </row>
    <row r="981" spans="1:6">
      <c r="A981" s="811"/>
      <c r="B981" s="811"/>
      <c r="C981" s="815" t="s">
        <v>1139</v>
      </c>
      <c r="D981" s="811"/>
      <c r="E981" s="811"/>
      <c r="F981" s="811">
        <v>623.34709999999984</v>
      </c>
    </row>
  </sheetData>
  <pageMargins left="0.31496062992126" right="0.35433070866141703" top="0.74803149606299202" bottom="0.74803149606299202" header="0.31496062992126" footer="0.31496062992126"/>
  <pageSetup paperSize="9" scale="82" orientation="portrait" r:id="rId1"/>
  <headerFooter>
    <oddHeader>Page &amp;P</oddHeader>
  </headerFooter>
</worksheet>
</file>

<file path=xl/worksheets/sheet8.xml><?xml version="1.0" encoding="utf-8"?>
<worksheet xmlns="http://schemas.openxmlformats.org/spreadsheetml/2006/main" xmlns:r="http://schemas.openxmlformats.org/officeDocument/2006/relationships">
  <dimension ref="A3:F1109"/>
  <sheetViews>
    <sheetView view="pageBreakPreview" topLeftCell="A1094" zoomScaleSheetLayoutView="100" workbookViewId="0">
      <selection activeCell="G1082" sqref="G1082"/>
    </sheetView>
  </sheetViews>
  <sheetFormatPr defaultRowHeight="15"/>
  <cols>
    <col min="1" max="1" width="9.28515625" bestFit="1" customWidth="1"/>
    <col min="2" max="2" width="6.140625" customWidth="1"/>
    <col min="3" max="3" width="41.5703125" style="893" customWidth="1"/>
    <col min="4" max="4" width="10.42578125" bestFit="1" customWidth="1"/>
    <col min="6" max="6" width="10.85546875" customWidth="1"/>
  </cols>
  <sheetData>
    <row r="3" spans="1:6" ht="15.75">
      <c r="A3" s="888"/>
      <c r="B3" s="888"/>
      <c r="C3" s="895" t="s">
        <v>3384</v>
      </c>
      <c r="D3" s="888"/>
      <c r="E3" s="888"/>
      <c r="F3" s="888"/>
    </row>
    <row r="4" spans="1:6" ht="45">
      <c r="A4" s="888" t="s">
        <v>2771</v>
      </c>
      <c r="B4" s="888">
        <v>0</v>
      </c>
      <c r="C4" s="894" t="s">
        <v>2924</v>
      </c>
      <c r="D4" s="888">
        <v>0</v>
      </c>
      <c r="E4" s="888">
        <v>0</v>
      </c>
      <c r="F4" s="888">
        <v>0</v>
      </c>
    </row>
    <row r="5" spans="1:6">
      <c r="A5" s="888">
        <v>0</v>
      </c>
      <c r="B5" s="888">
        <v>0</v>
      </c>
      <c r="C5" s="894" t="s">
        <v>534</v>
      </c>
      <c r="D5" s="888" t="s">
        <v>534</v>
      </c>
      <c r="E5" s="888" t="s">
        <v>534</v>
      </c>
      <c r="F5" s="888">
        <v>0</v>
      </c>
    </row>
    <row r="6" spans="1:6">
      <c r="A6" s="888">
        <v>0</v>
      </c>
      <c r="B6" s="888">
        <v>0</v>
      </c>
      <c r="C6" s="894">
        <v>0</v>
      </c>
      <c r="D6" s="888">
        <v>0</v>
      </c>
      <c r="E6" s="888">
        <v>0</v>
      </c>
      <c r="F6" s="888">
        <v>0</v>
      </c>
    </row>
    <row r="7" spans="1:6">
      <c r="A7" s="888">
        <v>0</v>
      </c>
      <c r="B7" s="888">
        <v>0</v>
      </c>
      <c r="C7" s="894">
        <v>0</v>
      </c>
      <c r="D7" s="889">
        <v>8.9775000000000009</v>
      </c>
      <c r="E7" s="888" t="s">
        <v>3378</v>
      </c>
      <c r="F7" s="888">
        <v>0</v>
      </c>
    </row>
    <row r="8" spans="1:6">
      <c r="A8" s="888">
        <v>0</v>
      </c>
      <c r="B8" s="888">
        <v>0</v>
      </c>
      <c r="C8" s="894">
        <v>0</v>
      </c>
      <c r="D8" s="888">
        <v>0</v>
      </c>
      <c r="E8" s="888">
        <v>0</v>
      </c>
      <c r="F8" s="888">
        <v>0</v>
      </c>
    </row>
    <row r="9" spans="1:6" ht="30">
      <c r="A9" s="888">
        <v>0</v>
      </c>
      <c r="B9" s="888">
        <v>0</v>
      </c>
      <c r="C9" s="894" t="s">
        <v>3379</v>
      </c>
      <c r="D9" s="890">
        <v>6.0117187499999995E-2</v>
      </c>
      <c r="E9" s="888">
        <v>0</v>
      </c>
      <c r="F9" s="888">
        <v>0</v>
      </c>
    </row>
    <row r="10" spans="1:6" ht="30">
      <c r="A10" s="888">
        <v>0</v>
      </c>
      <c r="B10" s="888">
        <v>0</v>
      </c>
      <c r="C10" s="894" t="s">
        <v>3380</v>
      </c>
      <c r="D10" s="890">
        <v>5.0624999999999996E-2</v>
      </c>
      <c r="E10" s="888">
        <v>0</v>
      </c>
      <c r="F10" s="888">
        <v>0</v>
      </c>
    </row>
    <row r="11" spans="1:6">
      <c r="A11" s="888">
        <v>0</v>
      </c>
      <c r="B11" s="888">
        <v>0</v>
      </c>
      <c r="C11" s="894" t="s">
        <v>3381</v>
      </c>
      <c r="D11" s="890">
        <v>6.48</v>
      </c>
      <c r="E11" s="888" t="s">
        <v>3421</v>
      </c>
      <c r="F11" s="888" t="s">
        <v>3421</v>
      </c>
    </row>
    <row r="12" spans="1:6">
      <c r="A12" s="888">
        <v>0</v>
      </c>
      <c r="B12" s="888">
        <v>0</v>
      </c>
      <c r="C12" s="894" t="s">
        <v>3382</v>
      </c>
      <c r="D12" s="890">
        <v>6.48</v>
      </c>
      <c r="E12" s="888">
        <v>0</v>
      </c>
      <c r="F12" s="888" t="s">
        <v>3421</v>
      </c>
    </row>
    <row r="13" spans="1:6" ht="30">
      <c r="A13" s="888"/>
      <c r="B13" s="888"/>
      <c r="C13" s="894" t="s">
        <v>3383</v>
      </c>
      <c r="D13" s="890">
        <v>22.230000000000004</v>
      </c>
      <c r="E13" s="888"/>
      <c r="F13" s="888"/>
    </row>
    <row r="14" spans="1:6">
      <c r="A14" s="888"/>
      <c r="B14" s="888"/>
      <c r="C14" s="894"/>
      <c r="D14" s="890"/>
      <c r="E14" s="888"/>
      <c r="F14" s="888"/>
    </row>
    <row r="15" spans="1:6">
      <c r="A15" s="888">
        <v>0</v>
      </c>
      <c r="B15" s="888">
        <v>0</v>
      </c>
      <c r="C15" s="894">
        <v>0</v>
      </c>
      <c r="D15" s="888">
        <v>0</v>
      </c>
      <c r="E15" s="888">
        <v>0</v>
      </c>
      <c r="F15" s="888">
        <v>0</v>
      </c>
    </row>
    <row r="16" spans="1:6">
      <c r="A16" s="890">
        <v>6.0117187499999995E-2</v>
      </c>
      <c r="B16" s="888" t="s">
        <v>577</v>
      </c>
      <c r="C16" s="894" t="s">
        <v>932</v>
      </c>
      <c r="D16" s="888">
        <f>[5]Data!$I$3100</f>
        <v>111600</v>
      </c>
      <c r="E16" s="888" t="s">
        <v>577</v>
      </c>
      <c r="F16" s="888">
        <f>D16*A16</f>
        <v>6709.0781249999991</v>
      </c>
    </row>
    <row r="17" spans="1:6">
      <c r="A17" s="890">
        <v>5.0624999999999996E-2</v>
      </c>
      <c r="B17" s="888" t="s">
        <v>577</v>
      </c>
      <c r="C17" s="894" t="s">
        <v>933</v>
      </c>
      <c r="D17" s="888">
        <f>[5]Data!$I$3101</f>
        <v>99400</v>
      </c>
      <c r="E17" s="888" t="s">
        <v>577</v>
      </c>
      <c r="F17" s="888">
        <f t="shared" ref="F17:F25" si="0">D17*A17</f>
        <v>5032.125</v>
      </c>
    </row>
    <row r="18" spans="1:6">
      <c r="A18" s="890">
        <v>0.11074218749999999</v>
      </c>
      <c r="B18" s="888" t="s">
        <v>577</v>
      </c>
      <c r="C18" s="894" t="s">
        <v>1897</v>
      </c>
      <c r="D18" s="888">
        <f>[5]Data!$I$3102</f>
        <v>11302.5</v>
      </c>
      <c r="E18" s="888" t="s">
        <v>577</v>
      </c>
      <c r="F18" s="888">
        <f t="shared" si="0"/>
        <v>1251.66357421875</v>
      </c>
    </row>
    <row r="19" spans="1:6">
      <c r="A19" s="890">
        <v>6.48</v>
      </c>
      <c r="B19" s="888" t="s">
        <v>916</v>
      </c>
      <c r="C19" s="894" t="s">
        <v>2931</v>
      </c>
      <c r="D19" s="888">
        <f>[5]Data!$I$3103</f>
        <v>387.4</v>
      </c>
      <c r="E19" s="888" t="s">
        <v>916</v>
      </c>
      <c r="F19" s="888">
        <f t="shared" si="0"/>
        <v>2510.3519999999999</v>
      </c>
    </row>
    <row r="20" spans="1:6">
      <c r="A20" s="890">
        <v>6.48</v>
      </c>
      <c r="B20" s="888" t="s">
        <v>916</v>
      </c>
      <c r="C20" s="894" t="s">
        <v>1899</v>
      </c>
      <c r="D20" s="888">
        <f>[5]Data!$I$3104</f>
        <v>1059.3</v>
      </c>
      <c r="E20" s="888" t="s">
        <v>916</v>
      </c>
      <c r="F20" s="888">
        <f t="shared" si="0"/>
        <v>6864.2640000000001</v>
      </c>
    </row>
    <row r="21" spans="1:6">
      <c r="A21" s="891">
        <v>64</v>
      </c>
      <c r="B21" s="888" t="s">
        <v>576</v>
      </c>
      <c r="C21" s="894" t="s">
        <v>1858</v>
      </c>
      <c r="D21" s="888">
        <f>[5]Data!$I$3106</f>
        <v>43.6</v>
      </c>
      <c r="E21" s="888" t="s">
        <v>576</v>
      </c>
      <c r="F21" s="888">
        <f t="shared" si="0"/>
        <v>2790.4</v>
      </c>
    </row>
    <row r="22" spans="1:6">
      <c r="A22" s="891">
        <v>32</v>
      </c>
      <c r="B22" s="888" t="s">
        <v>576</v>
      </c>
      <c r="C22" s="894" t="s">
        <v>2778</v>
      </c>
      <c r="D22" s="888">
        <f>[5]Data!$I$3107</f>
        <v>53.8</v>
      </c>
      <c r="E22" s="888" t="s">
        <v>576</v>
      </c>
      <c r="F22" s="888">
        <f t="shared" si="0"/>
        <v>1721.6</v>
      </c>
    </row>
    <row r="23" spans="1:6">
      <c r="A23" s="891">
        <v>32</v>
      </c>
      <c r="B23" s="888" t="s">
        <v>576</v>
      </c>
      <c r="C23" s="894" t="s">
        <v>2777</v>
      </c>
      <c r="D23" s="888">
        <f>[5]Data!$I$3108</f>
        <v>63.2</v>
      </c>
      <c r="E23" s="888" t="s">
        <v>576</v>
      </c>
      <c r="F23" s="888">
        <f t="shared" si="0"/>
        <v>2022.4</v>
      </c>
    </row>
    <row r="24" spans="1:6">
      <c r="A24" s="890">
        <v>22.230000000000004</v>
      </c>
      <c r="B24" s="888" t="s">
        <v>916</v>
      </c>
      <c r="C24" s="894" t="s">
        <v>2945</v>
      </c>
      <c r="D24" s="888">
        <f>[5]Data!$I$3109</f>
        <v>209.27</v>
      </c>
      <c r="E24" s="888" t="s">
        <v>916</v>
      </c>
      <c r="F24" s="888">
        <f t="shared" si="0"/>
        <v>4652.0721000000012</v>
      </c>
    </row>
    <row r="25" spans="1:6" ht="30">
      <c r="A25" s="890">
        <v>200</v>
      </c>
      <c r="B25" s="888" t="s">
        <v>3</v>
      </c>
      <c r="C25" s="894" t="s">
        <v>2947</v>
      </c>
      <c r="D25" s="888">
        <f>[5]Data!$I$3110</f>
        <v>2.37</v>
      </c>
      <c r="E25" s="888">
        <v>0</v>
      </c>
      <c r="F25" s="888">
        <f t="shared" si="0"/>
        <v>474</v>
      </c>
    </row>
    <row r="26" spans="1:6">
      <c r="A26" s="890">
        <v>0</v>
      </c>
      <c r="B26" s="888">
        <v>0</v>
      </c>
      <c r="C26" s="894">
        <v>0</v>
      </c>
      <c r="D26" s="888">
        <v>0</v>
      </c>
      <c r="E26" s="888">
        <v>0</v>
      </c>
      <c r="F26" s="892" t="s">
        <v>534</v>
      </c>
    </row>
    <row r="27" spans="1:6">
      <c r="A27" s="888">
        <v>0</v>
      </c>
      <c r="B27" s="888">
        <v>0</v>
      </c>
      <c r="C27" s="894" t="s">
        <v>3422</v>
      </c>
      <c r="D27" s="888">
        <v>0</v>
      </c>
      <c r="E27" s="888">
        <v>0</v>
      </c>
      <c r="F27" s="888">
        <f>SUM(F16:F26)</f>
        <v>34027.954799218751</v>
      </c>
    </row>
    <row r="28" spans="1:6">
      <c r="A28" s="888">
        <v>0</v>
      </c>
      <c r="B28" s="888" t="s">
        <v>3421</v>
      </c>
      <c r="C28" s="894">
        <v>0</v>
      </c>
      <c r="D28" s="888">
        <v>0</v>
      </c>
      <c r="E28" s="888">
        <v>0</v>
      </c>
      <c r="F28" s="892" t="s">
        <v>534</v>
      </c>
    </row>
    <row r="29" spans="1:6">
      <c r="A29" s="888">
        <v>0</v>
      </c>
      <c r="B29" s="888">
        <v>0</v>
      </c>
      <c r="C29" s="894" t="s">
        <v>881</v>
      </c>
      <c r="D29" s="888">
        <v>0</v>
      </c>
      <c r="E29" s="888">
        <v>0</v>
      </c>
      <c r="F29" s="888">
        <f>F27/8.978</f>
        <v>3790.1486744507411</v>
      </c>
    </row>
    <row r="30" spans="1:6">
      <c r="A30" s="888">
        <v>0</v>
      </c>
      <c r="B30" s="888">
        <v>0</v>
      </c>
      <c r="C30" s="894">
        <v>0</v>
      </c>
      <c r="D30" s="888">
        <v>0</v>
      </c>
      <c r="E30" s="888">
        <v>0</v>
      </c>
      <c r="F30" s="892" t="s">
        <v>528</v>
      </c>
    </row>
    <row r="31" spans="1:6">
      <c r="A31" s="892" t="s">
        <v>839</v>
      </c>
      <c r="B31" s="892" t="s">
        <v>307</v>
      </c>
      <c r="C31" s="896" t="s">
        <v>840</v>
      </c>
      <c r="D31" s="892"/>
      <c r="E31" s="892"/>
      <c r="F31" s="892"/>
    </row>
    <row r="32" spans="1:6">
      <c r="A32" s="892"/>
      <c r="B32" s="892"/>
      <c r="C32" s="896" t="s">
        <v>3418</v>
      </c>
      <c r="D32" s="892"/>
      <c r="E32" s="892"/>
      <c r="F32" s="892"/>
    </row>
    <row r="33" spans="1:6">
      <c r="A33" s="892"/>
      <c r="B33" s="892"/>
      <c r="C33" s="896" t="s">
        <v>534</v>
      </c>
      <c r="D33" s="892"/>
      <c r="E33" s="892"/>
      <c r="F33" s="892"/>
    </row>
    <row r="34" spans="1:6">
      <c r="A34" s="892">
        <v>1</v>
      </c>
      <c r="B34" s="892" t="s">
        <v>577</v>
      </c>
      <c r="C34" s="896" t="s">
        <v>858</v>
      </c>
      <c r="D34" s="892">
        <v>1519.7</v>
      </c>
      <c r="E34" s="892" t="s">
        <v>577</v>
      </c>
      <c r="F34" s="892">
        <v>1519.7</v>
      </c>
    </row>
    <row r="35" spans="1:6">
      <c r="A35" s="892">
        <v>1</v>
      </c>
      <c r="B35" s="892" t="s">
        <v>577</v>
      </c>
      <c r="C35" s="896" t="s">
        <v>661</v>
      </c>
      <c r="D35" s="892">
        <v>28.27</v>
      </c>
      <c r="E35" s="892" t="s">
        <v>577</v>
      </c>
      <c r="F35" s="892">
        <v>28.27</v>
      </c>
    </row>
    <row r="36" spans="1:6">
      <c r="A36" s="892"/>
      <c r="B36" s="892" t="s">
        <v>589</v>
      </c>
      <c r="C36" s="896" t="s">
        <v>590</v>
      </c>
      <c r="D36" s="892" t="s">
        <v>22</v>
      </c>
      <c r="E36" s="892" t="s">
        <v>589</v>
      </c>
      <c r="F36" s="892">
        <v>0</v>
      </c>
    </row>
    <row r="37" spans="1:6">
      <c r="A37" s="892"/>
      <c r="B37" s="892"/>
      <c r="C37" s="896"/>
      <c r="D37" s="892"/>
      <c r="E37" s="892"/>
      <c r="F37" s="892" t="s">
        <v>534</v>
      </c>
    </row>
    <row r="38" spans="1:6">
      <c r="A38" s="892"/>
      <c r="B38" s="892"/>
      <c r="C38" s="896" t="s">
        <v>862</v>
      </c>
      <c r="D38" s="892"/>
      <c r="E38" s="892"/>
      <c r="F38" s="892">
        <v>1547.97</v>
      </c>
    </row>
    <row r="40" spans="1:6">
      <c r="A40" s="892" t="s">
        <v>886</v>
      </c>
      <c r="B40" s="892" t="s">
        <v>307</v>
      </c>
      <c r="C40" s="896" t="s">
        <v>907</v>
      </c>
      <c r="D40" s="892"/>
      <c r="E40" s="892"/>
      <c r="F40" s="892"/>
    </row>
    <row r="41" spans="1:6">
      <c r="A41" s="892"/>
      <c r="B41" s="892"/>
      <c r="C41" s="896" t="s">
        <v>889</v>
      </c>
      <c r="D41" s="892"/>
      <c r="E41" s="892"/>
      <c r="F41" s="892"/>
    </row>
    <row r="42" spans="1:6">
      <c r="A42" s="892"/>
      <c r="B42" s="892"/>
      <c r="C42" s="896" t="s">
        <v>534</v>
      </c>
      <c r="D42" s="892"/>
      <c r="E42" s="892"/>
      <c r="F42" s="892"/>
    </row>
    <row r="43" spans="1:6">
      <c r="A43" s="892">
        <v>9</v>
      </c>
      <c r="B43" s="892" t="s">
        <v>577</v>
      </c>
      <c r="C43" s="896" t="s">
        <v>890</v>
      </c>
      <c r="D43" s="892">
        <v>1143.5999999999999</v>
      </c>
      <c r="E43" s="892" t="s">
        <v>577</v>
      </c>
      <c r="F43" s="892">
        <v>10292.4</v>
      </c>
    </row>
    <row r="44" spans="1:6">
      <c r="A44" s="892">
        <v>4.5</v>
      </c>
      <c r="B44" s="892" t="s">
        <v>577</v>
      </c>
      <c r="C44" s="896" t="s">
        <v>729</v>
      </c>
      <c r="D44" s="892">
        <v>3285.8</v>
      </c>
      <c r="E44" s="892" t="s">
        <v>577</v>
      </c>
      <c r="F44" s="892">
        <v>14786.1</v>
      </c>
    </row>
    <row r="45" spans="1:6">
      <c r="A45" s="892">
        <v>1.8</v>
      </c>
      <c r="B45" s="892" t="s">
        <v>576</v>
      </c>
      <c r="C45" s="896" t="s">
        <v>752</v>
      </c>
      <c r="D45" s="892">
        <v>789.8</v>
      </c>
      <c r="E45" s="892" t="s">
        <v>576</v>
      </c>
      <c r="F45" s="892">
        <v>1421.64</v>
      </c>
    </row>
    <row r="46" spans="1:6">
      <c r="A46" s="892">
        <v>17.7</v>
      </c>
      <c r="B46" s="892" t="s">
        <v>576</v>
      </c>
      <c r="C46" s="896" t="s">
        <v>754</v>
      </c>
      <c r="D46" s="892">
        <v>552.20000000000005</v>
      </c>
      <c r="E46" s="892" t="s">
        <v>576</v>
      </c>
      <c r="F46" s="892">
        <v>9773.94</v>
      </c>
    </row>
    <row r="47" spans="1:6">
      <c r="A47" s="892">
        <v>14.1</v>
      </c>
      <c r="B47" s="892" t="s">
        <v>576</v>
      </c>
      <c r="C47" s="896" t="s">
        <v>756</v>
      </c>
      <c r="D47" s="892">
        <v>453.2</v>
      </c>
      <c r="E47" s="892" t="s">
        <v>576</v>
      </c>
      <c r="F47" s="892">
        <v>6390.12</v>
      </c>
    </row>
    <row r="48" spans="1:6">
      <c r="A48" s="892"/>
      <c r="B48" s="892" t="s">
        <v>589</v>
      </c>
      <c r="C48" s="896" t="s">
        <v>590</v>
      </c>
      <c r="D48" s="892"/>
      <c r="E48" s="892" t="s">
        <v>589</v>
      </c>
      <c r="F48" s="892">
        <v>0</v>
      </c>
    </row>
    <row r="49" spans="1:6">
      <c r="A49" s="892"/>
      <c r="B49" s="892"/>
      <c r="C49" s="896"/>
      <c r="D49" s="892"/>
      <c r="E49" s="892"/>
      <c r="F49" s="892" t="s">
        <v>534</v>
      </c>
    </row>
    <row r="50" spans="1:6">
      <c r="A50" s="892"/>
      <c r="B50" s="892"/>
      <c r="C50" s="896"/>
      <c r="D50" s="892"/>
      <c r="E50" s="892"/>
      <c r="F50" s="892">
        <v>42664.2</v>
      </c>
    </row>
    <row r="51" spans="1:6">
      <c r="A51" s="892"/>
      <c r="B51" s="892"/>
      <c r="C51" s="896" t="s">
        <v>760</v>
      </c>
      <c r="D51" s="892"/>
      <c r="E51" s="892"/>
      <c r="F51" s="892" t="s">
        <v>534</v>
      </c>
    </row>
    <row r="52" spans="1:6">
      <c r="A52" s="892"/>
      <c r="B52" s="892"/>
      <c r="C52" s="896"/>
      <c r="D52" s="892"/>
      <c r="E52" s="892"/>
      <c r="F52" s="892">
        <v>4266.42</v>
      </c>
    </row>
    <row r="53" spans="1:6">
      <c r="A53" s="892"/>
      <c r="B53" s="892"/>
      <c r="C53" s="896" t="s">
        <v>685</v>
      </c>
      <c r="D53" s="892"/>
      <c r="E53" s="892"/>
      <c r="F53" s="892" t="s">
        <v>528</v>
      </c>
    </row>
    <row r="55" spans="1:6">
      <c r="A55" s="897">
        <v>6</v>
      </c>
      <c r="B55" s="892" t="s">
        <v>307</v>
      </c>
      <c r="C55" s="896" t="s">
        <v>1030</v>
      </c>
      <c r="D55" s="892"/>
      <c r="E55" s="892"/>
      <c r="F55" s="892"/>
    </row>
    <row r="56" spans="1:6">
      <c r="A56" s="892"/>
      <c r="B56" s="892"/>
      <c r="C56" s="896" t="s">
        <v>1034</v>
      </c>
      <c r="D56" s="892"/>
      <c r="E56" s="892"/>
      <c r="F56" s="892"/>
    </row>
    <row r="57" spans="1:6">
      <c r="A57" s="892"/>
      <c r="B57" s="892"/>
      <c r="C57" s="896" t="s">
        <v>534</v>
      </c>
      <c r="D57" s="892"/>
      <c r="E57" s="892"/>
      <c r="F57" s="892"/>
    </row>
    <row r="58" spans="1:6">
      <c r="A58" s="892">
        <v>4240</v>
      </c>
      <c r="B58" s="892" t="s">
        <v>773</v>
      </c>
      <c r="C58" s="896" t="s">
        <v>1034</v>
      </c>
      <c r="D58" s="892">
        <v>6702.84</v>
      </c>
      <c r="E58" s="892" t="s">
        <v>774</v>
      </c>
      <c r="F58" s="892">
        <v>28420.04</v>
      </c>
    </row>
    <row r="59" spans="1:6">
      <c r="A59" s="892">
        <v>2</v>
      </c>
      <c r="B59" s="892" t="s">
        <v>577</v>
      </c>
      <c r="C59" s="896" t="s">
        <v>729</v>
      </c>
      <c r="D59" s="892">
        <v>3285.8</v>
      </c>
      <c r="E59" s="892" t="s">
        <v>577</v>
      </c>
      <c r="F59" s="892">
        <v>6571.6</v>
      </c>
    </row>
    <row r="60" spans="1:6">
      <c r="A60" s="892">
        <v>3.5</v>
      </c>
      <c r="B60" s="892" t="s">
        <v>576</v>
      </c>
      <c r="C60" s="896" t="s">
        <v>778</v>
      </c>
      <c r="D60" s="892">
        <v>845.9</v>
      </c>
      <c r="E60" s="892" t="s">
        <v>576</v>
      </c>
      <c r="F60" s="892">
        <v>2960.65</v>
      </c>
    </row>
    <row r="61" spans="1:6">
      <c r="A61" s="892">
        <v>10.6</v>
      </c>
      <c r="B61" s="892" t="s">
        <v>576</v>
      </c>
      <c r="C61" s="896" t="s">
        <v>752</v>
      </c>
      <c r="D61" s="892">
        <v>789.8</v>
      </c>
      <c r="E61" s="892" t="s">
        <v>576</v>
      </c>
      <c r="F61" s="892">
        <v>8371.8799999999992</v>
      </c>
    </row>
    <row r="62" spans="1:6">
      <c r="A62" s="892">
        <v>7.1</v>
      </c>
      <c r="B62" s="892" t="s">
        <v>576</v>
      </c>
      <c r="C62" s="896" t="s">
        <v>754</v>
      </c>
      <c r="D62" s="892">
        <v>552.20000000000005</v>
      </c>
      <c r="E62" s="892" t="s">
        <v>576</v>
      </c>
      <c r="F62" s="892">
        <v>3920.62</v>
      </c>
    </row>
    <row r="63" spans="1:6">
      <c r="A63" s="892">
        <v>21.2</v>
      </c>
      <c r="B63" s="892" t="s">
        <v>576</v>
      </c>
      <c r="C63" s="896" t="s">
        <v>756</v>
      </c>
      <c r="D63" s="892">
        <v>453.2</v>
      </c>
      <c r="E63" s="892" t="s">
        <v>576</v>
      </c>
      <c r="F63" s="892">
        <v>9607.84</v>
      </c>
    </row>
    <row r="64" spans="1:6">
      <c r="A64" s="892"/>
      <c r="B64" s="892" t="s">
        <v>589</v>
      </c>
      <c r="C64" s="896" t="s">
        <v>590</v>
      </c>
      <c r="D64" s="892"/>
      <c r="E64" s="892" t="s">
        <v>589</v>
      </c>
      <c r="F64" s="892">
        <v>0</v>
      </c>
    </row>
    <row r="65" spans="1:6">
      <c r="A65" s="892"/>
      <c r="B65" s="892"/>
      <c r="C65" s="896"/>
      <c r="D65" s="892"/>
      <c r="E65" s="892"/>
      <c r="F65" s="892" t="s">
        <v>534</v>
      </c>
    </row>
    <row r="66" spans="1:6">
      <c r="A66" s="892"/>
      <c r="B66" s="892"/>
      <c r="C66" s="896" t="s">
        <v>760</v>
      </c>
      <c r="D66" s="892"/>
      <c r="E66" s="892"/>
      <c r="F66" s="892">
        <v>59852.63</v>
      </c>
    </row>
    <row r="67" spans="1:6">
      <c r="A67" s="892"/>
      <c r="B67" s="892"/>
      <c r="C67" s="896"/>
      <c r="D67" s="892"/>
      <c r="E67" s="892"/>
      <c r="F67" s="892" t="s">
        <v>534</v>
      </c>
    </row>
    <row r="68" spans="1:6">
      <c r="A68" s="892"/>
      <c r="B68" s="892"/>
      <c r="C68" s="896" t="s">
        <v>685</v>
      </c>
      <c r="D68" s="892"/>
      <c r="E68" s="892"/>
      <c r="F68" s="892">
        <v>5985.26</v>
      </c>
    </row>
    <row r="69" spans="1:6">
      <c r="A69" s="892"/>
      <c r="B69" s="892"/>
      <c r="C69" s="896"/>
      <c r="D69" s="892"/>
      <c r="E69" s="892"/>
      <c r="F69" s="892" t="s">
        <v>528</v>
      </c>
    </row>
    <row r="70" spans="1:6">
      <c r="A70" s="892"/>
      <c r="B70" s="892"/>
      <c r="C70" s="896" t="s">
        <v>789</v>
      </c>
      <c r="D70" s="892"/>
      <c r="E70" s="892"/>
      <c r="F70" s="892">
        <v>6050.38</v>
      </c>
    </row>
    <row r="71" spans="1:6">
      <c r="A71" s="892"/>
      <c r="B71" s="892"/>
      <c r="C71" s="896" t="s">
        <v>793</v>
      </c>
      <c r="D71" s="892"/>
      <c r="E71" s="892"/>
      <c r="F71" s="892">
        <v>6181.61</v>
      </c>
    </row>
    <row r="72" spans="1:6">
      <c r="A72" s="892"/>
      <c r="B72" s="892"/>
      <c r="C72" s="896" t="s">
        <v>796</v>
      </c>
      <c r="D72" s="892"/>
      <c r="E72" s="892"/>
      <c r="F72" s="892">
        <v>6312.84</v>
      </c>
    </row>
    <row r="74" spans="1:6">
      <c r="A74" s="897">
        <v>9</v>
      </c>
      <c r="B74" s="892" t="s">
        <v>307</v>
      </c>
      <c r="C74" s="896" t="s">
        <v>1050</v>
      </c>
      <c r="D74" s="892"/>
      <c r="E74" s="892"/>
      <c r="F74" s="892"/>
    </row>
    <row r="75" spans="1:6">
      <c r="A75" s="892"/>
      <c r="B75" s="892"/>
      <c r="C75" s="896" t="s">
        <v>1034</v>
      </c>
      <c r="D75" s="892"/>
      <c r="E75" s="892"/>
      <c r="F75" s="892"/>
    </row>
    <row r="76" spans="1:6">
      <c r="A76" s="892"/>
      <c r="B76" s="892"/>
      <c r="C76" s="896" t="s">
        <v>534</v>
      </c>
      <c r="D76" s="892"/>
      <c r="E76" s="892"/>
      <c r="F76" s="892"/>
    </row>
    <row r="77" spans="1:6">
      <c r="A77" s="892">
        <v>4240</v>
      </c>
      <c r="B77" s="892" t="s">
        <v>773</v>
      </c>
      <c r="C77" s="896" t="s">
        <v>1034</v>
      </c>
      <c r="D77" s="892">
        <v>6702.84</v>
      </c>
      <c r="E77" s="892" t="s">
        <v>774</v>
      </c>
      <c r="F77" s="892">
        <v>28420.04</v>
      </c>
    </row>
    <row r="78" spans="1:6">
      <c r="A78" s="892">
        <v>2</v>
      </c>
      <c r="B78" s="892" t="s">
        <v>577</v>
      </c>
      <c r="C78" s="896" t="s">
        <v>749</v>
      </c>
      <c r="D78" s="892">
        <v>3007.4</v>
      </c>
      <c r="E78" s="892" t="s">
        <v>577</v>
      </c>
      <c r="F78" s="892">
        <v>6014.8</v>
      </c>
    </row>
    <row r="79" spans="1:6">
      <c r="A79" s="892">
        <v>3.5</v>
      </c>
      <c r="B79" s="892" t="s">
        <v>576</v>
      </c>
      <c r="C79" s="896" t="s">
        <v>778</v>
      </c>
      <c r="D79" s="892">
        <v>845.9</v>
      </c>
      <c r="E79" s="892" t="s">
        <v>576</v>
      </c>
      <c r="F79" s="892">
        <v>2960.65</v>
      </c>
    </row>
    <row r="80" spans="1:6">
      <c r="A80" s="892">
        <v>10.6</v>
      </c>
      <c r="B80" s="892" t="s">
        <v>576</v>
      </c>
      <c r="C80" s="896" t="s">
        <v>752</v>
      </c>
      <c r="D80" s="892">
        <v>789.8</v>
      </c>
      <c r="E80" s="892" t="s">
        <v>576</v>
      </c>
      <c r="F80" s="892">
        <v>8371.8799999999992</v>
      </c>
    </row>
    <row r="81" spans="1:6">
      <c r="A81" s="892">
        <v>7.1</v>
      </c>
      <c r="B81" s="892" t="s">
        <v>576</v>
      </c>
      <c r="C81" s="896" t="s">
        <v>754</v>
      </c>
      <c r="D81" s="892">
        <v>552.20000000000005</v>
      </c>
      <c r="E81" s="892" t="s">
        <v>576</v>
      </c>
      <c r="F81" s="892">
        <v>3920.62</v>
      </c>
    </row>
    <row r="82" spans="1:6">
      <c r="A82" s="892">
        <v>21.2</v>
      </c>
      <c r="B82" s="892" t="s">
        <v>576</v>
      </c>
      <c r="C82" s="896" t="s">
        <v>756</v>
      </c>
      <c r="D82" s="892">
        <v>453.2</v>
      </c>
      <c r="E82" s="892" t="s">
        <v>576</v>
      </c>
      <c r="F82" s="892">
        <v>9607.84</v>
      </c>
    </row>
    <row r="83" spans="1:6">
      <c r="A83" s="892"/>
      <c r="B83" s="892" t="s">
        <v>589</v>
      </c>
      <c r="C83" s="896" t="s">
        <v>590</v>
      </c>
      <c r="D83" s="892"/>
      <c r="E83" s="892" t="s">
        <v>589</v>
      </c>
      <c r="F83" s="892">
        <v>0</v>
      </c>
    </row>
    <row r="84" spans="1:6">
      <c r="A84" s="892"/>
      <c r="B84" s="892"/>
      <c r="C84" s="896"/>
      <c r="D84" s="892"/>
      <c r="E84" s="892"/>
      <c r="F84" s="892" t="s">
        <v>534</v>
      </c>
    </row>
    <row r="85" spans="1:6">
      <c r="A85" s="892"/>
      <c r="B85" s="892"/>
      <c r="C85" s="896" t="s">
        <v>760</v>
      </c>
      <c r="D85" s="892"/>
      <c r="E85" s="892"/>
      <c r="F85" s="892">
        <v>59295.83</v>
      </c>
    </row>
    <row r="86" spans="1:6">
      <c r="A86" s="892"/>
      <c r="B86" s="892"/>
      <c r="C86" s="896"/>
      <c r="D86" s="892"/>
      <c r="E86" s="892"/>
      <c r="F86" s="892" t="s">
        <v>534</v>
      </c>
    </row>
    <row r="87" spans="1:6">
      <c r="A87" s="892"/>
      <c r="B87" s="892"/>
      <c r="C87" s="896" t="s">
        <v>685</v>
      </c>
      <c r="D87" s="892"/>
      <c r="E87" s="892"/>
      <c r="F87" s="892">
        <v>5929.58</v>
      </c>
    </row>
    <row r="88" spans="1:6">
      <c r="A88" s="892"/>
      <c r="B88" s="892"/>
      <c r="C88" s="896"/>
      <c r="D88" s="892"/>
      <c r="E88" s="892"/>
      <c r="F88" s="892" t="s">
        <v>528</v>
      </c>
    </row>
    <row r="89" spans="1:6">
      <c r="A89" s="892"/>
      <c r="B89" s="892"/>
      <c r="C89" s="896" t="s">
        <v>789</v>
      </c>
      <c r="D89" s="892"/>
      <c r="E89" s="892"/>
      <c r="F89" s="892">
        <v>5994.7</v>
      </c>
    </row>
    <row r="90" spans="1:6">
      <c r="A90" s="892"/>
      <c r="B90" s="892"/>
      <c r="C90" s="896" t="s">
        <v>793</v>
      </c>
      <c r="D90" s="892"/>
      <c r="E90" s="892"/>
      <c r="F90" s="892">
        <v>6125.93</v>
      </c>
    </row>
    <row r="92" spans="1:6">
      <c r="A92" s="892"/>
      <c r="B92" s="892" t="s">
        <v>865</v>
      </c>
      <c r="C92" s="896" t="s">
        <v>1096</v>
      </c>
      <c r="D92" s="892"/>
      <c r="E92" s="892"/>
      <c r="F92" s="892"/>
    </row>
    <row r="93" spans="1:6">
      <c r="A93" s="892"/>
      <c r="B93" s="892"/>
      <c r="C93" s="896" t="s">
        <v>534</v>
      </c>
      <c r="D93" s="892"/>
      <c r="E93" s="892"/>
      <c r="F93" s="892"/>
    </row>
    <row r="94" spans="1:6">
      <c r="A94" s="892">
        <v>1.1399999999999999</v>
      </c>
      <c r="B94" s="892" t="s">
        <v>577</v>
      </c>
      <c r="C94" s="896" t="s">
        <v>872</v>
      </c>
      <c r="D94" s="892">
        <v>5818.07</v>
      </c>
      <c r="E94" s="892" t="s">
        <v>577</v>
      </c>
      <c r="F94" s="892">
        <v>6632.6</v>
      </c>
    </row>
    <row r="95" spans="1:6">
      <c r="A95" s="892">
        <v>1</v>
      </c>
      <c r="B95" s="892" t="s">
        <v>680</v>
      </c>
      <c r="C95" s="896" t="s">
        <v>778</v>
      </c>
      <c r="D95" s="892">
        <v>845.9</v>
      </c>
      <c r="E95" s="892" t="s">
        <v>576</v>
      </c>
      <c r="F95" s="892">
        <v>845.9</v>
      </c>
    </row>
    <row r="96" spans="1:6">
      <c r="A96" s="892"/>
      <c r="B96" s="892" t="s">
        <v>589</v>
      </c>
      <c r="C96" s="896" t="s">
        <v>590</v>
      </c>
      <c r="D96" s="892" t="s">
        <v>22</v>
      </c>
      <c r="E96" s="892" t="s">
        <v>589</v>
      </c>
      <c r="F96" s="892">
        <v>0</v>
      </c>
    </row>
    <row r="97" spans="1:6">
      <c r="A97" s="892"/>
      <c r="B97" s="892"/>
      <c r="C97" s="896"/>
      <c r="D97" s="892"/>
      <c r="E97" s="892"/>
      <c r="F97" s="892" t="s">
        <v>534</v>
      </c>
    </row>
    <row r="98" spans="1:6">
      <c r="A98" s="892"/>
      <c r="B98" s="892"/>
      <c r="C98" s="896" t="s">
        <v>879</v>
      </c>
      <c r="D98" s="892"/>
      <c r="E98" s="892"/>
      <c r="F98" s="892">
        <v>7478.5</v>
      </c>
    </row>
    <row r="99" spans="1:6">
      <c r="A99" s="892"/>
      <c r="B99" s="892"/>
      <c r="C99" s="896"/>
      <c r="D99" s="892"/>
      <c r="E99" s="892"/>
      <c r="F99" s="892" t="s">
        <v>534</v>
      </c>
    </row>
    <row r="100" spans="1:6">
      <c r="A100" s="892"/>
      <c r="B100" s="892"/>
      <c r="C100" s="896" t="s">
        <v>881</v>
      </c>
      <c r="D100" s="892"/>
      <c r="E100" s="892"/>
      <c r="F100" s="892">
        <v>747.85</v>
      </c>
    </row>
    <row r="101" spans="1:6">
      <c r="A101" s="892"/>
      <c r="B101" s="892"/>
      <c r="C101" s="896"/>
      <c r="D101" s="892"/>
      <c r="E101" s="892"/>
      <c r="F101" s="892" t="s">
        <v>528</v>
      </c>
    </row>
    <row r="102" spans="1:6">
      <c r="A102" s="892"/>
      <c r="B102" s="892"/>
      <c r="C102" s="896" t="s">
        <v>789</v>
      </c>
      <c r="D102" s="892"/>
      <c r="E102" s="892">
        <v>7.42</v>
      </c>
      <c r="F102" s="892">
        <v>755.27</v>
      </c>
    </row>
    <row r="103" spans="1:6">
      <c r="A103" s="892"/>
      <c r="B103" s="892"/>
      <c r="C103" s="896" t="s">
        <v>793</v>
      </c>
      <c r="D103" s="892"/>
      <c r="E103" s="892">
        <v>14.96</v>
      </c>
      <c r="F103" s="892">
        <v>770.23</v>
      </c>
    </row>
    <row r="105" spans="1:6">
      <c r="A105" s="892"/>
      <c r="B105" s="892" t="s">
        <v>898</v>
      </c>
      <c r="C105" s="896" t="s">
        <v>1129</v>
      </c>
      <c r="D105" s="892"/>
      <c r="E105" s="892"/>
      <c r="F105" s="892"/>
    </row>
    <row r="106" spans="1:6">
      <c r="A106" s="892"/>
      <c r="B106" s="892"/>
      <c r="C106" s="896" t="s">
        <v>534</v>
      </c>
      <c r="D106" s="892"/>
      <c r="E106" s="892"/>
      <c r="F106" s="892"/>
    </row>
    <row r="107" spans="1:6">
      <c r="A107" s="892">
        <v>0.75</v>
      </c>
      <c r="B107" s="892" t="s">
        <v>577</v>
      </c>
      <c r="C107" s="896" t="s">
        <v>900</v>
      </c>
      <c r="D107" s="892">
        <v>5818.07</v>
      </c>
      <c r="E107" s="892" t="s">
        <v>576</v>
      </c>
      <c r="F107" s="892">
        <v>4363.55</v>
      </c>
    </row>
    <row r="108" spans="1:6">
      <c r="A108" s="892">
        <v>1</v>
      </c>
      <c r="B108" s="892" t="s">
        <v>680</v>
      </c>
      <c r="C108" s="896" t="s">
        <v>778</v>
      </c>
      <c r="D108" s="892">
        <v>845.9</v>
      </c>
      <c r="E108" s="892" t="s">
        <v>576</v>
      </c>
      <c r="F108" s="892">
        <v>845.9</v>
      </c>
    </row>
    <row r="109" spans="1:6">
      <c r="A109" s="892"/>
      <c r="B109" s="892" t="s">
        <v>589</v>
      </c>
      <c r="C109" s="896" t="s">
        <v>590</v>
      </c>
      <c r="D109" s="892" t="s">
        <v>22</v>
      </c>
      <c r="E109" s="892" t="s">
        <v>589</v>
      </c>
      <c r="F109" s="892">
        <v>0</v>
      </c>
    </row>
    <row r="110" spans="1:6">
      <c r="A110" s="892"/>
      <c r="B110" s="892"/>
      <c r="C110" s="896"/>
      <c r="D110" s="892"/>
      <c r="E110" s="892"/>
      <c r="F110" s="892" t="s">
        <v>534</v>
      </c>
    </row>
    <row r="111" spans="1:6">
      <c r="A111" s="892"/>
      <c r="B111" s="892"/>
      <c r="C111" s="896" t="s">
        <v>879</v>
      </c>
      <c r="D111" s="892"/>
      <c r="E111" s="892"/>
      <c r="F111" s="892">
        <v>5209.45</v>
      </c>
    </row>
    <row r="112" spans="1:6">
      <c r="A112" s="892"/>
      <c r="B112" s="892"/>
      <c r="C112" s="896"/>
      <c r="D112" s="892"/>
      <c r="E112" s="892"/>
      <c r="F112" s="892" t="s">
        <v>534</v>
      </c>
    </row>
    <row r="113" spans="1:6">
      <c r="A113" s="892"/>
      <c r="B113" s="892"/>
      <c r="C113" s="896" t="s">
        <v>881</v>
      </c>
      <c r="D113" s="892"/>
      <c r="E113" s="892"/>
      <c r="F113" s="892">
        <v>520.95000000000005</v>
      </c>
    </row>
    <row r="114" spans="1:6">
      <c r="A114" s="892"/>
      <c r="B114" s="892"/>
      <c r="C114" s="896"/>
      <c r="D114" s="892"/>
      <c r="E114" s="892"/>
      <c r="F114" s="892" t="s">
        <v>528</v>
      </c>
    </row>
    <row r="115" spans="1:6">
      <c r="A115" s="892"/>
      <c r="B115" s="892"/>
      <c r="C115" s="896" t="s">
        <v>789</v>
      </c>
      <c r="D115" s="892"/>
      <c r="E115" s="892">
        <v>4.88</v>
      </c>
      <c r="F115" s="892">
        <v>525.83000000000004</v>
      </c>
    </row>
    <row r="116" spans="1:6">
      <c r="A116" s="892"/>
      <c r="B116" s="892"/>
      <c r="C116" s="896" t="s">
        <v>793</v>
      </c>
      <c r="D116" s="892"/>
      <c r="E116" s="892">
        <v>9.84</v>
      </c>
      <c r="F116" s="892">
        <v>535.66999999999996</v>
      </c>
    </row>
    <row r="118" spans="1:6">
      <c r="A118" s="892" t="s">
        <v>1171</v>
      </c>
      <c r="B118" s="892" t="s">
        <v>307</v>
      </c>
      <c r="C118" s="896" t="s">
        <v>1172</v>
      </c>
      <c r="D118" s="892"/>
      <c r="E118" s="892"/>
      <c r="F118" s="892"/>
    </row>
    <row r="119" spans="1:6">
      <c r="A119" s="892"/>
      <c r="B119" s="892"/>
      <c r="C119" s="896" t="s">
        <v>1173</v>
      </c>
      <c r="D119" s="892"/>
      <c r="E119" s="892"/>
      <c r="F119" s="892"/>
    </row>
    <row r="120" spans="1:6">
      <c r="A120" s="892"/>
      <c r="B120" s="892"/>
      <c r="C120" s="896" t="s">
        <v>534</v>
      </c>
      <c r="D120" s="892"/>
      <c r="E120" s="892"/>
      <c r="F120" s="892"/>
    </row>
    <row r="121" spans="1:6">
      <c r="A121" s="892">
        <v>1</v>
      </c>
      <c r="B121" s="892" t="s">
        <v>577</v>
      </c>
      <c r="C121" s="896" t="s">
        <v>1174</v>
      </c>
      <c r="D121" s="892">
        <v>32.229999999999997</v>
      </c>
      <c r="E121" s="892" t="s">
        <v>577</v>
      </c>
      <c r="F121" s="892">
        <v>32.229999999999997</v>
      </c>
    </row>
    <row r="122" spans="1:6">
      <c r="A122" s="892"/>
      <c r="B122" s="892"/>
      <c r="C122" s="896"/>
      <c r="D122" s="892"/>
      <c r="E122" s="892"/>
      <c r="F122" s="892" t="s">
        <v>528</v>
      </c>
    </row>
    <row r="123" spans="1:6">
      <c r="A123" s="892" t="s">
        <v>325</v>
      </c>
      <c r="B123" s="892" t="s">
        <v>307</v>
      </c>
      <c r="C123" s="896" t="s">
        <v>1229</v>
      </c>
      <c r="D123" s="892"/>
      <c r="E123" s="892"/>
      <c r="F123" s="892"/>
    </row>
    <row r="124" spans="1:6">
      <c r="A124" s="892"/>
      <c r="B124" s="892"/>
      <c r="C124" s="896" t="s">
        <v>534</v>
      </c>
      <c r="D124" s="892"/>
      <c r="E124" s="892"/>
      <c r="F124" s="892"/>
    </row>
    <row r="125" spans="1:6">
      <c r="A125" s="892">
        <v>0.03</v>
      </c>
      <c r="B125" s="892" t="s">
        <v>577</v>
      </c>
      <c r="C125" s="896" t="s">
        <v>1222</v>
      </c>
      <c r="D125" s="892">
        <v>6384.39</v>
      </c>
      <c r="E125" s="892" t="s">
        <v>577</v>
      </c>
      <c r="F125" s="892">
        <v>191.53</v>
      </c>
    </row>
    <row r="126" spans="1:6">
      <c r="A126" s="892">
        <v>0.5</v>
      </c>
      <c r="B126" s="892" t="s">
        <v>680</v>
      </c>
      <c r="C126" s="896" t="s">
        <v>778</v>
      </c>
      <c r="D126" s="892">
        <v>845.9</v>
      </c>
      <c r="E126" s="892" t="s">
        <v>680</v>
      </c>
      <c r="F126" s="892">
        <v>422.95</v>
      </c>
    </row>
    <row r="127" spans="1:6">
      <c r="A127" s="892">
        <v>0.75</v>
      </c>
      <c r="B127" s="892" t="s">
        <v>680</v>
      </c>
      <c r="C127" s="896" t="s">
        <v>754</v>
      </c>
      <c r="D127" s="892">
        <v>552.20000000000005</v>
      </c>
      <c r="E127" s="892" t="s">
        <v>680</v>
      </c>
      <c r="F127" s="892">
        <v>414.15</v>
      </c>
    </row>
    <row r="128" spans="1:6">
      <c r="A128" s="892"/>
      <c r="B128" s="892" t="s">
        <v>589</v>
      </c>
      <c r="C128" s="896" t="s">
        <v>590</v>
      </c>
      <c r="D128" s="892"/>
      <c r="E128" s="892" t="s">
        <v>589</v>
      </c>
      <c r="F128" s="892">
        <v>0</v>
      </c>
    </row>
    <row r="129" spans="1:6">
      <c r="A129" s="892"/>
      <c r="B129" s="892"/>
      <c r="C129" s="896"/>
      <c r="D129" s="892"/>
      <c r="E129" s="892"/>
      <c r="F129" s="892" t="s">
        <v>534</v>
      </c>
    </row>
    <row r="130" spans="1:6">
      <c r="A130" s="892"/>
      <c r="B130" s="892"/>
      <c r="C130" s="896" t="s">
        <v>1226</v>
      </c>
      <c r="D130" s="892"/>
      <c r="E130" s="892"/>
      <c r="F130" s="892">
        <v>1028.6300000000001</v>
      </c>
    </row>
    <row r="131" spans="1:6">
      <c r="A131" s="892"/>
      <c r="B131" s="892"/>
      <c r="C131" s="896"/>
      <c r="D131" s="892"/>
      <c r="E131" s="892"/>
      <c r="F131" s="892" t="s">
        <v>534</v>
      </c>
    </row>
    <row r="132" spans="1:6">
      <c r="A132" s="892"/>
      <c r="B132" s="892"/>
      <c r="C132" s="896" t="s">
        <v>881</v>
      </c>
      <c r="D132" s="892"/>
      <c r="E132" s="892"/>
      <c r="F132" s="892">
        <v>1384.43</v>
      </c>
    </row>
    <row r="133" spans="1:6">
      <c r="A133" s="892"/>
      <c r="B133" s="892"/>
      <c r="C133" s="896"/>
      <c r="D133" s="892"/>
      <c r="E133" s="892"/>
      <c r="F133" s="892" t="s">
        <v>528</v>
      </c>
    </row>
    <row r="134" spans="1:6">
      <c r="A134" s="892"/>
      <c r="B134" s="892"/>
      <c r="C134" s="896" t="s">
        <v>789</v>
      </c>
      <c r="D134" s="892">
        <v>1384.43</v>
      </c>
      <c r="E134" s="892">
        <v>3.99</v>
      </c>
      <c r="F134" s="892">
        <v>1388.42</v>
      </c>
    </row>
    <row r="135" spans="1:6">
      <c r="A135" s="892"/>
      <c r="B135" s="892"/>
      <c r="C135" s="896" t="s">
        <v>793</v>
      </c>
      <c r="D135" s="892">
        <v>1388.42</v>
      </c>
      <c r="E135" s="892">
        <v>7.86</v>
      </c>
      <c r="F135" s="892">
        <v>1396.28</v>
      </c>
    </row>
    <row r="137" spans="1:6">
      <c r="A137" s="898"/>
      <c r="B137" s="892" t="s">
        <v>22</v>
      </c>
      <c r="C137" s="896" t="s">
        <v>1241</v>
      </c>
      <c r="D137" s="892"/>
      <c r="E137" s="892"/>
      <c r="F137" s="892"/>
    </row>
    <row r="138" spans="1:6">
      <c r="A138" s="892"/>
      <c r="B138" s="892"/>
      <c r="C138" s="896" t="s">
        <v>1243</v>
      </c>
      <c r="D138" s="892"/>
      <c r="E138" s="892"/>
      <c r="F138" s="892"/>
    </row>
    <row r="139" spans="1:6">
      <c r="A139" s="892"/>
      <c r="B139" s="892"/>
      <c r="C139" s="896" t="s">
        <v>1244</v>
      </c>
      <c r="D139" s="892"/>
      <c r="E139" s="892"/>
      <c r="F139" s="892"/>
    </row>
    <row r="140" spans="1:6">
      <c r="A140" s="892"/>
      <c r="B140" s="892"/>
      <c r="C140" s="896" t="s">
        <v>1246</v>
      </c>
      <c r="D140" s="892"/>
      <c r="E140" s="892"/>
      <c r="F140" s="892"/>
    </row>
    <row r="141" spans="1:6">
      <c r="A141" s="892"/>
      <c r="B141" s="892"/>
      <c r="C141" s="896" t="s">
        <v>1247</v>
      </c>
      <c r="D141" s="892"/>
      <c r="E141" s="892"/>
      <c r="F141" s="892"/>
    </row>
    <row r="142" spans="1:6">
      <c r="A142" s="892"/>
      <c r="B142" s="892"/>
      <c r="C142" s="896" t="s">
        <v>1248</v>
      </c>
      <c r="D142" s="892"/>
      <c r="E142" s="892"/>
      <c r="F142" s="892"/>
    </row>
    <row r="143" spans="1:6">
      <c r="A143" s="892"/>
      <c r="B143" s="892"/>
      <c r="C143" s="896" t="s">
        <v>1250</v>
      </c>
      <c r="D143" s="892"/>
      <c r="E143" s="892"/>
      <c r="F143" s="892"/>
    </row>
    <row r="144" spans="1:6">
      <c r="A144" s="892"/>
      <c r="B144" s="892"/>
      <c r="C144" s="896" t="s">
        <v>534</v>
      </c>
      <c r="D144" s="892" t="s">
        <v>534</v>
      </c>
      <c r="E144" s="892"/>
      <c r="F144" s="892"/>
    </row>
    <row r="145" spans="1:6">
      <c r="A145" s="892"/>
      <c r="B145" s="892" t="s">
        <v>930</v>
      </c>
      <c r="C145" s="896" t="s">
        <v>1254</v>
      </c>
      <c r="D145" s="892"/>
      <c r="E145" s="892"/>
      <c r="F145" s="892"/>
    </row>
    <row r="146" spans="1:6">
      <c r="A146" s="892"/>
      <c r="B146" s="892"/>
      <c r="C146" s="896" t="s">
        <v>1257</v>
      </c>
      <c r="D146" s="892"/>
      <c r="E146" s="892"/>
      <c r="F146" s="892"/>
    </row>
    <row r="147" spans="1:6">
      <c r="A147" s="892">
        <v>10</v>
      </c>
      <c r="B147" s="892" t="s">
        <v>250</v>
      </c>
      <c r="C147" s="896" t="s">
        <v>1259</v>
      </c>
      <c r="D147" s="892">
        <v>366</v>
      </c>
      <c r="E147" s="892" t="s">
        <v>250</v>
      </c>
      <c r="F147" s="892">
        <v>3660</v>
      </c>
    </row>
    <row r="148" spans="1:6">
      <c r="A148" s="892">
        <v>1</v>
      </c>
      <c r="B148" s="892" t="s">
        <v>1261</v>
      </c>
      <c r="C148" s="896" t="s">
        <v>1262</v>
      </c>
      <c r="D148" s="892">
        <v>845.9</v>
      </c>
      <c r="E148" s="892" t="s">
        <v>332</v>
      </c>
      <c r="F148" s="892">
        <v>845.9</v>
      </c>
    </row>
    <row r="149" spans="1:6">
      <c r="A149" s="892">
        <v>1</v>
      </c>
      <c r="B149" s="892" t="s">
        <v>1261</v>
      </c>
      <c r="C149" s="896" t="s">
        <v>1264</v>
      </c>
      <c r="D149" s="892">
        <v>552.20000000000005</v>
      </c>
      <c r="E149" s="892" t="s">
        <v>332</v>
      </c>
      <c r="F149" s="892">
        <v>552.20000000000005</v>
      </c>
    </row>
    <row r="150" spans="1:6">
      <c r="A150" s="892"/>
      <c r="B150" s="892" t="s">
        <v>589</v>
      </c>
      <c r="C150" s="896" t="s">
        <v>1266</v>
      </c>
      <c r="D150" s="892"/>
      <c r="E150" s="892" t="s">
        <v>589</v>
      </c>
      <c r="F150" s="892">
        <v>120</v>
      </c>
    </row>
    <row r="151" spans="1:6">
      <c r="A151" s="892"/>
      <c r="B151" s="892"/>
      <c r="C151" s="896" t="s">
        <v>1268</v>
      </c>
      <c r="D151" s="892"/>
      <c r="E151" s="892"/>
      <c r="F151" s="892" t="s">
        <v>534</v>
      </c>
    </row>
    <row r="152" spans="1:6">
      <c r="A152" s="892"/>
      <c r="B152" s="892"/>
      <c r="C152" s="896" t="s">
        <v>1270</v>
      </c>
      <c r="D152" s="892"/>
      <c r="E152" s="892"/>
      <c r="F152" s="892">
        <v>5178.1000000000004</v>
      </c>
    </row>
    <row r="153" spans="1:6">
      <c r="A153" s="892"/>
      <c r="B153" s="892"/>
      <c r="C153" s="896"/>
      <c r="D153" s="892"/>
      <c r="E153" s="892"/>
      <c r="F153" s="892" t="s">
        <v>534</v>
      </c>
    </row>
    <row r="154" spans="1:6">
      <c r="A154" s="892"/>
      <c r="B154" s="892"/>
      <c r="C154" s="896" t="s">
        <v>1273</v>
      </c>
      <c r="D154" s="892"/>
      <c r="E154" s="892"/>
      <c r="F154" s="892">
        <v>517.80999999999995</v>
      </c>
    </row>
    <row r="155" spans="1:6">
      <c r="A155" s="892"/>
      <c r="B155" s="892"/>
      <c r="C155" s="896" t="s">
        <v>789</v>
      </c>
      <c r="D155" s="892">
        <v>517.80999999999995</v>
      </c>
      <c r="E155" s="892">
        <v>1.98</v>
      </c>
      <c r="F155" s="892">
        <v>519.79</v>
      </c>
    </row>
    <row r="156" spans="1:6">
      <c r="A156" s="892"/>
      <c r="B156" s="892"/>
      <c r="C156" s="896" t="s">
        <v>793</v>
      </c>
      <c r="D156" s="892">
        <v>519.79</v>
      </c>
      <c r="E156" s="892">
        <v>3.89</v>
      </c>
      <c r="F156" s="892">
        <v>523.67999999999995</v>
      </c>
    </row>
    <row r="158" spans="1:6">
      <c r="A158" s="892"/>
      <c r="B158" s="892" t="s">
        <v>865</v>
      </c>
      <c r="C158" s="896" t="s">
        <v>1166</v>
      </c>
      <c r="D158" s="892"/>
      <c r="E158" s="892"/>
      <c r="F158" s="892"/>
    </row>
    <row r="159" spans="1:6">
      <c r="A159" s="892"/>
      <c r="B159" s="892"/>
      <c r="C159" s="896" t="s">
        <v>1167</v>
      </c>
      <c r="D159" s="892"/>
      <c r="E159" s="892"/>
      <c r="F159" s="892"/>
    </row>
    <row r="160" spans="1:6">
      <c r="A160" s="892"/>
      <c r="B160" s="892"/>
      <c r="C160" s="896" t="s">
        <v>534</v>
      </c>
      <c r="D160" s="892"/>
      <c r="E160" s="892"/>
      <c r="F160" s="892"/>
    </row>
    <row r="161" spans="1:6">
      <c r="A161" s="899">
        <v>1.4E-2</v>
      </c>
      <c r="B161" s="892" t="s">
        <v>577</v>
      </c>
      <c r="C161" s="896" t="s">
        <v>1168</v>
      </c>
      <c r="D161" s="892">
        <v>7104</v>
      </c>
      <c r="E161" s="892" t="s">
        <v>577</v>
      </c>
      <c r="F161" s="892">
        <v>99.46</v>
      </c>
    </row>
    <row r="162" spans="1:6">
      <c r="A162" s="899"/>
      <c r="B162" s="892"/>
      <c r="C162" s="896" t="s">
        <v>1169</v>
      </c>
      <c r="D162" s="892"/>
      <c r="E162" s="892"/>
      <c r="F162" s="892" t="s">
        <v>22</v>
      </c>
    </row>
    <row r="163" spans="1:6">
      <c r="A163" s="892">
        <v>0.5</v>
      </c>
      <c r="B163" s="892" t="s">
        <v>680</v>
      </c>
      <c r="C163" s="896" t="s">
        <v>778</v>
      </c>
      <c r="D163" s="892">
        <v>845.9</v>
      </c>
      <c r="E163" s="892" t="s">
        <v>680</v>
      </c>
      <c r="F163" s="892">
        <v>422.95</v>
      </c>
    </row>
    <row r="164" spans="1:6">
      <c r="A164" s="892">
        <v>0.75</v>
      </c>
      <c r="B164" s="892" t="s">
        <v>680</v>
      </c>
      <c r="C164" s="896" t="s">
        <v>754</v>
      </c>
      <c r="D164" s="892">
        <v>552.20000000000005</v>
      </c>
      <c r="E164" s="892" t="s">
        <v>680</v>
      </c>
      <c r="F164" s="892">
        <v>414.15</v>
      </c>
    </row>
    <row r="165" spans="1:6">
      <c r="A165" s="892"/>
      <c r="B165" s="892" t="s">
        <v>589</v>
      </c>
      <c r="C165" s="896" t="s">
        <v>590</v>
      </c>
      <c r="D165" s="892"/>
      <c r="E165" s="892" t="s">
        <v>589</v>
      </c>
      <c r="F165" s="892">
        <v>0</v>
      </c>
    </row>
    <row r="166" spans="1:6">
      <c r="A166" s="892"/>
      <c r="B166" s="892"/>
      <c r="C166" s="896"/>
      <c r="D166" s="892"/>
      <c r="E166" s="892"/>
      <c r="F166" s="892" t="s">
        <v>534</v>
      </c>
    </row>
    <row r="167" spans="1:6">
      <c r="A167" s="892"/>
      <c r="B167" s="892"/>
      <c r="C167" s="896" t="s">
        <v>1175</v>
      </c>
      <c r="D167" s="892"/>
      <c r="E167" s="892"/>
      <c r="F167" s="892">
        <v>936.56</v>
      </c>
    </row>
    <row r="168" spans="1:6">
      <c r="A168" s="892"/>
      <c r="B168" s="892"/>
      <c r="C168" s="896"/>
      <c r="D168" s="892"/>
      <c r="E168" s="892"/>
      <c r="F168" s="892" t="s">
        <v>534</v>
      </c>
    </row>
    <row r="169" spans="1:6">
      <c r="A169" s="892"/>
      <c r="B169" s="892"/>
      <c r="C169" s="896" t="s">
        <v>881</v>
      </c>
      <c r="D169" s="892"/>
      <c r="E169" s="892"/>
      <c r="F169" s="892">
        <v>2517.63</v>
      </c>
    </row>
    <row r="170" spans="1:6">
      <c r="A170" s="892"/>
      <c r="B170" s="892"/>
      <c r="C170" s="896"/>
      <c r="D170" s="892"/>
      <c r="E170" s="892"/>
      <c r="F170" s="892" t="s">
        <v>528</v>
      </c>
    </row>
    <row r="171" spans="1:6">
      <c r="A171" s="892"/>
      <c r="B171" s="892"/>
      <c r="C171" s="896" t="s">
        <v>789</v>
      </c>
      <c r="D171" s="892">
        <v>2517.63</v>
      </c>
      <c r="E171" s="892">
        <v>3.72</v>
      </c>
      <c r="F171" s="892">
        <v>2521.35</v>
      </c>
    </row>
    <row r="172" spans="1:6">
      <c r="A172" s="892"/>
      <c r="B172" s="892"/>
      <c r="C172" s="896" t="s">
        <v>793</v>
      </c>
      <c r="D172" s="892">
        <v>2521.35</v>
      </c>
      <c r="E172" s="892">
        <v>7.33</v>
      </c>
      <c r="F172" s="892">
        <v>2528.6799999999998</v>
      </c>
    </row>
    <row r="174" spans="1:6">
      <c r="A174" s="892"/>
      <c r="B174" s="892" t="s">
        <v>1501</v>
      </c>
      <c r="C174" s="896" t="s">
        <v>1750</v>
      </c>
      <c r="D174" s="892"/>
      <c r="E174" s="892"/>
      <c r="F174" s="892"/>
    </row>
    <row r="175" spans="1:6">
      <c r="A175" s="892"/>
      <c r="B175" s="892"/>
      <c r="C175" s="896" t="s">
        <v>1741</v>
      </c>
      <c r="D175" s="892"/>
      <c r="E175" s="892"/>
      <c r="F175" s="892"/>
    </row>
    <row r="176" spans="1:6" ht="30">
      <c r="A176" s="900">
        <v>3.6799999999999999E-2</v>
      </c>
      <c r="B176" s="892" t="s">
        <v>577</v>
      </c>
      <c r="C176" s="896" t="s">
        <v>3402</v>
      </c>
      <c r="D176" s="892">
        <v>6963.43</v>
      </c>
      <c r="E176" s="892" t="s">
        <v>577</v>
      </c>
      <c r="F176" s="892">
        <v>256.25</v>
      </c>
    </row>
    <row r="177" spans="1:6">
      <c r="A177" s="892">
        <v>4.87</v>
      </c>
      <c r="B177" s="892" t="s">
        <v>420</v>
      </c>
      <c r="C177" s="896" t="s">
        <v>1733</v>
      </c>
      <c r="D177" s="892">
        <v>71117</v>
      </c>
      <c r="E177" s="892" t="s">
        <v>567</v>
      </c>
      <c r="F177" s="892">
        <v>346.34</v>
      </c>
    </row>
    <row r="178" spans="1:6">
      <c r="A178" s="892">
        <v>3</v>
      </c>
      <c r="B178" s="892" t="s">
        <v>576</v>
      </c>
      <c r="C178" s="896" t="s">
        <v>1735</v>
      </c>
      <c r="D178" s="892">
        <v>14.8</v>
      </c>
      <c r="E178" s="892" t="s">
        <v>576</v>
      </c>
      <c r="F178" s="892">
        <v>44.4</v>
      </c>
    </row>
    <row r="179" spans="1:6">
      <c r="A179" s="892">
        <v>12</v>
      </c>
      <c r="B179" s="892" t="s">
        <v>576</v>
      </c>
      <c r="C179" s="896" t="s">
        <v>1736</v>
      </c>
      <c r="D179" s="892">
        <v>2</v>
      </c>
      <c r="E179" s="892" t="s">
        <v>576</v>
      </c>
      <c r="F179" s="892">
        <v>24</v>
      </c>
    </row>
    <row r="180" spans="1:6">
      <c r="A180" s="892">
        <v>2</v>
      </c>
      <c r="B180" s="892" t="s">
        <v>576</v>
      </c>
      <c r="C180" s="896" t="s">
        <v>1737</v>
      </c>
      <c r="D180" s="892">
        <v>4.9000000000000004</v>
      </c>
      <c r="E180" s="892" t="s">
        <v>576</v>
      </c>
      <c r="F180" s="892">
        <v>9.8000000000000007</v>
      </c>
    </row>
    <row r="181" spans="1:6">
      <c r="A181" s="892">
        <v>6</v>
      </c>
      <c r="B181" s="892" t="s">
        <v>576</v>
      </c>
      <c r="C181" s="896" t="s">
        <v>1739</v>
      </c>
      <c r="D181" s="892">
        <v>4.45</v>
      </c>
      <c r="E181" s="892" t="s">
        <v>576</v>
      </c>
      <c r="F181" s="892">
        <v>26.7</v>
      </c>
    </row>
    <row r="182" spans="1:6">
      <c r="A182" s="892">
        <v>1</v>
      </c>
      <c r="B182" s="892" t="s">
        <v>576</v>
      </c>
      <c r="C182" s="896" t="s">
        <v>1742</v>
      </c>
      <c r="D182" s="892">
        <v>845.9</v>
      </c>
      <c r="E182" s="892" t="s">
        <v>576</v>
      </c>
      <c r="F182" s="892">
        <v>845.9</v>
      </c>
    </row>
    <row r="183" spans="1:6">
      <c r="A183" s="892">
        <v>1</v>
      </c>
      <c r="B183" s="892" t="s">
        <v>576</v>
      </c>
      <c r="C183" s="896" t="s">
        <v>1743</v>
      </c>
      <c r="D183" s="892">
        <v>552.20000000000005</v>
      </c>
      <c r="E183" s="892" t="s">
        <v>576</v>
      </c>
      <c r="F183" s="892">
        <v>552.20000000000005</v>
      </c>
    </row>
    <row r="184" spans="1:6">
      <c r="A184" s="892">
        <v>1</v>
      </c>
      <c r="B184" s="892" t="s">
        <v>576</v>
      </c>
      <c r="C184" s="896" t="s">
        <v>1744</v>
      </c>
      <c r="D184" s="892">
        <v>25</v>
      </c>
      <c r="E184" s="892" t="s">
        <v>576</v>
      </c>
      <c r="F184" s="892">
        <v>25</v>
      </c>
    </row>
    <row r="185" spans="1:6">
      <c r="A185" s="892">
        <v>0.5</v>
      </c>
      <c r="B185" s="892" t="s">
        <v>576</v>
      </c>
      <c r="C185" s="896" t="s">
        <v>1745</v>
      </c>
      <c r="D185" s="892">
        <v>453.2</v>
      </c>
      <c r="E185" s="892" t="s">
        <v>576</v>
      </c>
      <c r="F185" s="892">
        <v>226.6</v>
      </c>
    </row>
    <row r="186" spans="1:6">
      <c r="A186" s="892"/>
      <c r="B186" s="892" t="s">
        <v>589</v>
      </c>
      <c r="C186" s="896" t="s">
        <v>1746</v>
      </c>
      <c r="D186" s="892"/>
      <c r="E186" s="892" t="s">
        <v>589</v>
      </c>
      <c r="F186" s="892">
        <v>1.98</v>
      </c>
    </row>
    <row r="187" spans="1:6">
      <c r="A187" s="892"/>
      <c r="B187" s="892"/>
      <c r="C187" s="896"/>
      <c r="D187" s="892"/>
      <c r="E187" s="892"/>
      <c r="F187" s="892" t="s">
        <v>534</v>
      </c>
    </row>
    <row r="188" spans="1:6">
      <c r="A188" s="892"/>
      <c r="B188" s="892"/>
      <c r="C188" s="896" t="s">
        <v>1747</v>
      </c>
      <c r="D188" s="892"/>
      <c r="E188" s="892"/>
      <c r="F188" s="892">
        <v>2359.17</v>
      </c>
    </row>
    <row r="189" spans="1:6">
      <c r="A189" s="892"/>
      <c r="B189" s="892"/>
      <c r="C189" s="896"/>
      <c r="D189" s="892"/>
      <c r="E189" s="892"/>
      <c r="F189" s="892" t="s">
        <v>534</v>
      </c>
    </row>
    <row r="190" spans="1:6">
      <c r="A190" s="898">
        <v>21.2</v>
      </c>
      <c r="B190" s="892"/>
      <c r="C190" s="896" t="s">
        <v>1767</v>
      </c>
      <c r="D190" s="892"/>
      <c r="E190" s="892"/>
      <c r="F190" s="892"/>
    </row>
    <row r="191" spans="1:6">
      <c r="A191" s="898"/>
      <c r="B191" s="892"/>
      <c r="C191" s="896" t="s">
        <v>534</v>
      </c>
      <c r="D191" s="892"/>
      <c r="E191" s="892"/>
      <c r="F191" s="892"/>
    </row>
    <row r="192" spans="1:6">
      <c r="A192" s="892"/>
      <c r="B192" s="892" t="s">
        <v>1118</v>
      </c>
      <c r="C192" s="896" t="s">
        <v>1768</v>
      </c>
      <c r="D192" s="892"/>
      <c r="E192" s="892"/>
      <c r="F192" s="892" t="s">
        <v>22</v>
      </c>
    </row>
    <row r="193" spans="1:6">
      <c r="A193" s="892"/>
      <c r="B193" s="892"/>
      <c r="C193" s="896" t="s">
        <v>534</v>
      </c>
      <c r="D193" s="892"/>
      <c r="E193" s="892"/>
      <c r="F193" s="892" t="s">
        <v>22</v>
      </c>
    </row>
    <row r="194" spans="1:6">
      <c r="A194" s="892">
        <v>1</v>
      </c>
      <c r="B194" s="892" t="s">
        <v>577</v>
      </c>
      <c r="C194" s="896" t="s">
        <v>1769</v>
      </c>
      <c r="D194" s="892">
        <v>11302.5</v>
      </c>
      <c r="E194" s="892" t="s">
        <v>577</v>
      </c>
      <c r="F194" s="892">
        <v>11302.5</v>
      </c>
    </row>
    <row r="195" spans="1:6">
      <c r="A195" s="892">
        <v>1</v>
      </c>
      <c r="B195" s="892" t="s">
        <v>577</v>
      </c>
      <c r="C195" s="896" t="s">
        <v>1768</v>
      </c>
      <c r="D195" s="892">
        <v>111600</v>
      </c>
      <c r="E195" s="892" t="s">
        <v>577</v>
      </c>
      <c r="F195" s="892">
        <v>111600</v>
      </c>
    </row>
    <row r="196" spans="1:6">
      <c r="A196" s="892"/>
      <c r="B196" s="892"/>
      <c r="C196" s="896"/>
      <c r="D196" s="892"/>
      <c r="E196" s="892"/>
      <c r="F196" s="892" t="s">
        <v>528</v>
      </c>
    </row>
    <row r="197" spans="1:6">
      <c r="A197" s="892"/>
      <c r="B197" s="892"/>
      <c r="C197" s="896" t="s">
        <v>1770</v>
      </c>
      <c r="D197" s="892"/>
      <c r="E197" s="892"/>
      <c r="F197" s="892">
        <v>122902.5</v>
      </c>
    </row>
    <row r="198" spans="1:6">
      <c r="A198" s="892"/>
      <c r="B198" s="892"/>
      <c r="C198" s="896"/>
      <c r="D198" s="892"/>
      <c r="E198" s="892"/>
      <c r="F198" s="892" t="s">
        <v>528</v>
      </c>
    </row>
    <row r="199" spans="1:6">
      <c r="A199" s="892"/>
      <c r="B199" s="892" t="s">
        <v>7</v>
      </c>
      <c r="C199" s="896" t="s">
        <v>1771</v>
      </c>
      <c r="D199" s="892"/>
      <c r="E199" s="892"/>
      <c r="F199" s="892" t="s">
        <v>22</v>
      </c>
    </row>
    <row r="200" spans="1:6">
      <c r="A200" s="892"/>
      <c r="B200" s="892"/>
      <c r="C200" s="896" t="s">
        <v>534</v>
      </c>
      <c r="D200" s="892"/>
      <c r="E200" s="892"/>
      <c r="F200" s="892"/>
    </row>
    <row r="201" spans="1:6">
      <c r="A201" s="892">
        <v>1</v>
      </c>
      <c r="B201" s="892" t="s">
        <v>577</v>
      </c>
      <c r="C201" s="896" t="s">
        <v>1769</v>
      </c>
      <c r="D201" s="892">
        <v>11302.5</v>
      </c>
      <c r="E201" s="892" t="s">
        <v>577</v>
      </c>
      <c r="F201" s="892">
        <v>11302.5</v>
      </c>
    </row>
    <row r="202" spans="1:6">
      <c r="A202" s="892">
        <v>1</v>
      </c>
      <c r="B202" s="892" t="s">
        <v>577</v>
      </c>
      <c r="C202" s="896" t="s">
        <v>1768</v>
      </c>
      <c r="D202" s="892">
        <v>99400</v>
      </c>
      <c r="E202" s="892" t="s">
        <v>577</v>
      </c>
      <c r="F202" s="892">
        <v>99400</v>
      </c>
    </row>
    <row r="203" spans="1:6">
      <c r="A203" s="892"/>
      <c r="B203" s="892"/>
      <c r="C203" s="896"/>
      <c r="D203" s="892"/>
      <c r="E203" s="892"/>
      <c r="F203" s="892" t="s">
        <v>528</v>
      </c>
    </row>
    <row r="204" spans="1:6">
      <c r="A204" s="892"/>
      <c r="B204" s="892"/>
      <c r="C204" s="896" t="s">
        <v>1776</v>
      </c>
      <c r="D204" s="892"/>
      <c r="E204" s="892"/>
      <c r="F204" s="892">
        <v>110702.5</v>
      </c>
    </row>
    <row r="205" spans="1:6">
      <c r="A205" s="892"/>
      <c r="B205" s="892"/>
      <c r="C205" s="896"/>
      <c r="D205" s="892"/>
      <c r="E205" s="892"/>
      <c r="F205" s="892" t="s">
        <v>528</v>
      </c>
    </row>
    <row r="206" spans="1:6" ht="45">
      <c r="A206" s="892"/>
      <c r="B206" s="897">
        <v>90</v>
      </c>
      <c r="C206" s="902" t="s">
        <v>3391</v>
      </c>
      <c r="D206" s="892"/>
      <c r="E206" s="892"/>
      <c r="F206" s="892"/>
    </row>
    <row r="207" spans="1:6">
      <c r="A207" s="901">
        <v>3.8100000000000002E-2</v>
      </c>
      <c r="B207" s="892" t="s">
        <v>577</v>
      </c>
      <c r="C207" s="896" t="s">
        <v>3112</v>
      </c>
      <c r="D207" s="892">
        <v>111600</v>
      </c>
      <c r="E207" s="892">
        <v>0</v>
      </c>
      <c r="F207" s="892">
        <v>4251.96</v>
      </c>
    </row>
    <row r="208" spans="1:6">
      <c r="A208" s="899">
        <v>2.4E-2</v>
      </c>
      <c r="B208" s="892" t="s">
        <v>577</v>
      </c>
      <c r="C208" s="896" t="s">
        <v>3042</v>
      </c>
      <c r="D208" s="892">
        <v>99400</v>
      </c>
      <c r="E208" s="892">
        <v>0</v>
      </c>
      <c r="F208" s="892">
        <v>2385.6</v>
      </c>
    </row>
    <row r="209" spans="1:6">
      <c r="A209" s="892">
        <v>0.01</v>
      </c>
      <c r="B209" s="892" t="s">
        <v>577</v>
      </c>
      <c r="C209" s="896" t="s">
        <v>1794</v>
      </c>
      <c r="D209" s="892">
        <v>95000</v>
      </c>
      <c r="E209" s="892">
        <v>0</v>
      </c>
      <c r="F209" s="892">
        <v>950</v>
      </c>
    </row>
    <row r="210" spans="1:6">
      <c r="A210" s="892"/>
      <c r="B210" s="892"/>
      <c r="C210" s="896" t="s">
        <v>1796</v>
      </c>
      <c r="D210" s="892"/>
      <c r="E210" s="892"/>
      <c r="F210" s="892"/>
    </row>
    <row r="211" spans="1:6">
      <c r="A211" s="892">
        <v>1.05</v>
      </c>
      <c r="B211" s="892" t="s">
        <v>916</v>
      </c>
      <c r="C211" s="896" t="s">
        <v>3113</v>
      </c>
      <c r="D211" s="892">
        <v>355.5</v>
      </c>
      <c r="E211" s="892" t="s">
        <v>916</v>
      </c>
      <c r="F211" s="892">
        <v>373.28</v>
      </c>
    </row>
    <row r="212" spans="1:6">
      <c r="A212" s="892">
        <v>12</v>
      </c>
      <c r="B212" s="892" t="s">
        <v>2300</v>
      </c>
      <c r="C212" s="896" t="s">
        <v>3114</v>
      </c>
      <c r="D212" s="892">
        <v>54.5</v>
      </c>
      <c r="E212" s="892" t="s">
        <v>2300</v>
      </c>
      <c r="F212" s="892">
        <v>654</v>
      </c>
    </row>
    <row r="213" spans="1:6">
      <c r="A213" s="892">
        <v>2.85</v>
      </c>
      <c r="B213" s="892" t="s">
        <v>916</v>
      </c>
      <c r="C213" s="896" t="s">
        <v>3116</v>
      </c>
      <c r="D213" s="892">
        <v>1185.8</v>
      </c>
      <c r="E213" s="892" t="s">
        <v>916</v>
      </c>
      <c r="F213" s="892">
        <v>3379.53</v>
      </c>
    </row>
    <row r="214" spans="1:6">
      <c r="A214" s="892">
        <v>6</v>
      </c>
      <c r="B214" s="892" t="s">
        <v>42</v>
      </c>
      <c r="C214" s="896" t="s">
        <v>1789</v>
      </c>
      <c r="D214" s="892">
        <v>110.17</v>
      </c>
      <c r="E214" s="892" t="s">
        <v>680</v>
      </c>
      <c r="F214" s="892">
        <v>661.02</v>
      </c>
    </row>
    <row r="215" spans="1:6">
      <c r="A215" s="892">
        <v>1</v>
      </c>
      <c r="B215" s="892" t="s">
        <v>42</v>
      </c>
      <c r="C215" s="896" t="s">
        <v>3117</v>
      </c>
      <c r="D215" s="892">
        <v>550</v>
      </c>
      <c r="E215" s="892" t="s">
        <v>680</v>
      </c>
      <c r="F215" s="892">
        <v>550</v>
      </c>
    </row>
    <row r="216" spans="1:6">
      <c r="A216" s="892">
        <v>3</v>
      </c>
      <c r="B216" s="892" t="s">
        <v>42</v>
      </c>
      <c r="C216" s="896" t="s">
        <v>1791</v>
      </c>
      <c r="D216" s="892">
        <v>160</v>
      </c>
      <c r="E216" s="892" t="s">
        <v>680</v>
      </c>
      <c r="F216" s="892">
        <v>480</v>
      </c>
    </row>
    <row r="217" spans="1:6" ht="30">
      <c r="A217" s="892">
        <v>2</v>
      </c>
      <c r="B217" s="892" t="s">
        <v>42</v>
      </c>
      <c r="C217" s="896" t="s">
        <v>3118</v>
      </c>
      <c r="D217" s="892">
        <v>160</v>
      </c>
      <c r="E217" s="892" t="s">
        <v>680</v>
      </c>
      <c r="F217" s="892">
        <v>320</v>
      </c>
    </row>
    <row r="218" spans="1:6">
      <c r="A218" s="892">
        <v>2</v>
      </c>
      <c r="B218" s="892" t="s">
        <v>42</v>
      </c>
      <c r="C218" s="896" t="s">
        <v>941</v>
      </c>
      <c r="D218" s="892">
        <v>43.8</v>
      </c>
      <c r="E218" s="892" t="s">
        <v>680</v>
      </c>
      <c r="F218" s="892">
        <v>87.6</v>
      </c>
    </row>
    <row r="219" spans="1:6">
      <c r="A219" s="892">
        <v>2</v>
      </c>
      <c r="B219" s="892" t="s">
        <v>42</v>
      </c>
      <c r="C219" s="896" t="s">
        <v>1795</v>
      </c>
      <c r="D219" s="892">
        <v>7.3</v>
      </c>
      <c r="E219" s="892" t="s">
        <v>680</v>
      </c>
      <c r="F219" s="892">
        <v>14.6</v>
      </c>
    </row>
    <row r="220" spans="1:6">
      <c r="A220" s="892">
        <v>1.05</v>
      </c>
      <c r="B220" s="892" t="s">
        <v>916</v>
      </c>
      <c r="C220" s="896" t="s">
        <v>3119</v>
      </c>
      <c r="D220" s="892">
        <v>124.12</v>
      </c>
      <c r="E220" s="892" t="s">
        <v>916</v>
      </c>
      <c r="F220" s="892">
        <v>130.33000000000001</v>
      </c>
    </row>
    <row r="221" spans="1:6">
      <c r="A221" s="892">
        <v>3.15</v>
      </c>
      <c r="B221" s="892" t="s">
        <v>916</v>
      </c>
      <c r="C221" s="896" t="s">
        <v>3120</v>
      </c>
      <c r="D221" s="892">
        <v>169.48</v>
      </c>
      <c r="E221" s="892" t="s">
        <v>916</v>
      </c>
      <c r="F221" s="892">
        <v>533.86</v>
      </c>
    </row>
    <row r="222" spans="1:6">
      <c r="A222" s="892"/>
      <c r="B222" s="892"/>
      <c r="C222" s="896" t="s">
        <v>3121</v>
      </c>
      <c r="D222" s="892" t="s">
        <v>589</v>
      </c>
      <c r="E222" s="892"/>
      <c r="F222" s="892">
        <v>279.66000000000003</v>
      </c>
    </row>
    <row r="223" spans="1:6">
      <c r="A223" s="892"/>
      <c r="B223" s="892"/>
      <c r="C223" s="896"/>
      <c r="D223" s="892"/>
      <c r="E223" s="892"/>
      <c r="F223" s="892" t="s">
        <v>528</v>
      </c>
    </row>
    <row r="224" spans="1:6">
      <c r="A224" s="892"/>
      <c r="B224" s="892"/>
      <c r="C224" s="896" t="s">
        <v>3122</v>
      </c>
      <c r="D224" s="892"/>
      <c r="E224" s="892"/>
      <c r="F224" s="892">
        <v>15051.44</v>
      </c>
    </row>
    <row r="225" spans="1:6">
      <c r="A225" s="892"/>
      <c r="B225" s="892"/>
      <c r="C225" s="896"/>
      <c r="D225" s="892"/>
      <c r="E225" s="892"/>
      <c r="F225" s="892" t="s">
        <v>528</v>
      </c>
    </row>
    <row r="226" spans="1:6" ht="30">
      <c r="A226" s="892"/>
      <c r="B226" s="892"/>
      <c r="C226" s="896" t="s">
        <v>3166</v>
      </c>
      <c r="D226" s="892"/>
      <c r="E226" s="892"/>
      <c r="F226" s="892"/>
    </row>
    <row r="227" spans="1:6">
      <c r="A227" s="892"/>
      <c r="B227" s="892"/>
      <c r="C227" s="896" t="s">
        <v>3167</v>
      </c>
      <c r="D227" s="892">
        <v>1.62</v>
      </c>
      <c r="E227" s="892"/>
      <c r="F227" s="892"/>
    </row>
    <row r="228" spans="1:6">
      <c r="A228" s="892">
        <v>1.62</v>
      </c>
      <c r="B228" s="892" t="s">
        <v>916</v>
      </c>
      <c r="C228" s="896" t="s">
        <v>3170</v>
      </c>
      <c r="D228" s="892">
        <v>2211</v>
      </c>
      <c r="E228" s="892" t="s">
        <v>916</v>
      </c>
      <c r="F228" s="892">
        <v>3581.82</v>
      </c>
    </row>
    <row r="229" spans="1:6">
      <c r="A229" s="892">
        <v>1.62</v>
      </c>
      <c r="B229" s="892" t="s">
        <v>916</v>
      </c>
      <c r="C229" s="896" t="s">
        <v>3173</v>
      </c>
      <c r="D229" s="892">
        <v>161</v>
      </c>
      <c r="E229" s="892" t="s">
        <v>916</v>
      </c>
      <c r="F229" s="892">
        <v>260.82</v>
      </c>
    </row>
    <row r="230" spans="1:6">
      <c r="A230" s="892">
        <v>2</v>
      </c>
      <c r="B230" s="892" t="s">
        <v>680</v>
      </c>
      <c r="C230" s="896" t="s">
        <v>3155</v>
      </c>
      <c r="D230" s="892">
        <v>50.9</v>
      </c>
      <c r="E230" s="892" t="s">
        <v>680</v>
      </c>
      <c r="F230" s="892">
        <v>101.8</v>
      </c>
    </row>
    <row r="231" spans="1:6">
      <c r="A231" s="892">
        <v>5</v>
      </c>
      <c r="B231" s="892" t="s">
        <v>680</v>
      </c>
      <c r="C231" s="896" t="s">
        <v>3157</v>
      </c>
      <c r="D231" s="892">
        <v>79.099999999999994</v>
      </c>
      <c r="E231" s="892" t="s">
        <v>680</v>
      </c>
      <c r="F231" s="892">
        <v>395.5</v>
      </c>
    </row>
    <row r="232" spans="1:6">
      <c r="A232" s="892">
        <v>2</v>
      </c>
      <c r="B232" s="892" t="s">
        <v>680</v>
      </c>
      <c r="C232" s="896" t="s">
        <v>3159</v>
      </c>
      <c r="D232" s="892">
        <v>57.2</v>
      </c>
      <c r="E232" s="892" t="s">
        <v>680</v>
      </c>
      <c r="F232" s="892">
        <v>114.4</v>
      </c>
    </row>
    <row r="233" spans="1:6">
      <c r="A233" s="892">
        <v>1</v>
      </c>
      <c r="B233" s="892" t="s">
        <v>680</v>
      </c>
      <c r="C233" s="896" t="s">
        <v>3117</v>
      </c>
      <c r="D233" s="892">
        <v>159.69999999999999</v>
      </c>
      <c r="E233" s="892" t="s">
        <v>680</v>
      </c>
      <c r="F233" s="892">
        <v>159.69999999999999</v>
      </c>
    </row>
    <row r="234" spans="1:6">
      <c r="A234" s="892">
        <v>92</v>
      </c>
      <c r="B234" s="892" t="s">
        <v>680</v>
      </c>
      <c r="C234" s="896" t="s">
        <v>3154</v>
      </c>
      <c r="D234" s="892">
        <v>2.37</v>
      </c>
      <c r="E234" s="892" t="s">
        <v>680</v>
      </c>
      <c r="F234" s="892">
        <v>218.04</v>
      </c>
    </row>
    <row r="235" spans="1:6">
      <c r="A235" s="892">
        <v>1</v>
      </c>
      <c r="B235" s="892" t="s">
        <v>680</v>
      </c>
      <c r="C235" s="896" t="s">
        <v>3162</v>
      </c>
      <c r="D235" s="892">
        <v>22.7</v>
      </c>
      <c r="E235" s="892" t="s">
        <v>680</v>
      </c>
      <c r="F235" s="892">
        <v>22.7</v>
      </c>
    </row>
    <row r="236" spans="1:6">
      <c r="A236" s="892">
        <v>1</v>
      </c>
      <c r="B236" s="892" t="s">
        <v>680</v>
      </c>
      <c r="C236" s="896" t="s">
        <v>3158</v>
      </c>
      <c r="D236" s="892">
        <v>43.8</v>
      </c>
      <c r="E236" s="892" t="s">
        <v>680</v>
      </c>
      <c r="F236" s="892">
        <v>43.8</v>
      </c>
    </row>
    <row r="237" spans="1:6">
      <c r="A237" s="899">
        <v>0.35</v>
      </c>
      <c r="B237" s="892" t="s">
        <v>916</v>
      </c>
      <c r="C237" s="896" t="s">
        <v>3177</v>
      </c>
      <c r="D237" s="892">
        <v>209.27</v>
      </c>
      <c r="E237" s="892" t="s">
        <v>916</v>
      </c>
      <c r="F237" s="892"/>
    </row>
    <row r="238" spans="1:6">
      <c r="A238" s="892"/>
      <c r="B238" s="892"/>
      <c r="C238" s="896" t="s">
        <v>3180</v>
      </c>
      <c r="D238" s="892"/>
      <c r="E238" s="892"/>
      <c r="F238" s="892">
        <v>4898.58</v>
      </c>
    </row>
    <row r="239" spans="1:6">
      <c r="A239" s="892"/>
      <c r="B239" s="892"/>
      <c r="C239" s="896" t="s">
        <v>2662</v>
      </c>
      <c r="D239" s="892"/>
      <c r="E239" s="892"/>
      <c r="F239" s="892">
        <v>3023.81</v>
      </c>
    </row>
    <row r="241" spans="1:6" ht="30">
      <c r="A241" s="898">
        <v>23.3</v>
      </c>
      <c r="B241" s="892"/>
      <c r="C241" s="896" t="s">
        <v>1920</v>
      </c>
      <c r="D241" s="892" t="s">
        <v>791</v>
      </c>
      <c r="E241" s="892"/>
      <c r="F241" s="892">
        <v>52</v>
      </c>
    </row>
    <row r="242" spans="1:6">
      <c r="A242" s="892"/>
      <c r="B242" s="892"/>
      <c r="C242" s="896"/>
      <c r="D242" s="892"/>
      <c r="E242" s="892"/>
      <c r="F242" s="892"/>
    </row>
    <row r="243" spans="1:6">
      <c r="A243" s="892"/>
      <c r="B243" s="892"/>
      <c r="C243" s="896"/>
      <c r="D243" s="892"/>
      <c r="E243" s="892"/>
      <c r="F243" s="892"/>
    </row>
    <row r="244" spans="1:6">
      <c r="A244" s="892" t="s">
        <v>1921</v>
      </c>
      <c r="B244" s="892" t="s">
        <v>307</v>
      </c>
      <c r="C244" s="896" t="s">
        <v>3412</v>
      </c>
      <c r="D244" s="892"/>
      <c r="E244" s="892"/>
      <c r="F244" s="892"/>
    </row>
    <row r="245" spans="1:6">
      <c r="A245" s="892"/>
      <c r="B245" s="892"/>
      <c r="C245" s="896" t="s">
        <v>1923</v>
      </c>
      <c r="D245" s="892"/>
      <c r="E245" s="892"/>
      <c r="F245" s="892"/>
    </row>
    <row r="246" spans="1:6">
      <c r="A246" s="892"/>
      <c r="B246" s="892"/>
      <c r="C246" s="896" t="s">
        <v>534</v>
      </c>
      <c r="D246" s="892" t="s">
        <v>534</v>
      </c>
      <c r="E246" s="892"/>
      <c r="F246" s="892"/>
    </row>
    <row r="247" spans="1:6">
      <c r="A247" s="901">
        <v>0.53339999999999999</v>
      </c>
      <c r="B247" s="892" t="s">
        <v>250</v>
      </c>
      <c r="C247" s="896" t="s">
        <v>1924</v>
      </c>
      <c r="D247" s="892">
        <v>208.8</v>
      </c>
      <c r="E247" s="892" t="s">
        <v>250</v>
      </c>
      <c r="F247" s="892">
        <v>111.37</v>
      </c>
    </row>
    <row r="248" spans="1:6">
      <c r="A248" s="892">
        <v>4.24</v>
      </c>
      <c r="B248" s="892" t="s">
        <v>41</v>
      </c>
      <c r="C248" s="896" t="s">
        <v>1925</v>
      </c>
      <c r="D248" s="892">
        <v>35.61</v>
      </c>
      <c r="E248" s="892" t="s">
        <v>41</v>
      </c>
      <c r="F248" s="892">
        <v>150.99</v>
      </c>
    </row>
    <row r="249" spans="1:6">
      <c r="A249" s="892">
        <v>16</v>
      </c>
      <c r="B249" s="892" t="s">
        <v>1261</v>
      </c>
      <c r="C249" s="896" t="s">
        <v>1926</v>
      </c>
      <c r="D249" s="892">
        <v>1</v>
      </c>
      <c r="E249" s="892" t="s">
        <v>332</v>
      </c>
      <c r="F249" s="892">
        <v>16</v>
      </c>
    </row>
    <row r="250" spans="1:6">
      <c r="A250" s="901">
        <v>0.53339999999999999</v>
      </c>
      <c r="B250" s="892" t="s">
        <v>250</v>
      </c>
      <c r="C250" s="896" t="s">
        <v>1927</v>
      </c>
      <c r="D250" s="892">
        <v>182.82</v>
      </c>
      <c r="E250" s="892" t="s">
        <v>250</v>
      </c>
      <c r="F250" s="892">
        <v>97.52</v>
      </c>
    </row>
    <row r="251" spans="1:6">
      <c r="A251" s="892"/>
      <c r="B251" s="892" t="s">
        <v>589</v>
      </c>
      <c r="C251" s="896" t="s">
        <v>1699</v>
      </c>
      <c r="D251" s="892"/>
      <c r="E251" s="892" t="s">
        <v>589</v>
      </c>
      <c r="F251" s="892"/>
    </row>
    <row r="252" spans="1:6">
      <c r="A252" s="892"/>
      <c r="B252" s="892"/>
      <c r="C252" s="896" t="s">
        <v>1928</v>
      </c>
      <c r="D252" s="892"/>
      <c r="E252" s="892"/>
      <c r="F252" s="892"/>
    </row>
    <row r="253" spans="1:6">
      <c r="A253" s="892"/>
      <c r="B253" s="892"/>
      <c r="C253" s="896"/>
      <c r="D253" s="892"/>
      <c r="E253" s="892"/>
      <c r="F253" s="892" t="s">
        <v>534</v>
      </c>
    </row>
    <row r="254" spans="1:6">
      <c r="A254" s="892"/>
      <c r="B254" s="892"/>
      <c r="C254" s="896" t="s">
        <v>1929</v>
      </c>
      <c r="D254" s="892"/>
      <c r="E254" s="892"/>
      <c r="F254" s="892">
        <v>375.88</v>
      </c>
    </row>
    <row r="255" spans="1:6">
      <c r="A255" s="892"/>
      <c r="B255" s="892"/>
      <c r="C255" s="896"/>
      <c r="D255" s="892"/>
      <c r="E255" s="892"/>
      <c r="F255" s="892" t="s">
        <v>534</v>
      </c>
    </row>
    <row r="256" spans="1:6">
      <c r="A256" s="892"/>
      <c r="B256" s="892"/>
      <c r="C256" s="896" t="s">
        <v>1930</v>
      </c>
      <c r="D256" s="892"/>
      <c r="E256" s="892"/>
      <c r="F256" s="892">
        <v>704.8</v>
      </c>
    </row>
    <row r="257" spans="1:6">
      <c r="A257" s="892" t="s">
        <v>22</v>
      </c>
      <c r="B257" s="892"/>
      <c r="C257" s="896"/>
      <c r="D257" s="892"/>
      <c r="E257" s="892"/>
      <c r="F257" s="892" t="s">
        <v>528</v>
      </c>
    </row>
    <row r="258" spans="1:6">
      <c r="A258" s="892" t="s">
        <v>694</v>
      </c>
      <c r="B258" s="892" t="s">
        <v>307</v>
      </c>
      <c r="C258" s="896" t="s">
        <v>1933</v>
      </c>
      <c r="D258" s="892"/>
      <c r="E258" s="892"/>
      <c r="F258" s="892"/>
    </row>
    <row r="259" spans="1:6">
      <c r="A259" s="892"/>
      <c r="B259" s="892"/>
      <c r="C259" s="896" t="s">
        <v>1936</v>
      </c>
      <c r="D259" s="892"/>
      <c r="E259" s="892"/>
      <c r="F259" s="892"/>
    </row>
    <row r="260" spans="1:6">
      <c r="A260" s="892"/>
      <c r="B260" s="892"/>
      <c r="C260" s="896" t="s">
        <v>534</v>
      </c>
      <c r="D260" s="892"/>
      <c r="E260" s="892"/>
      <c r="F260" s="892"/>
    </row>
    <row r="261" spans="1:6">
      <c r="A261" s="892">
        <v>1</v>
      </c>
      <c r="B261" s="892" t="s">
        <v>420</v>
      </c>
      <c r="C261" s="896" t="s">
        <v>1937</v>
      </c>
      <c r="D261" s="892">
        <v>60.9</v>
      </c>
      <c r="E261" s="892" t="s">
        <v>420</v>
      </c>
      <c r="F261" s="892">
        <v>60.9</v>
      </c>
    </row>
    <row r="262" spans="1:6">
      <c r="A262" s="892"/>
      <c r="B262" s="892"/>
      <c r="C262" s="896"/>
      <c r="D262" s="892"/>
      <c r="E262" s="892"/>
      <c r="F262" s="892" t="s">
        <v>528</v>
      </c>
    </row>
    <row r="263" spans="1:6" ht="30">
      <c r="A263" s="892">
        <v>39</v>
      </c>
      <c r="B263" s="892"/>
      <c r="C263" s="896" t="s">
        <v>1939</v>
      </c>
      <c r="D263" s="892">
        <v>54.5</v>
      </c>
      <c r="E263" s="892" t="s">
        <v>420</v>
      </c>
      <c r="F263" s="892">
        <v>54.5</v>
      </c>
    </row>
    <row r="264" spans="1:6">
      <c r="A264" s="892" t="s">
        <v>698</v>
      </c>
      <c r="B264" s="892" t="s">
        <v>307</v>
      </c>
      <c r="C264" s="896" t="s">
        <v>1940</v>
      </c>
      <c r="D264" s="892" t="s">
        <v>22</v>
      </c>
      <c r="E264" s="892" t="s">
        <v>1549</v>
      </c>
      <c r="F264" s="892">
        <v>9.6</v>
      </c>
    </row>
    <row r="265" spans="1:6">
      <c r="A265" s="892"/>
      <c r="B265" s="892"/>
      <c r="C265" s="896" t="s">
        <v>1941</v>
      </c>
      <c r="D265" s="892"/>
      <c r="E265" s="892"/>
      <c r="F265" s="892" t="s">
        <v>528</v>
      </c>
    </row>
    <row r="266" spans="1:6">
      <c r="A266" s="892"/>
      <c r="B266" s="892"/>
      <c r="C266" s="896"/>
      <c r="D266" s="892"/>
      <c r="E266" s="892"/>
      <c r="F266" s="892"/>
    </row>
    <row r="267" spans="1:6">
      <c r="A267" s="892" t="s">
        <v>711</v>
      </c>
      <c r="B267" s="892" t="s">
        <v>307</v>
      </c>
      <c r="C267" s="896" t="s">
        <v>1942</v>
      </c>
      <c r="D267" s="892"/>
      <c r="E267" s="892"/>
      <c r="F267" s="892"/>
    </row>
    <row r="268" spans="1:6">
      <c r="A268" s="892"/>
      <c r="B268" s="892"/>
      <c r="C268" s="896" t="s">
        <v>1943</v>
      </c>
      <c r="D268" s="892"/>
      <c r="E268" s="892"/>
      <c r="F268" s="892"/>
    </row>
    <row r="269" spans="1:6">
      <c r="A269" s="892"/>
      <c r="B269" s="892"/>
      <c r="C269" s="896" t="s">
        <v>534</v>
      </c>
      <c r="D269" s="892"/>
      <c r="E269" s="892"/>
      <c r="F269" s="892"/>
    </row>
    <row r="270" spans="1:6">
      <c r="A270" s="892">
        <v>0.22</v>
      </c>
      <c r="B270" s="892" t="s">
        <v>577</v>
      </c>
      <c r="C270" s="896" t="s">
        <v>702</v>
      </c>
      <c r="D270" s="892">
        <v>3703.4</v>
      </c>
      <c r="E270" s="892" t="s">
        <v>577</v>
      </c>
      <c r="F270" s="892">
        <v>814.75</v>
      </c>
    </row>
    <row r="271" spans="1:6">
      <c r="A271" s="892">
        <v>2.2000000000000002</v>
      </c>
      <c r="B271" s="892" t="s">
        <v>680</v>
      </c>
      <c r="C271" s="896" t="s">
        <v>778</v>
      </c>
      <c r="D271" s="892">
        <v>845.9</v>
      </c>
      <c r="E271" s="892" t="s">
        <v>680</v>
      </c>
      <c r="F271" s="892">
        <v>1860.98</v>
      </c>
    </row>
    <row r="272" spans="1:6">
      <c r="A272" s="892">
        <v>0.5</v>
      </c>
      <c r="B272" s="892" t="s">
        <v>680</v>
      </c>
      <c r="C272" s="896" t="s">
        <v>1944</v>
      </c>
      <c r="D272" s="892">
        <v>552.20000000000005</v>
      </c>
      <c r="E272" s="892" t="s">
        <v>680</v>
      </c>
      <c r="F272" s="892">
        <v>276.10000000000002</v>
      </c>
    </row>
    <row r="273" spans="1:6">
      <c r="A273" s="892">
        <v>3.2</v>
      </c>
      <c r="B273" s="892" t="s">
        <v>680</v>
      </c>
      <c r="C273" s="896" t="s">
        <v>756</v>
      </c>
      <c r="D273" s="892">
        <v>453.2</v>
      </c>
      <c r="E273" s="892" t="s">
        <v>680</v>
      </c>
      <c r="F273" s="892">
        <v>1450.24</v>
      </c>
    </row>
    <row r="274" spans="1:6">
      <c r="A274" s="892"/>
      <c r="B274" s="892"/>
      <c r="C274" s="896"/>
      <c r="D274" s="892"/>
      <c r="E274" s="892"/>
      <c r="F274" s="892"/>
    </row>
    <row r="275" spans="1:6">
      <c r="A275" s="892"/>
      <c r="B275" s="892"/>
      <c r="C275" s="896"/>
      <c r="D275" s="892"/>
      <c r="E275" s="892"/>
      <c r="F275" s="892"/>
    </row>
    <row r="276" spans="1:6">
      <c r="A276" s="892"/>
      <c r="B276" s="892"/>
      <c r="C276" s="896"/>
      <c r="D276" s="892"/>
      <c r="E276" s="892"/>
      <c r="F276" s="892"/>
    </row>
    <row r="277" spans="1:6">
      <c r="A277" s="892"/>
      <c r="B277" s="892"/>
      <c r="C277" s="896"/>
      <c r="D277" s="892"/>
      <c r="E277" s="892"/>
      <c r="F277" s="892"/>
    </row>
    <row r="278" spans="1:6">
      <c r="A278" s="892"/>
      <c r="B278" s="892"/>
      <c r="C278" s="896"/>
      <c r="D278" s="892"/>
      <c r="E278" s="892"/>
      <c r="F278" s="892"/>
    </row>
    <row r="279" spans="1:6">
      <c r="A279" s="892"/>
      <c r="B279" s="892" t="s">
        <v>589</v>
      </c>
      <c r="C279" s="896" t="s">
        <v>1945</v>
      </c>
      <c r="D279" s="892" t="s">
        <v>22</v>
      </c>
      <c r="E279" s="892" t="s">
        <v>589</v>
      </c>
      <c r="F279" s="892">
        <v>5</v>
      </c>
    </row>
    <row r="280" spans="1:6">
      <c r="A280" s="892"/>
      <c r="B280" s="892"/>
      <c r="C280" s="896"/>
      <c r="D280" s="892"/>
      <c r="E280" s="892"/>
      <c r="F280" s="892" t="s">
        <v>534</v>
      </c>
    </row>
    <row r="281" spans="1:6">
      <c r="A281" s="892"/>
      <c r="B281" s="892"/>
      <c r="C281" s="896" t="s">
        <v>879</v>
      </c>
      <c r="D281" s="892"/>
      <c r="E281" s="892"/>
      <c r="F281" s="892">
        <v>4407.07</v>
      </c>
    </row>
    <row r="282" spans="1:6">
      <c r="A282" s="892" t="s">
        <v>22</v>
      </c>
      <c r="B282" s="892"/>
      <c r="C282" s="896"/>
      <c r="D282" s="892"/>
      <c r="E282" s="892"/>
      <c r="F282" s="892" t="s">
        <v>534</v>
      </c>
    </row>
    <row r="283" spans="1:6">
      <c r="A283" s="892"/>
      <c r="B283" s="892"/>
      <c r="C283" s="896" t="s">
        <v>881</v>
      </c>
      <c r="D283" s="892"/>
      <c r="E283" s="892"/>
      <c r="F283" s="892">
        <v>440.71</v>
      </c>
    </row>
    <row r="284" spans="1:6">
      <c r="A284" s="892"/>
      <c r="B284" s="892"/>
      <c r="C284" s="896"/>
      <c r="D284" s="892"/>
      <c r="E284" s="892"/>
      <c r="F284" s="892" t="s">
        <v>528</v>
      </c>
    </row>
    <row r="285" spans="1:6">
      <c r="A285" s="892" t="s">
        <v>886</v>
      </c>
      <c r="B285" s="892" t="s">
        <v>307</v>
      </c>
      <c r="C285" s="896" t="s">
        <v>907</v>
      </c>
      <c r="D285" s="892"/>
      <c r="E285" s="892"/>
      <c r="F285" s="892"/>
    </row>
    <row r="286" spans="1:6">
      <c r="A286" s="892"/>
      <c r="B286" s="892"/>
      <c r="C286" s="896" t="s">
        <v>889</v>
      </c>
      <c r="D286" s="892"/>
      <c r="E286" s="892"/>
      <c r="F286" s="892"/>
    </row>
    <row r="287" spans="1:6">
      <c r="A287" s="892"/>
      <c r="B287" s="892"/>
      <c r="C287" s="896" t="s">
        <v>534</v>
      </c>
      <c r="D287" s="892"/>
      <c r="E287" s="892"/>
      <c r="F287" s="892"/>
    </row>
    <row r="288" spans="1:6">
      <c r="A288" s="892">
        <v>9</v>
      </c>
      <c r="B288" s="892" t="s">
        <v>577</v>
      </c>
      <c r="C288" s="896" t="s">
        <v>890</v>
      </c>
      <c r="D288" s="892">
        <v>1143.5999999999999</v>
      </c>
      <c r="E288" s="892" t="s">
        <v>577</v>
      </c>
      <c r="F288" s="892">
        <v>10292.4</v>
      </c>
    </row>
    <row r="289" spans="1:6">
      <c r="A289" s="892">
        <v>4.5</v>
      </c>
      <c r="B289" s="892" t="s">
        <v>577</v>
      </c>
      <c r="C289" s="896" t="s">
        <v>729</v>
      </c>
      <c r="D289" s="892">
        <v>3285.8</v>
      </c>
      <c r="E289" s="892" t="s">
        <v>577</v>
      </c>
      <c r="F289" s="892">
        <v>14786.1</v>
      </c>
    </row>
    <row r="290" spans="1:6">
      <c r="A290" s="892">
        <v>1.8</v>
      </c>
      <c r="B290" s="892" t="s">
        <v>576</v>
      </c>
      <c r="C290" s="896" t="s">
        <v>752</v>
      </c>
      <c r="D290" s="892">
        <v>789.8</v>
      </c>
      <c r="E290" s="892" t="s">
        <v>576</v>
      </c>
      <c r="F290" s="892">
        <v>1421.64</v>
      </c>
    </row>
    <row r="291" spans="1:6">
      <c r="A291" s="892">
        <v>17.7</v>
      </c>
      <c r="B291" s="892" t="s">
        <v>576</v>
      </c>
      <c r="C291" s="896" t="s">
        <v>754</v>
      </c>
      <c r="D291" s="892">
        <v>552.20000000000005</v>
      </c>
      <c r="E291" s="892" t="s">
        <v>576</v>
      </c>
      <c r="F291" s="892">
        <v>9773.94</v>
      </c>
    </row>
    <row r="292" spans="1:6">
      <c r="A292" s="892">
        <v>14.1</v>
      </c>
      <c r="B292" s="892" t="s">
        <v>576</v>
      </c>
      <c r="C292" s="896" t="s">
        <v>756</v>
      </c>
      <c r="D292" s="892">
        <v>453.2</v>
      </c>
      <c r="E292" s="892" t="s">
        <v>576</v>
      </c>
      <c r="F292" s="892">
        <v>6390.12</v>
      </c>
    </row>
    <row r="293" spans="1:6">
      <c r="A293" s="892"/>
      <c r="B293" s="892" t="s">
        <v>589</v>
      </c>
      <c r="C293" s="896" t="s">
        <v>590</v>
      </c>
      <c r="D293" s="892"/>
      <c r="E293" s="892" t="s">
        <v>589</v>
      </c>
      <c r="F293" s="892">
        <v>0</v>
      </c>
    </row>
    <row r="294" spans="1:6">
      <c r="A294" s="892"/>
      <c r="B294" s="892"/>
      <c r="C294" s="896"/>
      <c r="D294" s="892"/>
      <c r="E294" s="892"/>
      <c r="F294" s="892" t="s">
        <v>534</v>
      </c>
    </row>
    <row r="295" spans="1:6">
      <c r="A295" s="892"/>
      <c r="B295" s="892"/>
      <c r="C295" s="896"/>
      <c r="D295" s="892"/>
      <c r="E295" s="892"/>
      <c r="F295" s="892">
        <v>42664.2</v>
      </c>
    </row>
    <row r="296" spans="1:6">
      <c r="A296" s="892"/>
      <c r="B296" s="892"/>
      <c r="C296" s="896" t="s">
        <v>760</v>
      </c>
      <c r="D296" s="892"/>
      <c r="E296" s="892"/>
      <c r="F296" s="892" t="s">
        <v>534</v>
      </c>
    </row>
    <row r="297" spans="1:6">
      <c r="A297" s="892"/>
      <c r="B297" s="892"/>
      <c r="C297" s="896"/>
      <c r="D297" s="892"/>
      <c r="E297" s="892"/>
      <c r="F297" s="892">
        <v>4266.42</v>
      </c>
    </row>
    <row r="298" spans="1:6">
      <c r="A298" s="892"/>
      <c r="B298" s="892"/>
      <c r="C298" s="896" t="s">
        <v>685</v>
      </c>
      <c r="D298" s="892"/>
      <c r="E298" s="892"/>
      <c r="F298" s="892" t="s">
        <v>528</v>
      </c>
    </row>
    <row r="300" spans="1:6" ht="30">
      <c r="A300" s="898">
        <v>29.5</v>
      </c>
      <c r="B300" s="892" t="s">
        <v>307</v>
      </c>
      <c r="C300" s="896" t="s">
        <v>1975</v>
      </c>
      <c r="D300" s="892"/>
      <c r="E300" s="892"/>
      <c r="F300" s="892"/>
    </row>
    <row r="301" spans="1:6">
      <c r="A301" s="892"/>
      <c r="B301" s="892"/>
      <c r="C301" s="896" t="s">
        <v>1976</v>
      </c>
      <c r="D301" s="892"/>
      <c r="E301" s="892"/>
      <c r="F301" s="892"/>
    </row>
    <row r="302" spans="1:6">
      <c r="A302" s="892"/>
      <c r="B302" s="892"/>
      <c r="C302" s="896" t="s">
        <v>1977</v>
      </c>
      <c r="D302" s="892"/>
      <c r="E302" s="892"/>
      <c r="F302" s="892"/>
    </row>
    <row r="303" spans="1:6">
      <c r="A303" s="892"/>
      <c r="B303" s="892"/>
      <c r="C303" s="896" t="s">
        <v>534</v>
      </c>
      <c r="D303" s="892" t="s">
        <v>534</v>
      </c>
      <c r="E303" s="892"/>
      <c r="F303" s="892"/>
    </row>
    <row r="304" spans="1:6">
      <c r="A304" s="892">
        <v>10</v>
      </c>
      <c r="B304" s="892" t="s">
        <v>916</v>
      </c>
      <c r="C304" s="896" t="s">
        <v>1978</v>
      </c>
      <c r="D304" s="892">
        <v>346.14</v>
      </c>
      <c r="E304" s="892" t="s">
        <v>916</v>
      </c>
      <c r="F304" s="892">
        <v>3461.4</v>
      </c>
    </row>
    <row r="305" spans="1:6">
      <c r="A305" s="892">
        <v>0.21</v>
      </c>
      <c r="B305" s="892" t="s">
        <v>577</v>
      </c>
      <c r="C305" s="896" t="s">
        <v>1951</v>
      </c>
      <c r="D305" s="892">
        <v>4399.3999999999996</v>
      </c>
      <c r="E305" s="892" t="s">
        <v>577</v>
      </c>
      <c r="F305" s="892">
        <v>923.87</v>
      </c>
    </row>
    <row r="306" spans="1:6">
      <c r="A306" s="892"/>
      <c r="B306" s="892"/>
      <c r="C306" s="896" t="s">
        <v>1955</v>
      </c>
      <c r="D306" s="892" t="s">
        <v>22</v>
      </c>
      <c r="E306" s="892"/>
      <c r="F306" s="892" t="s">
        <v>22</v>
      </c>
    </row>
    <row r="307" spans="1:6">
      <c r="A307" s="892">
        <v>1.1000000000000001</v>
      </c>
      <c r="B307" s="892" t="s">
        <v>680</v>
      </c>
      <c r="C307" s="896" t="s">
        <v>778</v>
      </c>
      <c r="D307" s="892">
        <v>845.9</v>
      </c>
      <c r="E307" s="892" t="s">
        <v>680</v>
      </c>
      <c r="F307" s="892">
        <v>930.49</v>
      </c>
    </row>
    <row r="308" spans="1:6">
      <c r="A308" s="892">
        <v>1.1000000000000001</v>
      </c>
      <c r="B308" s="892" t="s">
        <v>680</v>
      </c>
      <c r="C308" s="896" t="s">
        <v>752</v>
      </c>
      <c r="D308" s="892">
        <v>789.8</v>
      </c>
      <c r="E308" s="892" t="s">
        <v>680</v>
      </c>
      <c r="F308" s="892">
        <v>868.78</v>
      </c>
    </row>
    <row r="309" spans="1:6">
      <c r="A309" s="892">
        <v>2.2000000000000002</v>
      </c>
      <c r="B309" s="892" t="s">
        <v>680</v>
      </c>
      <c r="C309" s="896" t="s">
        <v>754</v>
      </c>
      <c r="D309" s="892">
        <v>552.20000000000005</v>
      </c>
      <c r="E309" s="892" t="s">
        <v>680</v>
      </c>
      <c r="F309" s="892">
        <v>1214.8399999999999</v>
      </c>
    </row>
    <row r="310" spans="1:6">
      <c r="A310" s="892">
        <v>2.2000000000000002</v>
      </c>
      <c r="B310" s="892" t="s">
        <v>680</v>
      </c>
      <c r="C310" s="896" t="s">
        <v>756</v>
      </c>
      <c r="D310" s="892">
        <v>453.2</v>
      </c>
      <c r="E310" s="892" t="s">
        <v>680</v>
      </c>
      <c r="F310" s="892">
        <v>997.04</v>
      </c>
    </row>
    <row r="311" spans="1:6">
      <c r="A311" s="899">
        <v>20</v>
      </c>
      <c r="B311" s="892" t="s">
        <v>420</v>
      </c>
      <c r="C311" s="896" t="s">
        <v>568</v>
      </c>
      <c r="D311" s="892">
        <v>5800</v>
      </c>
      <c r="E311" s="892" t="s">
        <v>567</v>
      </c>
      <c r="F311" s="892">
        <v>116</v>
      </c>
    </row>
    <row r="312" spans="1:6">
      <c r="A312" s="899">
        <v>2</v>
      </c>
      <c r="B312" s="892" t="s">
        <v>420</v>
      </c>
      <c r="C312" s="896" t="s">
        <v>1981</v>
      </c>
      <c r="D312" s="892">
        <v>36.1</v>
      </c>
      <c r="E312" s="892" t="s">
        <v>420</v>
      </c>
      <c r="F312" s="892">
        <v>72.2</v>
      </c>
    </row>
    <row r="313" spans="1:6">
      <c r="A313" s="892">
        <v>1.6</v>
      </c>
      <c r="B313" s="892" t="s">
        <v>680</v>
      </c>
      <c r="C313" s="896" t="s">
        <v>752</v>
      </c>
      <c r="D313" s="892">
        <v>789.8</v>
      </c>
      <c r="E313" s="892" t="s">
        <v>680</v>
      </c>
      <c r="F313" s="892">
        <v>1263.68</v>
      </c>
    </row>
    <row r="314" spans="1:6">
      <c r="A314" s="892">
        <v>0.5</v>
      </c>
      <c r="B314" s="892" t="s">
        <v>680</v>
      </c>
      <c r="C314" s="896" t="s">
        <v>754</v>
      </c>
      <c r="D314" s="892">
        <v>552.20000000000005</v>
      </c>
      <c r="E314" s="892" t="s">
        <v>680</v>
      </c>
      <c r="F314" s="892">
        <v>276.10000000000002</v>
      </c>
    </row>
    <row r="315" spans="1:6">
      <c r="A315" s="892">
        <v>1.1000000000000001</v>
      </c>
      <c r="B315" s="892" t="s">
        <v>680</v>
      </c>
      <c r="C315" s="896" t="s">
        <v>756</v>
      </c>
      <c r="D315" s="892">
        <v>453.2</v>
      </c>
      <c r="E315" s="892" t="s">
        <v>680</v>
      </c>
      <c r="F315" s="892">
        <v>498.52</v>
      </c>
    </row>
    <row r="316" spans="1:6">
      <c r="A316" s="892"/>
      <c r="B316" s="892" t="s">
        <v>589</v>
      </c>
      <c r="C316" s="896" t="s">
        <v>590</v>
      </c>
      <c r="D316" s="892"/>
      <c r="E316" s="892" t="s">
        <v>589</v>
      </c>
      <c r="F316" s="892">
        <v>0</v>
      </c>
    </row>
    <row r="317" spans="1:6">
      <c r="A317" s="892"/>
      <c r="B317" s="892"/>
      <c r="C317" s="896"/>
      <c r="D317" s="892"/>
      <c r="E317" s="892"/>
      <c r="F317" s="892" t="s">
        <v>534</v>
      </c>
    </row>
    <row r="318" spans="1:6">
      <c r="A318" s="892"/>
      <c r="B318" s="892"/>
      <c r="C318" s="896" t="s">
        <v>879</v>
      </c>
      <c r="D318" s="892"/>
      <c r="E318" s="892"/>
      <c r="F318" s="892">
        <v>10622.92</v>
      </c>
    </row>
    <row r="319" spans="1:6">
      <c r="A319" s="892"/>
      <c r="B319" s="892"/>
      <c r="C319" s="896"/>
      <c r="D319" s="892"/>
      <c r="E319" s="892"/>
      <c r="F319" s="892" t="s">
        <v>534</v>
      </c>
    </row>
    <row r="320" spans="1:6">
      <c r="A320" s="892"/>
      <c r="B320" s="892"/>
      <c r="C320" s="896" t="s">
        <v>881</v>
      </c>
      <c r="D320" s="892"/>
      <c r="E320" s="892"/>
      <c r="F320" s="892">
        <v>1062.29</v>
      </c>
    </row>
    <row r="321" spans="1:6">
      <c r="A321" s="892"/>
      <c r="B321" s="892"/>
      <c r="C321" s="896"/>
      <c r="D321" s="892"/>
      <c r="E321" s="892"/>
      <c r="F321" s="892" t="s">
        <v>528</v>
      </c>
    </row>
    <row r="322" spans="1:6">
      <c r="A322" s="898">
        <v>29.4</v>
      </c>
      <c r="B322" s="892" t="s">
        <v>307</v>
      </c>
      <c r="C322" s="896" t="s">
        <v>1988</v>
      </c>
      <c r="D322" s="892"/>
      <c r="E322" s="892"/>
      <c r="F322" s="892"/>
    </row>
    <row r="323" spans="1:6">
      <c r="A323" s="892"/>
      <c r="B323" s="892"/>
      <c r="C323" s="896" t="s">
        <v>1990</v>
      </c>
      <c r="D323" s="892"/>
      <c r="E323" s="892"/>
      <c r="F323" s="892"/>
    </row>
    <row r="324" spans="1:6">
      <c r="A324" s="892"/>
      <c r="B324" s="892"/>
      <c r="C324" s="896" t="s">
        <v>534</v>
      </c>
      <c r="D324" s="892"/>
      <c r="E324" s="892"/>
      <c r="F324" s="892"/>
    </row>
    <row r="325" spans="1:6">
      <c r="A325" s="892">
        <v>1.86</v>
      </c>
      <c r="B325" s="892" t="s">
        <v>916</v>
      </c>
      <c r="C325" s="896" t="s">
        <v>1991</v>
      </c>
      <c r="D325" s="892">
        <v>385</v>
      </c>
      <c r="E325" s="892" t="s">
        <v>916</v>
      </c>
      <c r="F325" s="892">
        <v>716.1</v>
      </c>
    </row>
    <row r="326" spans="1:6">
      <c r="A326" s="892">
        <v>0.4</v>
      </c>
      <c r="B326" s="892" t="s">
        <v>420</v>
      </c>
      <c r="C326" s="896" t="s">
        <v>1959</v>
      </c>
      <c r="D326" s="892">
        <v>36.1</v>
      </c>
      <c r="E326" s="892" t="s">
        <v>420</v>
      </c>
      <c r="F326" s="892">
        <v>14.44</v>
      </c>
    </row>
    <row r="327" spans="1:6">
      <c r="A327" s="892">
        <v>0.02</v>
      </c>
      <c r="B327" s="892" t="s">
        <v>577</v>
      </c>
      <c r="C327" s="896" t="s">
        <v>1987</v>
      </c>
      <c r="D327" s="892">
        <v>5791.4</v>
      </c>
      <c r="E327" s="892" t="s">
        <v>577</v>
      </c>
      <c r="F327" s="892">
        <v>115.83</v>
      </c>
    </row>
    <row r="328" spans="1:6">
      <c r="A328" s="892">
        <v>1</v>
      </c>
      <c r="B328" s="892" t="s">
        <v>680</v>
      </c>
      <c r="C328" s="896" t="s">
        <v>778</v>
      </c>
      <c r="D328" s="892">
        <v>845.9</v>
      </c>
      <c r="E328" s="892" t="s">
        <v>680</v>
      </c>
      <c r="F328" s="892">
        <v>845.9</v>
      </c>
    </row>
    <row r="329" spans="1:6">
      <c r="A329" s="892">
        <v>1</v>
      </c>
      <c r="B329" s="892" t="s">
        <v>680</v>
      </c>
      <c r="C329" s="896" t="s">
        <v>1989</v>
      </c>
      <c r="D329" s="892">
        <v>552.20000000000005</v>
      </c>
      <c r="E329" s="892" t="s">
        <v>680</v>
      </c>
      <c r="F329" s="892">
        <v>552.20000000000005</v>
      </c>
    </row>
    <row r="330" spans="1:6">
      <c r="A330" s="892"/>
      <c r="B330" s="892" t="s">
        <v>589</v>
      </c>
      <c r="C330" s="896" t="s">
        <v>590</v>
      </c>
      <c r="D330" s="892"/>
      <c r="E330" s="892" t="s">
        <v>589</v>
      </c>
      <c r="F330" s="892"/>
    </row>
    <row r="331" spans="1:6">
      <c r="A331" s="892"/>
      <c r="B331" s="892"/>
      <c r="C331" s="896"/>
      <c r="D331" s="892"/>
      <c r="E331" s="892"/>
      <c r="F331" s="892" t="s">
        <v>534</v>
      </c>
    </row>
    <row r="332" spans="1:6">
      <c r="A332" s="892"/>
      <c r="B332" s="892"/>
      <c r="C332" s="896" t="s">
        <v>1992</v>
      </c>
      <c r="D332" s="892"/>
      <c r="E332" s="892"/>
      <c r="F332" s="892">
        <v>2244.4699999999998</v>
      </c>
    </row>
    <row r="333" spans="1:6">
      <c r="A333" s="892"/>
      <c r="B333" s="892"/>
      <c r="C333" s="896"/>
      <c r="D333" s="892"/>
      <c r="E333" s="892"/>
      <c r="F333" s="892" t="s">
        <v>534</v>
      </c>
    </row>
    <row r="334" spans="1:6">
      <c r="A334" s="892" t="s">
        <v>719</v>
      </c>
      <c r="B334" s="892" t="s">
        <v>307</v>
      </c>
      <c r="C334" s="896" t="s">
        <v>1942</v>
      </c>
      <c r="D334" s="892"/>
      <c r="E334" s="892"/>
      <c r="F334" s="892"/>
    </row>
    <row r="335" spans="1:6">
      <c r="A335" s="892"/>
      <c r="B335" s="892"/>
      <c r="C335" s="896" t="s">
        <v>2002</v>
      </c>
      <c r="D335" s="892"/>
      <c r="E335" s="892"/>
      <c r="F335" s="892"/>
    </row>
    <row r="336" spans="1:6">
      <c r="A336" s="892"/>
      <c r="B336" s="892"/>
      <c r="C336" s="896" t="s">
        <v>2003</v>
      </c>
      <c r="D336" s="892"/>
      <c r="E336" s="892"/>
      <c r="F336" s="892"/>
    </row>
    <row r="337" spans="1:6">
      <c r="A337" s="892"/>
      <c r="B337" s="892"/>
      <c r="C337" s="896" t="s">
        <v>3403</v>
      </c>
      <c r="D337" s="892"/>
      <c r="E337" s="892"/>
      <c r="F337" s="892"/>
    </row>
    <row r="338" spans="1:6">
      <c r="A338" s="892"/>
      <c r="B338" s="892"/>
      <c r="C338" s="896" t="s">
        <v>534</v>
      </c>
      <c r="D338" s="892"/>
      <c r="E338" s="892"/>
      <c r="F338" s="892"/>
    </row>
    <row r="339" spans="1:6">
      <c r="A339" s="892">
        <v>0.24</v>
      </c>
      <c r="B339" s="892" t="s">
        <v>577</v>
      </c>
      <c r="C339" s="896" t="s">
        <v>2009</v>
      </c>
      <c r="D339" s="892">
        <v>866.27</v>
      </c>
      <c r="E339" s="892" t="s">
        <v>577</v>
      </c>
      <c r="F339" s="892">
        <v>207.9</v>
      </c>
    </row>
    <row r="340" spans="1:6">
      <c r="A340" s="899">
        <v>0.11700000000000001</v>
      </c>
      <c r="B340" s="892" t="s">
        <v>567</v>
      </c>
      <c r="C340" s="896" t="s">
        <v>568</v>
      </c>
      <c r="D340" s="892">
        <v>5800</v>
      </c>
      <c r="E340" s="892" t="s">
        <v>567</v>
      </c>
      <c r="F340" s="892">
        <v>678.6</v>
      </c>
    </row>
    <row r="341" spans="1:6">
      <c r="A341" s="892">
        <v>0.5</v>
      </c>
      <c r="B341" s="892" t="s">
        <v>680</v>
      </c>
      <c r="C341" s="896" t="s">
        <v>778</v>
      </c>
      <c r="D341" s="892">
        <v>845.9</v>
      </c>
      <c r="E341" s="892" t="s">
        <v>680</v>
      </c>
      <c r="F341" s="892">
        <v>422.95</v>
      </c>
    </row>
    <row r="342" spans="1:6">
      <c r="A342" s="892">
        <v>1.1000000000000001</v>
      </c>
      <c r="B342" s="892" t="s">
        <v>680</v>
      </c>
      <c r="C342" s="896" t="s">
        <v>1944</v>
      </c>
      <c r="D342" s="892">
        <v>552.20000000000005</v>
      </c>
      <c r="E342" s="892" t="s">
        <v>680</v>
      </c>
      <c r="F342" s="892">
        <v>607.41999999999996</v>
      </c>
    </row>
    <row r="343" spans="1:6">
      <c r="A343" s="892">
        <v>4.3</v>
      </c>
      <c r="B343" s="892" t="s">
        <v>680</v>
      </c>
      <c r="C343" s="896" t="s">
        <v>756</v>
      </c>
      <c r="D343" s="892">
        <v>453.2</v>
      </c>
      <c r="E343" s="892" t="s">
        <v>680</v>
      </c>
      <c r="F343" s="892">
        <v>1948.76</v>
      </c>
    </row>
    <row r="344" spans="1:6">
      <c r="A344" s="892"/>
      <c r="B344" s="892" t="s">
        <v>589</v>
      </c>
      <c r="C344" s="896" t="s">
        <v>590</v>
      </c>
      <c r="D344" s="892"/>
      <c r="E344" s="892" t="s">
        <v>589</v>
      </c>
      <c r="F344" s="892">
        <v>0</v>
      </c>
    </row>
    <row r="345" spans="1:6">
      <c r="A345" s="892"/>
      <c r="B345" s="892"/>
      <c r="C345" s="896"/>
      <c r="D345" s="892"/>
      <c r="E345" s="892"/>
      <c r="F345" s="892" t="s">
        <v>534</v>
      </c>
    </row>
    <row r="346" spans="1:6">
      <c r="A346" s="892"/>
      <c r="B346" s="892"/>
      <c r="C346" s="896" t="s">
        <v>879</v>
      </c>
      <c r="D346" s="892"/>
      <c r="E346" s="892"/>
      <c r="F346" s="892">
        <v>3865.63</v>
      </c>
    </row>
    <row r="347" spans="1:6">
      <c r="A347" s="892"/>
      <c r="B347" s="892"/>
      <c r="C347" s="896"/>
      <c r="D347" s="892"/>
      <c r="E347" s="892"/>
      <c r="F347" s="892" t="s">
        <v>534</v>
      </c>
    </row>
    <row r="348" spans="1:6">
      <c r="A348" s="892"/>
      <c r="B348" s="892"/>
      <c r="C348" s="896" t="s">
        <v>881</v>
      </c>
      <c r="D348" s="892"/>
      <c r="E348" s="892"/>
      <c r="F348" s="892">
        <v>386.56</v>
      </c>
    </row>
    <row r="350" spans="1:6">
      <c r="A350" s="892" t="s">
        <v>2077</v>
      </c>
      <c r="B350" s="892" t="s">
        <v>307</v>
      </c>
      <c r="C350" s="896" t="s">
        <v>2078</v>
      </c>
      <c r="D350" s="892"/>
      <c r="E350" s="892"/>
      <c r="F350" s="892"/>
    </row>
    <row r="351" spans="1:6">
      <c r="A351" s="892"/>
      <c r="B351" s="892"/>
      <c r="C351" s="896" t="s">
        <v>534</v>
      </c>
      <c r="D351" s="892"/>
      <c r="E351" s="892"/>
      <c r="F351" s="892"/>
    </row>
    <row r="352" spans="1:6">
      <c r="A352" s="892">
        <v>0.14000000000000001</v>
      </c>
      <c r="B352" s="892" t="s">
        <v>577</v>
      </c>
      <c r="C352" s="896" t="s">
        <v>729</v>
      </c>
      <c r="D352" s="892">
        <v>3285.8</v>
      </c>
      <c r="E352" s="892" t="s">
        <v>577</v>
      </c>
      <c r="F352" s="892">
        <v>460.01</v>
      </c>
    </row>
    <row r="353" spans="1:6">
      <c r="A353" s="892">
        <v>1.1000000000000001</v>
      </c>
      <c r="B353" s="892" t="s">
        <v>576</v>
      </c>
      <c r="C353" s="896" t="s">
        <v>778</v>
      </c>
      <c r="D353" s="892">
        <v>845.9</v>
      </c>
      <c r="E353" s="892" t="s">
        <v>576</v>
      </c>
      <c r="F353" s="892">
        <v>930.49</v>
      </c>
    </row>
    <row r="354" spans="1:6">
      <c r="A354" s="892">
        <v>0.5</v>
      </c>
      <c r="B354" s="892" t="s">
        <v>576</v>
      </c>
      <c r="C354" s="896" t="s">
        <v>754</v>
      </c>
      <c r="D354" s="892">
        <v>552.20000000000005</v>
      </c>
      <c r="E354" s="892" t="s">
        <v>576</v>
      </c>
      <c r="F354" s="892">
        <v>276.10000000000002</v>
      </c>
    </row>
    <row r="355" spans="1:6">
      <c r="A355" s="892">
        <v>1.1000000000000001</v>
      </c>
      <c r="B355" s="892" t="s">
        <v>576</v>
      </c>
      <c r="C355" s="896" t="s">
        <v>756</v>
      </c>
      <c r="D355" s="892">
        <v>453.2</v>
      </c>
      <c r="E355" s="892" t="s">
        <v>576</v>
      </c>
      <c r="F355" s="892">
        <v>498.52</v>
      </c>
    </row>
    <row r="356" spans="1:6">
      <c r="A356" s="892"/>
      <c r="B356" s="892" t="s">
        <v>589</v>
      </c>
      <c r="C356" s="896" t="s">
        <v>1945</v>
      </c>
      <c r="D356" s="892" t="s">
        <v>22</v>
      </c>
      <c r="E356" s="892" t="s">
        <v>589</v>
      </c>
      <c r="F356" s="892">
        <v>5</v>
      </c>
    </row>
    <row r="357" spans="1:6">
      <c r="A357" s="892"/>
      <c r="B357" s="892"/>
      <c r="C357" s="896"/>
      <c r="D357" s="892"/>
      <c r="E357" s="892"/>
      <c r="F357" s="892" t="s">
        <v>534</v>
      </c>
    </row>
    <row r="358" spans="1:6">
      <c r="A358" s="892"/>
      <c r="B358" s="892"/>
      <c r="C358" s="896" t="s">
        <v>879</v>
      </c>
      <c r="D358" s="892"/>
      <c r="E358" s="892"/>
      <c r="F358" s="892">
        <v>2170.12</v>
      </c>
    </row>
    <row r="359" spans="1:6">
      <c r="A359" s="892"/>
      <c r="B359" s="892"/>
      <c r="C359" s="896"/>
      <c r="D359" s="892"/>
      <c r="E359" s="892"/>
      <c r="F359" s="892" t="s">
        <v>534</v>
      </c>
    </row>
    <row r="360" spans="1:6">
      <c r="A360" s="892"/>
      <c r="B360" s="892"/>
      <c r="C360" s="896" t="s">
        <v>881</v>
      </c>
      <c r="D360" s="892"/>
      <c r="E360" s="892"/>
      <c r="F360" s="892">
        <v>217.01</v>
      </c>
    </row>
    <row r="361" spans="1:6">
      <c r="A361" s="892" t="s">
        <v>22</v>
      </c>
      <c r="B361" s="892"/>
      <c r="C361" s="896"/>
      <c r="D361" s="892"/>
      <c r="E361" s="892"/>
      <c r="F361" s="892"/>
    </row>
    <row r="362" spans="1:6">
      <c r="A362" s="892"/>
      <c r="B362" s="892"/>
      <c r="C362" s="896"/>
      <c r="D362" s="892"/>
      <c r="E362" s="892"/>
      <c r="F362" s="892" t="s">
        <v>528</v>
      </c>
    </row>
    <row r="363" spans="1:6">
      <c r="A363" s="892" t="s">
        <v>2087</v>
      </c>
      <c r="B363" s="892" t="s">
        <v>307</v>
      </c>
      <c r="C363" s="896" t="s">
        <v>2088</v>
      </c>
      <c r="D363" s="892"/>
      <c r="E363" s="892"/>
      <c r="F363" s="892"/>
    </row>
    <row r="364" spans="1:6">
      <c r="A364" s="892"/>
      <c r="B364" s="892"/>
      <c r="C364" s="896" t="s">
        <v>534</v>
      </c>
      <c r="D364" s="892"/>
      <c r="E364" s="892"/>
      <c r="F364" s="892"/>
    </row>
    <row r="365" spans="1:6">
      <c r="A365" s="892">
        <v>0.14000000000000001</v>
      </c>
      <c r="B365" s="892" t="s">
        <v>577</v>
      </c>
      <c r="C365" s="896" t="s">
        <v>702</v>
      </c>
      <c r="D365" s="892">
        <v>3703.4</v>
      </c>
      <c r="E365" s="892" t="s">
        <v>577</v>
      </c>
      <c r="F365" s="892">
        <v>518.48</v>
      </c>
    </row>
    <row r="366" spans="1:6">
      <c r="A366" s="892">
        <v>1.1000000000000001</v>
      </c>
      <c r="B366" s="892" t="s">
        <v>576</v>
      </c>
      <c r="C366" s="896" t="s">
        <v>778</v>
      </c>
      <c r="D366" s="892">
        <v>845.9</v>
      </c>
      <c r="E366" s="892" t="s">
        <v>576</v>
      </c>
      <c r="F366" s="892">
        <v>930.49</v>
      </c>
    </row>
    <row r="367" spans="1:6">
      <c r="A367" s="892">
        <v>0.5</v>
      </c>
      <c r="B367" s="892" t="s">
        <v>576</v>
      </c>
      <c r="C367" s="896" t="s">
        <v>754</v>
      </c>
      <c r="D367" s="892">
        <v>552.20000000000005</v>
      </c>
      <c r="E367" s="892" t="s">
        <v>576</v>
      </c>
      <c r="F367" s="892">
        <v>276.10000000000002</v>
      </c>
    </row>
    <row r="368" spans="1:6">
      <c r="A368" s="892">
        <v>1.1000000000000001</v>
      </c>
      <c r="B368" s="892" t="s">
        <v>576</v>
      </c>
      <c r="C368" s="896" t="s">
        <v>756</v>
      </c>
      <c r="D368" s="892">
        <v>453.2</v>
      </c>
      <c r="E368" s="892" t="s">
        <v>576</v>
      </c>
      <c r="F368" s="892">
        <v>498.52</v>
      </c>
    </row>
    <row r="369" spans="1:6">
      <c r="A369" s="892"/>
      <c r="B369" s="892" t="s">
        <v>589</v>
      </c>
      <c r="C369" s="896" t="s">
        <v>1945</v>
      </c>
      <c r="D369" s="892" t="s">
        <v>22</v>
      </c>
      <c r="E369" s="892" t="s">
        <v>589</v>
      </c>
      <c r="F369" s="892">
        <v>5</v>
      </c>
    </row>
    <row r="370" spans="1:6">
      <c r="A370" s="892"/>
      <c r="B370" s="892"/>
      <c r="C370" s="896"/>
      <c r="D370" s="892"/>
      <c r="E370" s="892"/>
      <c r="F370" s="892"/>
    </row>
    <row r="371" spans="1:6">
      <c r="A371" s="892"/>
      <c r="B371" s="892"/>
      <c r="C371" s="896"/>
      <c r="D371" s="892"/>
      <c r="E371" s="892"/>
      <c r="F371" s="892" t="s">
        <v>534</v>
      </c>
    </row>
    <row r="372" spans="1:6">
      <c r="A372" s="892"/>
      <c r="B372" s="892"/>
      <c r="C372" s="896" t="s">
        <v>879</v>
      </c>
      <c r="D372" s="892"/>
      <c r="E372" s="892"/>
      <c r="F372" s="892">
        <v>2228.59</v>
      </c>
    </row>
    <row r="373" spans="1:6">
      <c r="A373" s="892"/>
      <c r="B373" s="892"/>
      <c r="C373" s="896"/>
      <c r="D373" s="892"/>
      <c r="E373" s="892"/>
      <c r="F373" s="892" t="s">
        <v>534</v>
      </c>
    </row>
    <row r="374" spans="1:6">
      <c r="A374" s="892"/>
      <c r="B374" s="892"/>
      <c r="C374" s="896" t="s">
        <v>881</v>
      </c>
      <c r="D374" s="892"/>
      <c r="E374" s="892"/>
      <c r="F374" s="892">
        <v>222.86</v>
      </c>
    </row>
    <row r="375" spans="1:6">
      <c r="A375" s="892"/>
      <c r="B375" s="892"/>
      <c r="C375" s="896"/>
      <c r="D375" s="892"/>
      <c r="E375" s="892"/>
      <c r="F375" s="892" t="s">
        <v>528</v>
      </c>
    </row>
    <row r="376" spans="1:6">
      <c r="A376" s="892" t="s">
        <v>2093</v>
      </c>
      <c r="B376" s="892" t="s">
        <v>307</v>
      </c>
      <c r="C376" s="896" t="s">
        <v>2094</v>
      </c>
      <c r="D376" s="892"/>
      <c r="E376" s="892"/>
      <c r="F376" s="892"/>
    </row>
    <row r="377" spans="1:6">
      <c r="A377" s="892"/>
      <c r="B377" s="892"/>
      <c r="C377" s="896" t="s">
        <v>534</v>
      </c>
      <c r="D377" s="892"/>
      <c r="E377" s="892"/>
      <c r="F377" s="892"/>
    </row>
    <row r="378" spans="1:6">
      <c r="A378" s="892">
        <v>0.1</v>
      </c>
      <c r="B378" s="892" t="s">
        <v>577</v>
      </c>
      <c r="C378" s="896" t="s">
        <v>660</v>
      </c>
      <c r="D378" s="892">
        <v>4399.3999999999996</v>
      </c>
      <c r="E378" s="892" t="s">
        <v>577</v>
      </c>
      <c r="F378" s="892">
        <v>439.94</v>
      </c>
    </row>
    <row r="379" spans="1:6">
      <c r="A379" s="892">
        <v>1.1000000000000001</v>
      </c>
      <c r="B379" s="892" t="s">
        <v>576</v>
      </c>
      <c r="C379" s="896" t="s">
        <v>778</v>
      </c>
      <c r="D379" s="892">
        <v>845.9</v>
      </c>
      <c r="E379" s="892" t="s">
        <v>576</v>
      </c>
      <c r="F379" s="892">
        <v>930.49</v>
      </c>
    </row>
    <row r="380" spans="1:6">
      <c r="A380" s="892">
        <v>1.1000000000000001</v>
      </c>
      <c r="B380" s="892" t="s">
        <v>576</v>
      </c>
      <c r="C380" s="896" t="s">
        <v>754</v>
      </c>
      <c r="D380" s="892">
        <v>552.20000000000005</v>
      </c>
      <c r="E380" s="892" t="s">
        <v>576</v>
      </c>
      <c r="F380" s="892">
        <v>607.41999999999996</v>
      </c>
    </row>
    <row r="381" spans="1:6">
      <c r="A381" s="892">
        <v>1.1000000000000001</v>
      </c>
      <c r="B381" s="892" t="s">
        <v>576</v>
      </c>
      <c r="C381" s="896" t="s">
        <v>756</v>
      </c>
      <c r="D381" s="892">
        <v>453.2</v>
      </c>
      <c r="E381" s="892" t="s">
        <v>576</v>
      </c>
      <c r="F381" s="892">
        <v>498.52</v>
      </c>
    </row>
    <row r="382" spans="1:6">
      <c r="A382" s="892"/>
      <c r="B382" s="892" t="s">
        <v>589</v>
      </c>
      <c r="C382" s="896" t="s">
        <v>1945</v>
      </c>
      <c r="D382" s="892" t="s">
        <v>22</v>
      </c>
      <c r="E382" s="892" t="s">
        <v>589</v>
      </c>
      <c r="F382" s="892">
        <v>5</v>
      </c>
    </row>
    <row r="383" spans="1:6">
      <c r="A383" s="892"/>
      <c r="B383" s="892"/>
      <c r="C383" s="896"/>
      <c r="D383" s="892"/>
      <c r="E383" s="892"/>
      <c r="F383" s="892" t="s">
        <v>534</v>
      </c>
    </row>
    <row r="384" spans="1:6">
      <c r="A384" s="892"/>
      <c r="B384" s="892"/>
      <c r="C384" s="896" t="s">
        <v>879</v>
      </c>
      <c r="D384" s="892"/>
      <c r="E384" s="892"/>
      <c r="F384" s="892">
        <v>2481.37</v>
      </c>
    </row>
    <row r="385" spans="1:6">
      <c r="A385" s="892"/>
      <c r="B385" s="892"/>
      <c r="C385" s="896"/>
      <c r="D385" s="892"/>
      <c r="E385" s="892"/>
      <c r="F385" s="892" t="s">
        <v>534</v>
      </c>
    </row>
    <row r="386" spans="1:6">
      <c r="A386" s="892"/>
      <c r="B386" s="892"/>
      <c r="C386" s="896" t="s">
        <v>881</v>
      </c>
      <c r="D386" s="892"/>
      <c r="E386" s="892"/>
      <c r="F386" s="892">
        <v>248.14</v>
      </c>
    </row>
    <row r="387" spans="1:6">
      <c r="A387" s="892"/>
      <c r="B387" s="892"/>
      <c r="C387" s="896"/>
      <c r="D387" s="892"/>
      <c r="E387" s="892"/>
      <c r="F387" s="892" t="s">
        <v>528</v>
      </c>
    </row>
    <row r="388" spans="1:6">
      <c r="A388" s="892" t="s">
        <v>2108</v>
      </c>
      <c r="B388" s="892" t="s">
        <v>307</v>
      </c>
      <c r="C388" s="896" t="s">
        <v>2109</v>
      </c>
      <c r="D388" s="892"/>
      <c r="E388" s="892"/>
      <c r="F388" s="892"/>
    </row>
    <row r="389" spans="1:6">
      <c r="A389" s="892"/>
      <c r="B389" s="892"/>
      <c r="C389" s="896" t="s">
        <v>2110</v>
      </c>
      <c r="D389" s="892"/>
      <c r="E389" s="892"/>
      <c r="F389" s="892"/>
    </row>
    <row r="390" spans="1:6">
      <c r="A390" s="892"/>
      <c r="B390" s="892"/>
      <c r="C390" s="896" t="s">
        <v>2112</v>
      </c>
      <c r="D390" s="892"/>
      <c r="E390" s="892"/>
      <c r="F390" s="892"/>
    </row>
    <row r="391" spans="1:6">
      <c r="A391" s="892"/>
      <c r="B391" s="892"/>
      <c r="C391" s="896" t="s">
        <v>2113</v>
      </c>
      <c r="D391" s="892"/>
      <c r="E391" s="892"/>
      <c r="F391" s="892"/>
    </row>
    <row r="392" spans="1:6">
      <c r="A392" s="892"/>
      <c r="B392" s="892"/>
      <c r="C392" s="896" t="s">
        <v>534</v>
      </c>
      <c r="D392" s="892" t="s">
        <v>534</v>
      </c>
      <c r="E392" s="892"/>
      <c r="F392" s="892"/>
    </row>
    <row r="393" spans="1:6">
      <c r="A393" s="892"/>
      <c r="B393" s="892" t="s">
        <v>1501</v>
      </c>
      <c r="C393" s="896" t="s">
        <v>2115</v>
      </c>
      <c r="D393" s="892"/>
      <c r="E393" s="892"/>
      <c r="F393" s="892"/>
    </row>
    <row r="394" spans="1:6">
      <c r="A394" s="892"/>
      <c r="B394" s="892" t="s">
        <v>534</v>
      </c>
      <c r="C394" s="896" t="s">
        <v>534</v>
      </c>
      <c r="D394" s="892"/>
      <c r="E394" s="892"/>
      <c r="F394" s="892"/>
    </row>
    <row r="395" spans="1:6">
      <c r="A395" s="901">
        <v>1.4E-2</v>
      </c>
      <c r="B395" s="892" t="s">
        <v>238</v>
      </c>
      <c r="C395" s="896" t="s">
        <v>2116</v>
      </c>
      <c r="D395" s="892">
        <v>3285.8</v>
      </c>
      <c r="E395" s="892" t="s">
        <v>238</v>
      </c>
      <c r="F395" s="892">
        <v>46</v>
      </c>
    </row>
    <row r="396" spans="1:6">
      <c r="A396" s="892">
        <v>0.3</v>
      </c>
      <c r="B396" s="892" t="s">
        <v>1261</v>
      </c>
      <c r="C396" s="896" t="s">
        <v>2117</v>
      </c>
      <c r="D396" s="892">
        <v>845.9</v>
      </c>
      <c r="E396" s="892" t="s">
        <v>1261</v>
      </c>
      <c r="F396" s="892">
        <v>253.77</v>
      </c>
    </row>
    <row r="397" spans="1:6">
      <c r="A397" s="892">
        <v>0.3</v>
      </c>
      <c r="B397" s="892" t="s">
        <v>1261</v>
      </c>
      <c r="C397" s="896" t="s">
        <v>1264</v>
      </c>
      <c r="D397" s="892">
        <v>552.20000000000005</v>
      </c>
      <c r="E397" s="892" t="s">
        <v>1261</v>
      </c>
      <c r="F397" s="892">
        <v>165.66</v>
      </c>
    </row>
    <row r="398" spans="1:6">
      <c r="A398" s="892"/>
      <c r="B398" s="892" t="s">
        <v>589</v>
      </c>
      <c r="C398" s="896" t="s">
        <v>1699</v>
      </c>
      <c r="D398" s="892"/>
      <c r="E398" s="892" t="s">
        <v>589</v>
      </c>
      <c r="F398" s="892">
        <v>0</v>
      </c>
    </row>
    <row r="399" spans="1:6">
      <c r="A399" s="892"/>
      <c r="B399" s="892"/>
      <c r="C399" s="896"/>
      <c r="D399" s="892"/>
      <c r="E399" s="892"/>
      <c r="F399" s="892" t="s">
        <v>534</v>
      </c>
    </row>
    <row r="400" spans="1:6">
      <c r="A400" s="892"/>
      <c r="B400" s="892"/>
      <c r="C400" s="896" t="s">
        <v>2119</v>
      </c>
      <c r="D400" s="892"/>
      <c r="E400" s="892"/>
      <c r="F400" s="892">
        <v>465.43</v>
      </c>
    </row>
    <row r="401" spans="1:6">
      <c r="A401" s="892"/>
      <c r="B401" s="892"/>
      <c r="C401" s="896"/>
      <c r="D401" s="892"/>
      <c r="E401" s="892"/>
      <c r="F401" s="892" t="s">
        <v>534</v>
      </c>
    </row>
    <row r="402" spans="1:6">
      <c r="A402" s="892"/>
      <c r="B402" s="892"/>
      <c r="C402" s="896" t="s">
        <v>2120</v>
      </c>
      <c r="D402" s="892"/>
      <c r="E402" s="892"/>
      <c r="F402" s="892">
        <v>68.75</v>
      </c>
    </row>
    <row r="403" spans="1:6">
      <c r="A403" s="892" t="s">
        <v>22</v>
      </c>
      <c r="B403" s="892"/>
      <c r="C403" s="896"/>
      <c r="D403" s="892"/>
      <c r="E403" s="892"/>
      <c r="F403" s="892"/>
    </row>
    <row r="404" spans="1:6">
      <c r="A404" s="892"/>
      <c r="B404" s="892"/>
      <c r="C404" s="896"/>
      <c r="D404" s="892"/>
      <c r="E404" s="892"/>
      <c r="F404" s="892" t="s">
        <v>528</v>
      </c>
    </row>
    <row r="405" spans="1:6">
      <c r="A405" s="892"/>
      <c r="B405" s="892" t="s">
        <v>1530</v>
      </c>
      <c r="C405" s="896" t="s">
        <v>2121</v>
      </c>
      <c r="D405" s="892"/>
      <c r="E405" s="892"/>
      <c r="F405" s="892"/>
    </row>
    <row r="406" spans="1:6">
      <c r="A406" s="892"/>
      <c r="B406" s="892" t="s">
        <v>534</v>
      </c>
      <c r="C406" s="896" t="s">
        <v>534</v>
      </c>
      <c r="D406" s="892"/>
      <c r="E406" s="892"/>
      <c r="F406" s="892"/>
    </row>
    <row r="407" spans="1:6">
      <c r="A407" s="901">
        <v>7.0000000000000001E-3</v>
      </c>
      <c r="B407" s="892" t="s">
        <v>238</v>
      </c>
      <c r="C407" s="896" t="s">
        <v>2116</v>
      </c>
      <c r="D407" s="892">
        <v>3285.8</v>
      </c>
      <c r="E407" s="892" t="s">
        <v>238</v>
      </c>
      <c r="F407" s="892">
        <v>23</v>
      </c>
    </row>
    <row r="408" spans="1:6">
      <c r="A408" s="892">
        <v>0.2</v>
      </c>
      <c r="B408" s="892" t="s">
        <v>1261</v>
      </c>
      <c r="C408" s="896" t="s">
        <v>2117</v>
      </c>
      <c r="D408" s="892">
        <v>845.9</v>
      </c>
      <c r="E408" s="892" t="s">
        <v>1261</v>
      </c>
      <c r="F408" s="892">
        <v>169.18</v>
      </c>
    </row>
    <row r="409" spans="1:6">
      <c r="A409" s="892">
        <v>0.2</v>
      </c>
      <c r="B409" s="892" t="s">
        <v>1261</v>
      </c>
      <c r="C409" s="896" t="s">
        <v>1264</v>
      </c>
      <c r="D409" s="892">
        <v>552.20000000000005</v>
      </c>
      <c r="E409" s="892" t="s">
        <v>1261</v>
      </c>
      <c r="F409" s="892">
        <v>110.44</v>
      </c>
    </row>
    <row r="410" spans="1:6">
      <c r="A410" s="892"/>
      <c r="B410" s="892"/>
      <c r="C410" s="896" t="s">
        <v>1699</v>
      </c>
      <c r="D410" s="892"/>
      <c r="E410" s="892"/>
      <c r="F410" s="892">
        <v>0</v>
      </c>
    </row>
    <row r="411" spans="1:6">
      <c r="A411" s="892"/>
      <c r="B411" s="892"/>
      <c r="C411" s="896"/>
      <c r="D411" s="892"/>
      <c r="E411" s="892"/>
      <c r="F411" s="892" t="s">
        <v>534</v>
      </c>
    </row>
    <row r="412" spans="1:6">
      <c r="A412" s="892"/>
      <c r="B412" s="892"/>
      <c r="C412" s="896" t="s">
        <v>2119</v>
      </c>
      <c r="D412" s="892"/>
      <c r="E412" s="892"/>
      <c r="F412" s="892">
        <v>302.62</v>
      </c>
    </row>
    <row r="413" spans="1:6">
      <c r="A413" s="892"/>
      <c r="B413" s="892"/>
      <c r="C413" s="896"/>
      <c r="D413" s="892"/>
      <c r="E413" s="892"/>
      <c r="F413" s="892" t="s">
        <v>534</v>
      </c>
    </row>
    <row r="414" spans="1:6">
      <c r="A414" s="892"/>
      <c r="B414" s="892"/>
      <c r="C414" s="896" t="s">
        <v>2120</v>
      </c>
      <c r="D414" s="892"/>
      <c r="E414" s="892"/>
      <c r="F414" s="892">
        <v>44.7</v>
      </c>
    </row>
    <row r="415" spans="1:6">
      <c r="A415" s="892"/>
      <c r="B415" s="892"/>
      <c r="C415" s="896"/>
      <c r="D415" s="892"/>
      <c r="E415" s="892"/>
      <c r="F415" s="892" t="s">
        <v>528</v>
      </c>
    </row>
    <row r="416" spans="1:6">
      <c r="A416" s="892"/>
      <c r="B416" s="892"/>
      <c r="C416" s="896"/>
      <c r="D416" s="892"/>
      <c r="E416" s="892"/>
      <c r="F416" s="892"/>
    </row>
    <row r="417" spans="1:6">
      <c r="A417" s="892"/>
      <c r="B417" s="892"/>
      <c r="C417" s="896"/>
      <c r="D417" s="892"/>
      <c r="E417" s="892"/>
      <c r="F417" s="892"/>
    </row>
    <row r="418" spans="1:6">
      <c r="A418" s="892"/>
      <c r="B418" s="892" t="s">
        <v>1563</v>
      </c>
      <c r="C418" s="896" t="s">
        <v>2124</v>
      </c>
      <c r="D418" s="892"/>
      <c r="E418" s="892"/>
      <c r="F418" s="892"/>
    </row>
    <row r="419" spans="1:6">
      <c r="A419" s="892"/>
      <c r="B419" s="892" t="s">
        <v>534</v>
      </c>
      <c r="C419" s="896" t="s">
        <v>534</v>
      </c>
      <c r="D419" s="892"/>
      <c r="E419" s="892"/>
      <c r="F419" s="892"/>
    </row>
    <row r="420" spans="1:6">
      <c r="A420" s="901">
        <v>4.7000000000000002E-3</v>
      </c>
      <c r="B420" s="892" t="s">
        <v>238</v>
      </c>
      <c r="C420" s="896" t="s">
        <v>2116</v>
      </c>
      <c r="D420" s="892">
        <v>3285.8</v>
      </c>
      <c r="E420" s="892" t="s">
        <v>238</v>
      </c>
      <c r="F420" s="892">
        <v>15.44</v>
      </c>
    </row>
    <row r="421" spans="1:6">
      <c r="A421" s="892">
        <v>0.15</v>
      </c>
      <c r="B421" s="892" t="s">
        <v>1261</v>
      </c>
      <c r="C421" s="896" t="s">
        <v>2117</v>
      </c>
      <c r="D421" s="892">
        <v>845.9</v>
      </c>
      <c r="E421" s="892" t="s">
        <v>1261</v>
      </c>
      <c r="F421" s="892">
        <v>126.89</v>
      </c>
    </row>
    <row r="422" spans="1:6">
      <c r="A422" s="892">
        <v>0.15</v>
      </c>
      <c r="B422" s="892" t="s">
        <v>1261</v>
      </c>
      <c r="C422" s="896" t="s">
        <v>1264</v>
      </c>
      <c r="D422" s="892">
        <v>552.20000000000005</v>
      </c>
      <c r="E422" s="892" t="s">
        <v>1261</v>
      </c>
      <c r="F422" s="892">
        <v>82.83</v>
      </c>
    </row>
    <row r="423" spans="1:6">
      <c r="A423" s="892"/>
      <c r="B423" s="892"/>
      <c r="C423" s="896" t="s">
        <v>1699</v>
      </c>
      <c r="D423" s="892"/>
      <c r="E423" s="892"/>
      <c r="F423" s="892">
        <v>0</v>
      </c>
    </row>
    <row r="424" spans="1:6">
      <c r="A424" s="892"/>
      <c r="B424" s="892"/>
      <c r="C424" s="896"/>
      <c r="D424" s="892"/>
      <c r="E424" s="892"/>
      <c r="F424" s="892" t="s">
        <v>534</v>
      </c>
    </row>
    <row r="425" spans="1:6">
      <c r="A425" s="892"/>
      <c r="B425" s="892"/>
      <c r="C425" s="896" t="s">
        <v>2119</v>
      </c>
      <c r="D425" s="892"/>
      <c r="E425" s="892"/>
      <c r="F425" s="892">
        <v>225.16</v>
      </c>
    </row>
    <row r="426" spans="1:6">
      <c r="A426" s="892"/>
      <c r="B426" s="892"/>
      <c r="C426" s="896"/>
      <c r="D426" s="892"/>
      <c r="E426" s="892"/>
      <c r="F426" s="892" t="s">
        <v>534</v>
      </c>
    </row>
    <row r="427" spans="1:6">
      <c r="A427" s="892"/>
      <c r="B427" s="892"/>
      <c r="C427" s="896" t="s">
        <v>2120</v>
      </c>
      <c r="D427" s="892"/>
      <c r="E427" s="892"/>
      <c r="F427" s="892">
        <v>33.26</v>
      </c>
    </row>
    <row r="428" spans="1:6">
      <c r="A428" s="892"/>
      <c r="B428" s="892"/>
      <c r="C428" s="896"/>
      <c r="D428" s="892"/>
      <c r="E428" s="892"/>
      <c r="F428" s="892" t="s">
        <v>528</v>
      </c>
    </row>
    <row r="429" spans="1:6">
      <c r="A429" s="892"/>
      <c r="B429" s="892"/>
      <c r="C429" s="896"/>
      <c r="D429" s="892"/>
      <c r="E429" s="892"/>
      <c r="F429" s="892"/>
    </row>
    <row r="430" spans="1:6">
      <c r="A430" s="898">
        <v>37.1</v>
      </c>
      <c r="B430" s="892" t="s">
        <v>307</v>
      </c>
      <c r="C430" s="896" t="s">
        <v>2126</v>
      </c>
      <c r="D430" s="892"/>
      <c r="E430" s="892"/>
      <c r="F430" s="892"/>
    </row>
    <row r="431" spans="1:6">
      <c r="A431" s="892"/>
      <c r="B431" s="892"/>
      <c r="C431" s="896" t="s">
        <v>534</v>
      </c>
      <c r="D431" s="892"/>
      <c r="E431" s="892"/>
      <c r="F431" s="892"/>
    </row>
    <row r="432" spans="1:6">
      <c r="A432" s="892">
        <v>0.09</v>
      </c>
      <c r="B432" s="892" t="s">
        <v>577</v>
      </c>
      <c r="C432" s="896" t="s">
        <v>815</v>
      </c>
      <c r="D432" s="892">
        <v>1297</v>
      </c>
      <c r="E432" s="892" t="s">
        <v>577</v>
      </c>
      <c r="F432" s="892">
        <v>116.73</v>
      </c>
    </row>
    <row r="433" spans="1:6">
      <c r="A433" s="892">
        <v>2.2000000000000002</v>
      </c>
      <c r="B433" s="892" t="s">
        <v>576</v>
      </c>
      <c r="C433" s="896" t="s">
        <v>752</v>
      </c>
      <c r="D433" s="892">
        <v>789.8</v>
      </c>
      <c r="E433" s="892" t="s">
        <v>576</v>
      </c>
      <c r="F433" s="892">
        <v>1737.56</v>
      </c>
    </row>
    <row r="434" spans="1:6">
      <c r="A434" s="892">
        <v>0.5</v>
      </c>
      <c r="B434" s="892" t="s">
        <v>576</v>
      </c>
      <c r="C434" s="896" t="s">
        <v>754</v>
      </c>
      <c r="D434" s="892">
        <v>552.20000000000005</v>
      </c>
      <c r="E434" s="892" t="s">
        <v>576</v>
      </c>
      <c r="F434" s="892">
        <v>276.10000000000002</v>
      </c>
    </row>
    <row r="435" spans="1:6">
      <c r="A435" s="892">
        <v>3.8</v>
      </c>
      <c r="B435" s="892" t="s">
        <v>576</v>
      </c>
      <c r="C435" s="896" t="s">
        <v>756</v>
      </c>
      <c r="D435" s="892">
        <v>453.2</v>
      </c>
      <c r="E435" s="892" t="s">
        <v>576</v>
      </c>
      <c r="F435" s="892">
        <v>1722.16</v>
      </c>
    </row>
    <row r="436" spans="1:6">
      <c r="A436" s="892"/>
      <c r="B436" s="892" t="s">
        <v>589</v>
      </c>
      <c r="C436" s="896" t="s">
        <v>2128</v>
      </c>
      <c r="D436" s="892" t="s">
        <v>22</v>
      </c>
      <c r="E436" s="892" t="s">
        <v>589</v>
      </c>
      <c r="F436" s="892">
        <v>1.5</v>
      </c>
    </row>
    <row r="437" spans="1:6">
      <c r="A437" s="892"/>
      <c r="B437" s="892"/>
      <c r="C437" s="896"/>
      <c r="D437" s="892"/>
      <c r="E437" s="892"/>
      <c r="F437" s="892" t="s">
        <v>534</v>
      </c>
    </row>
    <row r="438" spans="1:6">
      <c r="A438" s="892"/>
      <c r="B438" s="892"/>
      <c r="C438" s="896" t="s">
        <v>1079</v>
      </c>
      <c r="D438" s="892"/>
      <c r="E438" s="892"/>
      <c r="F438" s="892">
        <v>3854.05</v>
      </c>
    </row>
    <row r="439" spans="1:6">
      <c r="A439" s="892"/>
      <c r="B439" s="892"/>
      <c r="C439" s="896"/>
      <c r="D439" s="892"/>
      <c r="E439" s="892"/>
      <c r="F439" s="892" t="s">
        <v>534</v>
      </c>
    </row>
    <row r="440" spans="1:6">
      <c r="A440" s="892"/>
      <c r="B440" s="892"/>
      <c r="C440" s="896" t="s">
        <v>881</v>
      </c>
      <c r="D440" s="892"/>
      <c r="E440" s="892"/>
      <c r="F440" s="892">
        <v>38.54</v>
      </c>
    </row>
    <row r="441" spans="1:6">
      <c r="A441" s="892"/>
      <c r="B441" s="892"/>
      <c r="C441" s="896"/>
      <c r="D441" s="892"/>
      <c r="E441" s="892"/>
      <c r="F441" s="892" t="s">
        <v>528</v>
      </c>
    </row>
    <row r="442" spans="1:6">
      <c r="A442" s="892" t="s">
        <v>2129</v>
      </c>
      <c r="B442" s="892" t="s">
        <v>307</v>
      </c>
      <c r="C442" s="896" t="s">
        <v>2130</v>
      </c>
      <c r="D442" s="892"/>
      <c r="E442" s="892"/>
      <c r="F442" s="892"/>
    </row>
    <row r="443" spans="1:6">
      <c r="A443" s="892"/>
      <c r="B443" s="892"/>
      <c r="C443" s="896" t="s">
        <v>2131</v>
      </c>
      <c r="D443" s="892"/>
      <c r="E443" s="892"/>
      <c r="F443" s="892"/>
    </row>
    <row r="444" spans="1:6">
      <c r="A444" s="892"/>
      <c r="B444" s="892"/>
      <c r="C444" s="896" t="s">
        <v>2132</v>
      </c>
      <c r="D444" s="892"/>
      <c r="E444" s="892"/>
      <c r="F444" s="892"/>
    </row>
    <row r="445" spans="1:6">
      <c r="A445" s="892"/>
      <c r="B445" s="892"/>
      <c r="C445" s="896" t="s">
        <v>2133</v>
      </c>
      <c r="D445" s="892"/>
      <c r="E445" s="892"/>
      <c r="F445" s="892"/>
    </row>
    <row r="446" spans="1:6">
      <c r="A446" s="892"/>
      <c r="B446" s="892"/>
      <c r="C446" s="896" t="s">
        <v>534</v>
      </c>
      <c r="D446" s="892"/>
      <c r="E446" s="892"/>
      <c r="F446" s="892"/>
    </row>
    <row r="447" spans="1:6">
      <c r="A447" s="892">
        <v>1.8</v>
      </c>
      <c r="B447" s="892" t="s">
        <v>420</v>
      </c>
      <c r="C447" s="896" t="s">
        <v>2800</v>
      </c>
      <c r="D447" s="892">
        <v>22.2</v>
      </c>
      <c r="E447" s="892" t="s">
        <v>420</v>
      </c>
      <c r="F447" s="892">
        <v>39.96</v>
      </c>
    </row>
    <row r="448" spans="1:6">
      <c r="A448" s="892">
        <v>0.25</v>
      </c>
      <c r="B448" s="892" t="s">
        <v>576</v>
      </c>
      <c r="C448" s="896" t="s">
        <v>2135</v>
      </c>
      <c r="D448" s="892">
        <v>676.5</v>
      </c>
      <c r="E448" s="892" t="s">
        <v>576</v>
      </c>
      <c r="F448" s="892">
        <v>169.13</v>
      </c>
    </row>
    <row r="449" spans="1:6">
      <c r="A449" s="892">
        <v>0.25</v>
      </c>
      <c r="B449" s="892" t="s">
        <v>576</v>
      </c>
      <c r="C449" s="896" t="s">
        <v>1944</v>
      </c>
      <c r="D449" s="892">
        <v>552.20000000000005</v>
      </c>
      <c r="E449" s="892" t="s">
        <v>576</v>
      </c>
      <c r="F449" s="892">
        <v>138.05000000000001</v>
      </c>
    </row>
    <row r="450" spans="1:6">
      <c r="A450" s="892">
        <v>0.4</v>
      </c>
      <c r="B450" s="892" t="s">
        <v>576</v>
      </c>
      <c r="C450" s="896" t="s">
        <v>756</v>
      </c>
      <c r="D450" s="892">
        <v>453.2</v>
      </c>
      <c r="E450" s="892" t="s">
        <v>576</v>
      </c>
      <c r="F450" s="892">
        <v>181.28</v>
      </c>
    </row>
    <row r="451" spans="1:6">
      <c r="A451" s="892"/>
      <c r="B451" s="892"/>
      <c r="C451" s="896"/>
      <c r="D451" s="892" t="s">
        <v>22</v>
      </c>
      <c r="E451" s="892"/>
      <c r="F451" s="892">
        <v>528.41999999999996</v>
      </c>
    </row>
    <row r="452" spans="1:6">
      <c r="A452" s="892"/>
      <c r="B452" s="892"/>
      <c r="C452" s="896"/>
      <c r="D452" s="892"/>
      <c r="E452" s="892"/>
      <c r="F452" s="892">
        <v>52.84</v>
      </c>
    </row>
    <row r="455" spans="1:6">
      <c r="A455" s="892" t="s">
        <v>2016</v>
      </c>
      <c r="B455" s="892" t="s">
        <v>307</v>
      </c>
      <c r="C455" s="896" t="s">
        <v>2144</v>
      </c>
      <c r="D455" s="892"/>
      <c r="E455" s="892"/>
      <c r="F455" s="892"/>
    </row>
    <row r="456" spans="1:6">
      <c r="A456" s="892"/>
      <c r="B456" s="892"/>
      <c r="C456" s="896" t="s">
        <v>2145</v>
      </c>
      <c r="D456" s="892"/>
      <c r="E456" s="892"/>
      <c r="F456" s="892"/>
    </row>
    <row r="457" spans="1:6" ht="30">
      <c r="A457" s="892"/>
      <c r="B457" s="892"/>
      <c r="C457" s="896" t="s">
        <v>2146</v>
      </c>
      <c r="D457" s="892"/>
      <c r="E457" s="892"/>
      <c r="F457" s="892"/>
    </row>
    <row r="458" spans="1:6">
      <c r="A458" s="892"/>
      <c r="B458" s="892"/>
      <c r="C458" s="896" t="s">
        <v>534</v>
      </c>
      <c r="D458" s="892"/>
      <c r="E458" s="892"/>
      <c r="F458" s="892"/>
    </row>
    <row r="459" spans="1:6">
      <c r="A459" s="892">
        <v>1.44</v>
      </c>
      <c r="B459" s="892" t="s">
        <v>2006</v>
      </c>
      <c r="C459" s="896" t="s">
        <v>2148</v>
      </c>
      <c r="D459" s="892">
        <v>144.69999999999999</v>
      </c>
      <c r="E459" s="892" t="s">
        <v>2006</v>
      </c>
      <c r="F459" s="892">
        <v>208.37</v>
      </c>
    </row>
    <row r="460" spans="1:6">
      <c r="A460" s="892">
        <v>0.7</v>
      </c>
      <c r="B460" s="892" t="s">
        <v>680</v>
      </c>
      <c r="C460" s="896" t="s">
        <v>2008</v>
      </c>
      <c r="D460" s="892">
        <v>676.5</v>
      </c>
      <c r="E460" s="892" t="s">
        <v>680</v>
      </c>
      <c r="F460" s="892">
        <v>473.55</v>
      </c>
    </row>
    <row r="461" spans="1:6">
      <c r="A461" s="892">
        <v>2.5499999999999998</v>
      </c>
      <c r="B461" s="892" t="s">
        <v>2006</v>
      </c>
      <c r="C461" s="896" t="s">
        <v>2150</v>
      </c>
      <c r="D461" s="892">
        <v>234.3</v>
      </c>
      <c r="E461" s="892" t="s">
        <v>2006</v>
      </c>
      <c r="F461" s="892">
        <v>597.47</v>
      </c>
    </row>
    <row r="462" spans="1:6">
      <c r="A462" s="892">
        <v>1.2</v>
      </c>
      <c r="B462" s="892" t="s">
        <v>680</v>
      </c>
      <c r="C462" s="896" t="s">
        <v>2008</v>
      </c>
      <c r="D462" s="892">
        <v>676.5</v>
      </c>
      <c r="E462" s="892" t="s">
        <v>680</v>
      </c>
      <c r="F462" s="892">
        <v>811.8</v>
      </c>
    </row>
    <row r="463" spans="1:6">
      <c r="A463" s="892"/>
      <c r="B463" s="892" t="s">
        <v>589</v>
      </c>
      <c r="C463" s="896" t="s">
        <v>1914</v>
      </c>
      <c r="D463" s="892" t="s">
        <v>22</v>
      </c>
      <c r="E463" s="892" t="s">
        <v>589</v>
      </c>
      <c r="F463" s="892">
        <v>1.5</v>
      </c>
    </row>
    <row r="464" spans="1:6">
      <c r="A464" s="892"/>
      <c r="B464" s="892"/>
      <c r="C464" s="896"/>
      <c r="D464" s="892"/>
      <c r="E464" s="892"/>
      <c r="F464" s="892" t="s">
        <v>534</v>
      </c>
    </row>
    <row r="465" spans="1:6">
      <c r="A465" s="892"/>
      <c r="B465" s="892"/>
      <c r="C465" s="896" t="s">
        <v>879</v>
      </c>
      <c r="D465" s="892"/>
      <c r="E465" s="892"/>
      <c r="F465" s="892">
        <v>2092.69</v>
      </c>
    </row>
    <row r="466" spans="1:6">
      <c r="A466" s="892"/>
      <c r="B466" s="892"/>
      <c r="C466" s="896"/>
      <c r="D466" s="892"/>
      <c r="E466" s="892"/>
      <c r="F466" s="892" t="s">
        <v>534</v>
      </c>
    </row>
    <row r="467" spans="1:6">
      <c r="A467" s="892"/>
      <c r="B467" s="892"/>
      <c r="C467" s="896" t="s">
        <v>881</v>
      </c>
      <c r="D467" s="892"/>
      <c r="E467" s="892"/>
      <c r="F467" s="892">
        <v>209.27</v>
      </c>
    </row>
    <row r="468" spans="1:6">
      <c r="A468" s="892" t="s">
        <v>22</v>
      </c>
      <c r="B468" s="892"/>
      <c r="C468" s="896"/>
      <c r="D468" s="892"/>
      <c r="E468" s="892"/>
      <c r="F468" s="892"/>
    </row>
    <row r="469" spans="1:6">
      <c r="A469" s="892"/>
      <c r="B469" s="892"/>
      <c r="C469" s="896"/>
      <c r="D469" s="892"/>
      <c r="E469" s="892"/>
      <c r="F469" s="892" t="s">
        <v>528</v>
      </c>
    </row>
    <row r="470" spans="1:6">
      <c r="A470" s="897">
        <v>41</v>
      </c>
      <c r="B470" s="892" t="s">
        <v>307</v>
      </c>
      <c r="C470" s="896" t="s">
        <v>2159</v>
      </c>
      <c r="D470" s="892"/>
      <c r="E470" s="892"/>
      <c r="F470" s="892"/>
    </row>
    <row r="471" spans="1:6">
      <c r="A471" s="892"/>
      <c r="B471" s="892"/>
      <c r="C471" s="896" t="s">
        <v>2161</v>
      </c>
      <c r="D471" s="892"/>
      <c r="E471" s="892"/>
      <c r="F471" s="892"/>
    </row>
    <row r="472" spans="1:6">
      <c r="A472" s="892"/>
      <c r="B472" s="892"/>
      <c r="C472" s="896" t="s">
        <v>2162</v>
      </c>
      <c r="D472" s="892"/>
      <c r="E472" s="892"/>
      <c r="F472" s="892"/>
    </row>
    <row r="473" spans="1:6">
      <c r="A473" s="892"/>
      <c r="B473" s="892"/>
      <c r="C473" s="896" t="s">
        <v>534</v>
      </c>
      <c r="D473" s="892"/>
      <c r="E473" s="892"/>
      <c r="F473" s="892"/>
    </row>
    <row r="474" spans="1:6">
      <c r="A474" s="892">
        <v>2.2200000000000002</v>
      </c>
      <c r="B474" s="892" t="s">
        <v>2006</v>
      </c>
      <c r="C474" s="896" t="s">
        <v>2150</v>
      </c>
      <c r="D474" s="892">
        <v>223.2</v>
      </c>
      <c r="E474" s="892" t="s">
        <v>2006</v>
      </c>
      <c r="F474" s="892">
        <v>495.5</v>
      </c>
    </row>
    <row r="475" spans="1:6">
      <c r="A475" s="892">
        <v>1.1000000000000001</v>
      </c>
      <c r="B475" s="892" t="s">
        <v>680</v>
      </c>
      <c r="C475" s="896" t="s">
        <v>2008</v>
      </c>
      <c r="D475" s="892">
        <v>676.5</v>
      </c>
      <c r="E475" s="892" t="s">
        <v>680</v>
      </c>
      <c r="F475" s="892">
        <v>744.15</v>
      </c>
    </row>
    <row r="476" spans="1:6">
      <c r="A476" s="892"/>
      <c r="B476" s="892" t="s">
        <v>589</v>
      </c>
      <c r="C476" s="896" t="s">
        <v>1914</v>
      </c>
      <c r="D476" s="892" t="s">
        <v>22</v>
      </c>
      <c r="E476" s="892" t="s">
        <v>589</v>
      </c>
      <c r="F476" s="892">
        <v>1.5</v>
      </c>
    </row>
    <row r="477" spans="1:6">
      <c r="A477" s="892"/>
      <c r="B477" s="892"/>
      <c r="C477" s="896"/>
      <c r="D477" s="892"/>
      <c r="E477" s="892"/>
      <c r="F477" s="892" t="s">
        <v>534</v>
      </c>
    </row>
    <row r="478" spans="1:6">
      <c r="A478" s="892"/>
      <c r="B478" s="892"/>
      <c r="C478" s="896" t="s">
        <v>879</v>
      </c>
      <c r="D478" s="892"/>
      <c r="E478" s="892"/>
      <c r="F478" s="892">
        <v>1241.1500000000001</v>
      </c>
    </row>
    <row r="479" spans="1:6">
      <c r="A479" s="892"/>
      <c r="B479" s="892"/>
      <c r="C479" s="896"/>
      <c r="D479" s="892"/>
      <c r="E479" s="892"/>
      <c r="F479" s="892" t="s">
        <v>534</v>
      </c>
    </row>
    <row r="480" spans="1:6">
      <c r="A480" s="892"/>
      <c r="B480" s="892"/>
      <c r="C480" s="896" t="s">
        <v>881</v>
      </c>
      <c r="D480" s="892"/>
      <c r="E480" s="892"/>
      <c r="F480" s="892">
        <v>124.12</v>
      </c>
    </row>
    <row r="482" spans="1:6">
      <c r="A482" s="899" t="s">
        <v>2189</v>
      </c>
      <c r="B482" s="892" t="s">
        <v>1501</v>
      </c>
      <c r="C482" s="896" t="s">
        <v>2177</v>
      </c>
      <c r="D482" s="892"/>
      <c r="E482" s="892"/>
      <c r="F482" s="892"/>
    </row>
    <row r="483" spans="1:6" ht="30">
      <c r="A483" s="899"/>
      <c r="B483" s="892"/>
      <c r="C483" s="896" t="s">
        <v>2191</v>
      </c>
      <c r="D483" s="892"/>
      <c r="E483" s="892"/>
      <c r="F483" s="892"/>
    </row>
    <row r="484" spans="1:6">
      <c r="A484" s="899"/>
      <c r="B484" s="892"/>
      <c r="C484" s="896" t="s">
        <v>534</v>
      </c>
      <c r="D484" s="892"/>
      <c r="E484" s="892"/>
      <c r="F484" s="892"/>
    </row>
    <row r="485" spans="1:6">
      <c r="A485" s="892">
        <v>1</v>
      </c>
      <c r="B485" s="892" t="s">
        <v>2179</v>
      </c>
      <c r="C485" s="896" t="s">
        <v>2180</v>
      </c>
      <c r="D485" s="892">
        <v>45000</v>
      </c>
      <c r="E485" s="892" t="s">
        <v>47</v>
      </c>
      <c r="F485" s="892">
        <v>4500</v>
      </c>
    </row>
    <row r="486" spans="1:6">
      <c r="A486" s="899">
        <v>0.01</v>
      </c>
      <c r="B486" s="892" t="s">
        <v>2179</v>
      </c>
      <c r="C486" s="896" t="s">
        <v>2181</v>
      </c>
      <c r="D486" s="892">
        <v>43750</v>
      </c>
      <c r="E486" s="892" t="s">
        <v>47</v>
      </c>
      <c r="F486" s="892">
        <v>43.75</v>
      </c>
    </row>
    <row r="487" spans="1:6">
      <c r="A487" s="899">
        <v>3.5</v>
      </c>
      <c r="B487" s="892" t="s">
        <v>680</v>
      </c>
      <c r="C487" s="896" t="s">
        <v>2182</v>
      </c>
      <c r="D487" s="892">
        <v>733.7</v>
      </c>
      <c r="E487" s="892" t="s">
        <v>680</v>
      </c>
      <c r="F487" s="892">
        <v>2567.9499999999998</v>
      </c>
    </row>
    <row r="488" spans="1:6">
      <c r="A488" s="899"/>
      <c r="B488" s="892" t="s">
        <v>589</v>
      </c>
      <c r="C488" s="896" t="s">
        <v>590</v>
      </c>
      <c r="D488" s="892"/>
      <c r="E488" s="892" t="s">
        <v>589</v>
      </c>
      <c r="F488" s="892">
        <v>0</v>
      </c>
    </row>
    <row r="489" spans="1:6">
      <c r="A489" s="892"/>
      <c r="B489" s="892"/>
      <c r="C489" s="896"/>
      <c r="D489" s="892"/>
      <c r="E489" s="892"/>
      <c r="F489" s="892" t="s">
        <v>534</v>
      </c>
    </row>
    <row r="490" spans="1:6">
      <c r="A490" s="892"/>
      <c r="B490" s="892"/>
      <c r="C490" s="896" t="s">
        <v>2185</v>
      </c>
      <c r="D490" s="892"/>
      <c r="E490" s="892"/>
      <c r="F490" s="892">
        <v>7111.7</v>
      </c>
    </row>
    <row r="491" spans="1:6">
      <c r="A491" s="892"/>
      <c r="B491" s="892"/>
      <c r="C491" s="896"/>
      <c r="D491" s="892"/>
      <c r="E491" s="892"/>
      <c r="F491" s="892" t="s">
        <v>534</v>
      </c>
    </row>
    <row r="492" spans="1:6">
      <c r="A492" s="892"/>
      <c r="B492" s="892"/>
      <c r="C492" s="896" t="s">
        <v>2186</v>
      </c>
      <c r="D492" s="892"/>
      <c r="E492" s="892"/>
      <c r="F492" s="892">
        <v>71117</v>
      </c>
    </row>
    <row r="493" spans="1:6">
      <c r="A493" s="892"/>
      <c r="B493" s="892"/>
      <c r="C493" s="896" t="s">
        <v>22</v>
      </c>
      <c r="D493" s="892"/>
      <c r="E493" s="892"/>
      <c r="F493" s="892" t="s">
        <v>22</v>
      </c>
    </row>
    <row r="494" spans="1:6">
      <c r="A494" s="892"/>
      <c r="B494" s="892" t="s">
        <v>1530</v>
      </c>
      <c r="C494" s="896" t="s">
        <v>2177</v>
      </c>
      <c r="D494" s="892"/>
      <c r="E494" s="892"/>
      <c r="F494" s="892"/>
    </row>
    <row r="495" spans="1:6" ht="30">
      <c r="A495" s="892"/>
      <c r="B495" s="892"/>
      <c r="C495" s="896" t="s">
        <v>2193</v>
      </c>
      <c r="D495" s="892"/>
      <c r="E495" s="892"/>
      <c r="F495" s="892"/>
    </row>
    <row r="496" spans="1:6">
      <c r="A496" s="899"/>
      <c r="B496" s="892"/>
      <c r="C496" s="896" t="s">
        <v>534</v>
      </c>
      <c r="D496" s="892"/>
      <c r="E496" s="892"/>
      <c r="F496" s="892"/>
    </row>
    <row r="497" spans="1:6">
      <c r="A497" s="892">
        <v>1</v>
      </c>
      <c r="B497" s="892" t="s">
        <v>2179</v>
      </c>
      <c r="C497" s="896" t="s">
        <v>2188</v>
      </c>
      <c r="D497" s="892">
        <v>45000</v>
      </c>
      <c r="E497" s="892" t="s">
        <v>47</v>
      </c>
      <c r="F497" s="892">
        <v>4500</v>
      </c>
    </row>
    <row r="498" spans="1:6">
      <c r="A498" s="899">
        <v>0.01</v>
      </c>
      <c r="B498" s="892" t="s">
        <v>2179</v>
      </c>
      <c r="C498" s="896" t="s">
        <v>2181</v>
      </c>
      <c r="D498" s="892">
        <v>43750</v>
      </c>
      <c r="E498" s="892" t="s">
        <v>47</v>
      </c>
      <c r="F498" s="892">
        <v>43.75</v>
      </c>
    </row>
    <row r="499" spans="1:6">
      <c r="A499" s="899">
        <v>3.5</v>
      </c>
      <c r="B499" s="892" t="s">
        <v>680</v>
      </c>
      <c r="C499" s="896" t="s">
        <v>2182</v>
      </c>
      <c r="D499" s="892">
        <v>733.7</v>
      </c>
      <c r="E499" s="892" t="s">
        <v>680</v>
      </c>
      <c r="F499" s="892">
        <v>2567.9499999999998</v>
      </c>
    </row>
    <row r="500" spans="1:6">
      <c r="A500" s="899"/>
      <c r="B500" s="892" t="s">
        <v>589</v>
      </c>
      <c r="C500" s="896" t="s">
        <v>590</v>
      </c>
      <c r="D500" s="892"/>
      <c r="E500" s="892" t="s">
        <v>589</v>
      </c>
      <c r="F500" s="892">
        <v>0</v>
      </c>
    </row>
    <row r="501" spans="1:6">
      <c r="A501" s="892"/>
      <c r="B501" s="892"/>
      <c r="C501" s="896"/>
      <c r="D501" s="892"/>
      <c r="E501" s="892"/>
      <c r="F501" s="892" t="s">
        <v>534</v>
      </c>
    </row>
    <row r="502" spans="1:6">
      <c r="A502" s="892"/>
      <c r="B502" s="892"/>
      <c r="C502" s="896" t="s">
        <v>2185</v>
      </c>
      <c r="D502" s="892"/>
      <c r="E502" s="892"/>
      <c r="F502" s="892">
        <v>7111.7</v>
      </c>
    </row>
    <row r="503" spans="1:6">
      <c r="A503" s="892"/>
      <c r="B503" s="892"/>
      <c r="C503" s="896"/>
      <c r="D503" s="892"/>
      <c r="E503" s="892"/>
      <c r="F503" s="892" t="s">
        <v>534</v>
      </c>
    </row>
    <row r="504" spans="1:6">
      <c r="A504" s="892"/>
      <c r="B504" s="892"/>
      <c r="C504" s="896" t="s">
        <v>2186</v>
      </c>
      <c r="D504" s="892"/>
      <c r="E504" s="892"/>
      <c r="F504" s="892">
        <v>71117</v>
      </c>
    </row>
    <row r="505" spans="1:6">
      <c r="A505" s="892"/>
      <c r="B505" s="892"/>
      <c r="C505" s="896" t="s">
        <v>22</v>
      </c>
      <c r="D505" s="892"/>
      <c r="E505" s="892"/>
      <c r="F505" s="892"/>
    </row>
    <row r="506" spans="1:6">
      <c r="A506" s="898">
        <v>44.1</v>
      </c>
      <c r="B506" s="892" t="s">
        <v>307</v>
      </c>
      <c r="C506" s="896" t="s">
        <v>2194</v>
      </c>
      <c r="D506" s="892"/>
      <c r="E506" s="892"/>
      <c r="F506" s="892"/>
    </row>
    <row r="507" spans="1:6">
      <c r="A507" s="892"/>
      <c r="B507" s="892"/>
      <c r="C507" s="896" t="s">
        <v>2195</v>
      </c>
      <c r="D507" s="892"/>
      <c r="E507" s="892"/>
      <c r="F507" s="892"/>
    </row>
    <row r="508" spans="1:6">
      <c r="A508" s="892"/>
      <c r="B508" s="892"/>
      <c r="C508" s="896" t="s">
        <v>3404</v>
      </c>
      <c r="D508" s="892"/>
      <c r="E508" s="892"/>
      <c r="F508" s="892"/>
    </row>
    <row r="509" spans="1:6">
      <c r="A509" s="892"/>
      <c r="B509" s="892"/>
      <c r="C509" s="896" t="s">
        <v>534</v>
      </c>
      <c r="D509" s="892"/>
      <c r="E509" s="892"/>
      <c r="F509" s="892"/>
    </row>
    <row r="510" spans="1:6">
      <c r="A510" s="892">
        <v>3</v>
      </c>
      <c r="B510" s="892" t="s">
        <v>410</v>
      </c>
      <c r="C510" s="896" t="s">
        <v>2197</v>
      </c>
      <c r="D510" s="892">
        <v>120.54</v>
      </c>
      <c r="E510" s="892" t="s">
        <v>410</v>
      </c>
      <c r="F510" s="892">
        <v>361.62</v>
      </c>
    </row>
    <row r="511" spans="1:6">
      <c r="A511" s="892">
        <v>1</v>
      </c>
      <c r="B511" s="892" t="s">
        <v>576</v>
      </c>
      <c r="C511" s="896" t="s">
        <v>2198</v>
      </c>
      <c r="D511" s="892">
        <v>76</v>
      </c>
      <c r="E511" s="892" t="s">
        <v>576</v>
      </c>
      <c r="F511" s="892">
        <v>76</v>
      </c>
    </row>
    <row r="512" spans="1:6">
      <c r="A512" s="892">
        <v>1</v>
      </c>
      <c r="B512" s="892" t="s">
        <v>576</v>
      </c>
      <c r="C512" s="896" t="s">
        <v>2199</v>
      </c>
      <c r="D512" s="892">
        <v>71</v>
      </c>
      <c r="E512" s="892" t="s">
        <v>576</v>
      </c>
      <c r="F512" s="892">
        <v>71</v>
      </c>
    </row>
    <row r="513" spans="1:6">
      <c r="A513" s="892">
        <v>2</v>
      </c>
      <c r="B513" s="892" t="s">
        <v>576</v>
      </c>
      <c r="C513" s="896" t="s">
        <v>2200</v>
      </c>
      <c r="D513" s="892">
        <v>21.2</v>
      </c>
      <c r="E513" s="892" t="s">
        <v>576</v>
      </c>
      <c r="F513" s="892">
        <v>42.4</v>
      </c>
    </row>
    <row r="514" spans="1:6">
      <c r="A514" s="892">
        <v>1</v>
      </c>
      <c r="B514" s="892" t="s">
        <v>576</v>
      </c>
      <c r="C514" s="896" t="s">
        <v>2201</v>
      </c>
      <c r="D514" s="892">
        <v>31.5</v>
      </c>
      <c r="E514" s="892" t="s">
        <v>576</v>
      </c>
      <c r="F514" s="892">
        <v>31.5</v>
      </c>
    </row>
    <row r="515" spans="1:6">
      <c r="A515" s="892">
        <v>0.5</v>
      </c>
      <c r="B515" s="892" t="s">
        <v>576</v>
      </c>
      <c r="C515" s="896" t="s">
        <v>2202</v>
      </c>
      <c r="D515" s="892">
        <v>733.7</v>
      </c>
      <c r="E515" s="892" t="s">
        <v>576</v>
      </c>
      <c r="F515" s="892">
        <v>366.85</v>
      </c>
    </row>
    <row r="516" spans="1:6">
      <c r="A516" s="892"/>
      <c r="B516" s="892" t="s">
        <v>589</v>
      </c>
      <c r="C516" s="896" t="s">
        <v>2204</v>
      </c>
      <c r="D516" s="892"/>
      <c r="E516" s="892" t="s">
        <v>589</v>
      </c>
      <c r="F516" s="892"/>
    </row>
    <row r="517" spans="1:6">
      <c r="A517" s="892"/>
      <c r="B517" s="892"/>
      <c r="C517" s="896" t="s">
        <v>2205</v>
      </c>
      <c r="D517" s="892"/>
      <c r="E517" s="892"/>
      <c r="F517" s="892"/>
    </row>
    <row r="518" spans="1:6">
      <c r="A518" s="892"/>
      <c r="B518" s="892"/>
      <c r="C518" s="896"/>
      <c r="D518" s="892"/>
      <c r="E518" s="892"/>
      <c r="F518" s="892" t="s">
        <v>534</v>
      </c>
    </row>
    <row r="519" spans="1:6">
      <c r="A519" s="892"/>
      <c r="B519" s="892"/>
      <c r="C519" s="896" t="s">
        <v>2206</v>
      </c>
      <c r="D519" s="892"/>
      <c r="E519" s="892"/>
      <c r="F519" s="892">
        <v>949.37</v>
      </c>
    </row>
    <row r="520" spans="1:6">
      <c r="A520" s="892" t="s">
        <v>22</v>
      </c>
      <c r="B520" s="892"/>
      <c r="C520" s="896"/>
      <c r="D520" s="892"/>
      <c r="E520" s="892"/>
      <c r="F520" s="892"/>
    </row>
    <row r="521" spans="1:6">
      <c r="A521" s="892"/>
      <c r="B521" s="892"/>
      <c r="C521" s="896"/>
      <c r="D521" s="892"/>
      <c r="E521" s="892"/>
      <c r="F521" s="892" t="s">
        <v>534</v>
      </c>
    </row>
    <row r="522" spans="1:6">
      <c r="A522" s="892"/>
      <c r="B522" s="892"/>
      <c r="C522" s="896" t="s">
        <v>1139</v>
      </c>
      <c r="D522" s="892"/>
      <c r="E522" s="892"/>
      <c r="F522" s="892">
        <v>316.45999999999998</v>
      </c>
    </row>
    <row r="523" spans="1:6">
      <c r="A523" s="892"/>
      <c r="B523" s="892"/>
      <c r="C523" s="896"/>
      <c r="D523" s="892"/>
      <c r="E523" s="892"/>
      <c r="F523" s="892" t="s">
        <v>528</v>
      </c>
    </row>
    <row r="524" spans="1:6">
      <c r="A524" s="892" t="s">
        <v>2212</v>
      </c>
      <c r="B524" s="892" t="s">
        <v>307</v>
      </c>
      <c r="C524" s="896" t="s">
        <v>2213</v>
      </c>
      <c r="D524" s="892"/>
      <c r="E524" s="892"/>
      <c r="F524" s="892"/>
    </row>
    <row r="525" spans="1:6">
      <c r="A525" s="892"/>
      <c r="B525" s="892"/>
      <c r="C525" s="896" t="s">
        <v>2214</v>
      </c>
      <c r="D525" s="892"/>
      <c r="E525" s="892"/>
      <c r="F525" s="892"/>
    </row>
    <row r="526" spans="1:6">
      <c r="A526" s="892"/>
      <c r="B526" s="892"/>
      <c r="C526" s="896" t="s">
        <v>2215</v>
      </c>
      <c r="D526" s="892"/>
      <c r="E526" s="892" t="s">
        <v>22</v>
      </c>
      <c r="F526" s="892"/>
    </row>
    <row r="527" spans="1:6">
      <c r="A527" s="892"/>
      <c r="B527" s="892"/>
      <c r="C527" s="896" t="s">
        <v>2216</v>
      </c>
      <c r="D527" s="892"/>
      <c r="E527" s="892"/>
      <c r="F527" s="892"/>
    </row>
    <row r="528" spans="1:6">
      <c r="A528" s="892"/>
      <c r="B528" s="892"/>
      <c r="C528" s="896" t="s">
        <v>2217</v>
      </c>
      <c r="D528" s="892"/>
      <c r="E528" s="892"/>
      <c r="F528" s="892"/>
    </row>
    <row r="529" spans="1:6">
      <c r="A529" s="892"/>
      <c r="B529" s="892"/>
      <c r="C529" s="896" t="s">
        <v>2218</v>
      </c>
      <c r="D529" s="892"/>
      <c r="E529" s="892"/>
      <c r="F529" s="892"/>
    </row>
    <row r="530" spans="1:6">
      <c r="A530" s="892"/>
      <c r="B530" s="892"/>
      <c r="C530" s="896" t="s">
        <v>2219</v>
      </c>
      <c r="D530" s="892"/>
      <c r="E530" s="892"/>
      <c r="F530" s="892"/>
    </row>
    <row r="531" spans="1:6">
      <c r="A531" s="892"/>
      <c r="B531" s="892"/>
      <c r="C531" s="896" t="s">
        <v>2220</v>
      </c>
      <c r="D531" s="892"/>
      <c r="E531" s="892"/>
      <c r="F531" s="892"/>
    </row>
    <row r="532" spans="1:6">
      <c r="A532" s="892"/>
      <c r="B532" s="892"/>
      <c r="C532" s="896" t="s">
        <v>2221</v>
      </c>
      <c r="D532" s="892"/>
      <c r="E532" s="892"/>
      <c r="F532" s="892"/>
    </row>
    <row r="533" spans="1:6">
      <c r="A533" s="892"/>
      <c r="B533" s="892"/>
      <c r="C533" s="896" t="s">
        <v>528</v>
      </c>
      <c r="D533" s="892"/>
      <c r="E533" s="892"/>
      <c r="F533" s="892"/>
    </row>
    <row r="534" spans="1:6">
      <c r="A534" s="892"/>
      <c r="B534" s="892"/>
      <c r="C534" s="896"/>
      <c r="D534" s="892"/>
      <c r="E534" s="892"/>
      <c r="F534" s="892"/>
    </row>
    <row r="535" spans="1:6">
      <c r="A535" s="892">
        <v>1</v>
      </c>
      <c r="B535" s="892" t="s">
        <v>41</v>
      </c>
      <c r="C535" s="896" t="s">
        <v>2222</v>
      </c>
      <c r="D535" s="892">
        <v>45.72</v>
      </c>
      <c r="E535" s="892" t="s">
        <v>41</v>
      </c>
      <c r="F535" s="892">
        <v>45.72</v>
      </c>
    </row>
    <row r="536" spans="1:6">
      <c r="A536" s="892">
        <v>1</v>
      </c>
      <c r="B536" s="892" t="s">
        <v>393</v>
      </c>
      <c r="C536" s="896" t="s">
        <v>2223</v>
      </c>
      <c r="D536" s="892">
        <v>5</v>
      </c>
      <c r="E536" s="892" t="s">
        <v>393</v>
      </c>
      <c r="F536" s="892">
        <v>5</v>
      </c>
    </row>
    <row r="537" spans="1:6" ht="30">
      <c r="A537" s="892"/>
      <c r="B537" s="892" t="s">
        <v>589</v>
      </c>
      <c r="C537" s="896" t="s">
        <v>2224</v>
      </c>
      <c r="D537" s="892"/>
      <c r="E537" s="892" t="s">
        <v>589</v>
      </c>
      <c r="F537" s="892">
        <v>7.28</v>
      </c>
    </row>
    <row r="538" spans="1:6">
      <c r="A538" s="892"/>
      <c r="B538" s="892"/>
      <c r="C538" s="896"/>
      <c r="D538" s="892"/>
      <c r="E538" s="892"/>
      <c r="F538" s="892" t="s">
        <v>534</v>
      </c>
    </row>
    <row r="539" spans="1:6">
      <c r="A539" s="892"/>
      <c r="B539" s="892"/>
      <c r="C539" s="896" t="s">
        <v>2225</v>
      </c>
      <c r="D539" s="892"/>
      <c r="E539" s="892"/>
      <c r="F539" s="892">
        <v>58</v>
      </c>
    </row>
    <row r="540" spans="1:6">
      <c r="A540" s="892"/>
      <c r="B540" s="892"/>
      <c r="C540" s="896"/>
      <c r="D540" s="892"/>
      <c r="E540" s="892"/>
      <c r="F540" s="892" t="s">
        <v>528</v>
      </c>
    </row>
    <row r="541" spans="1:6" ht="30">
      <c r="A541" s="892" t="s">
        <v>2226</v>
      </c>
      <c r="B541" s="892" t="s">
        <v>307</v>
      </c>
      <c r="C541" s="896" t="s">
        <v>3405</v>
      </c>
      <c r="D541" s="892"/>
      <c r="E541" s="892"/>
      <c r="F541" s="892"/>
    </row>
    <row r="542" spans="1:6">
      <c r="A542" s="892"/>
      <c r="B542" s="892"/>
      <c r="C542" s="896" t="s">
        <v>2228</v>
      </c>
      <c r="D542" s="892"/>
      <c r="E542" s="892"/>
      <c r="F542" s="892"/>
    </row>
    <row r="543" spans="1:6" ht="30">
      <c r="A543" s="892"/>
      <c r="B543" s="892"/>
      <c r="C543" s="896" t="s">
        <v>2229</v>
      </c>
      <c r="D543" s="892"/>
      <c r="E543" s="892"/>
      <c r="F543" s="892"/>
    </row>
    <row r="544" spans="1:6" ht="30">
      <c r="A544" s="892"/>
      <c r="B544" s="892"/>
      <c r="C544" s="896" t="s">
        <v>2230</v>
      </c>
      <c r="D544" s="892"/>
      <c r="E544" s="892"/>
      <c r="F544" s="892"/>
    </row>
    <row r="545" spans="1:6">
      <c r="A545" s="892"/>
      <c r="B545" s="892"/>
      <c r="C545" s="896" t="s">
        <v>2231</v>
      </c>
      <c r="D545" s="892"/>
      <c r="E545" s="892"/>
      <c r="F545" s="892"/>
    </row>
    <row r="546" spans="1:6">
      <c r="A546" s="892"/>
      <c r="B546" s="892"/>
      <c r="C546" s="896" t="s">
        <v>534</v>
      </c>
      <c r="D546" s="892" t="s">
        <v>534</v>
      </c>
      <c r="E546" s="892"/>
      <c r="F546" s="892"/>
    </row>
    <row r="547" spans="1:6">
      <c r="A547" s="892">
        <v>1</v>
      </c>
      <c r="B547" s="892" t="s">
        <v>2232</v>
      </c>
      <c r="C547" s="896" t="s">
        <v>2233</v>
      </c>
      <c r="D547" s="892">
        <v>85</v>
      </c>
      <c r="E547" s="892" t="s">
        <v>332</v>
      </c>
      <c r="F547" s="892">
        <v>85</v>
      </c>
    </row>
    <row r="548" spans="1:6">
      <c r="A548" s="892"/>
      <c r="B548" s="892" t="s">
        <v>589</v>
      </c>
      <c r="C548" s="896" t="s">
        <v>2234</v>
      </c>
      <c r="D548" s="892"/>
      <c r="E548" s="892" t="s">
        <v>589</v>
      </c>
      <c r="F548" s="892">
        <v>7.5</v>
      </c>
    </row>
    <row r="549" spans="1:6">
      <c r="A549" s="892"/>
      <c r="B549" s="892" t="s">
        <v>589</v>
      </c>
      <c r="C549" s="896" t="s">
        <v>2235</v>
      </c>
      <c r="D549" s="892"/>
      <c r="E549" s="892" t="s">
        <v>589</v>
      </c>
      <c r="F549" s="892">
        <v>2.5</v>
      </c>
    </row>
    <row r="550" spans="1:6">
      <c r="A550" s="892"/>
      <c r="B550" s="892"/>
      <c r="C550" s="896" t="s">
        <v>2236</v>
      </c>
      <c r="D550" s="892"/>
      <c r="E550" s="892"/>
      <c r="F550" s="892" t="s">
        <v>534</v>
      </c>
    </row>
    <row r="551" spans="1:6">
      <c r="A551" s="892"/>
      <c r="B551" s="892"/>
      <c r="C551" s="896" t="s">
        <v>2225</v>
      </c>
      <c r="D551" s="892"/>
      <c r="E551" s="892"/>
      <c r="F551" s="892">
        <v>95</v>
      </c>
    </row>
    <row r="552" spans="1:6">
      <c r="A552" s="892"/>
      <c r="B552" s="892"/>
      <c r="C552" s="896"/>
      <c r="D552" s="892"/>
      <c r="E552" s="892"/>
      <c r="F552" s="892" t="s">
        <v>528</v>
      </c>
    </row>
    <row r="553" spans="1:6">
      <c r="A553" s="892" t="s">
        <v>2237</v>
      </c>
      <c r="B553" s="892" t="s">
        <v>307</v>
      </c>
      <c r="C553" s="896" t="s">
        <v>3406</v>
      </c>
      <c r="D553" s="892"/>
      <c r="E553" s="892"/>
      <c r="F553" s="892"/>
    </row>
    <row r="554" spans="1:6">
      <c r="A554" s="892"/>
      <c r="B554" s="892"/>
      <c r="C554" s="896" t="s">
        <v>2239</v>
      </c>
      <c r="D554" s="892"/>
      <c r="E554" s="892"/>
      <c r="F554" s="892" t="s">
        <v>22</v>
      </c>
    </row>
    <row r="555" spans="1:6">
      <c r="A555" s="892"/>
      <c r="B555" s="892"/>
      <c r="C555" s="896" t="s">
        <v>534</v>
      </c>
      <c r="D555" s="892"/>
      <c r="E555" s="892"/>
      <c r="F555" s="892"/>
    </row>
    <row r="556" spans="1:6">
      <c r="A556" s="892">
        <v>1</v>
      </c>
      <c r="B556" s="892" t="s">
        <v>2232</v>
      </c>
      <c r="C556" s="896" t="s">
        <v>2240</v>
      </c>
      <c r="D556" s="892">
        <v>50</v>
      </c>
      <c r="E556" s="892" t="s">
        <v>332</v>
      </c>
      <c r="F556" s="892">
        <v>50</v>
      </c>
    </row>
    <row r="557" spans="1:6">
      <c r="A557" s="892"/>
      <c r="B557" s="892" t="s">
        <v>589</v>
      </c>
      <c r="C557" s="896" t="s">
        <v>2241</v>
      </c>
      <c r="D557" s="892"/>
      <c r="E557" s="892" t="s">
        <v>589</v>
      </c>
      <c r="F557" s="892">
        <v>5</v>
      </c>
    </row>
    <row r="558" spans="1:6">
      <c r="A558" s="892"/>
      <c r="B558" s="892"/>
      <c r="C558" s="896"/>
      <c r="D558" s="892"/>
      <c r="E558" s="892"/>
      <c r="F558" s="892" t="s">
        <v>534</v>
      </c>
    </row>
    <row r="559" spans="1:6">
      <c r="A559" s="892"/>
      <c r="B559" s="892"/>
      <c r="C559" s="896" t="s">
        <v>2242</v>
      </c>
      <c r="D559" s="892"/>
      <c r="E559" s="892"/>
      <c r="F559" s="892">
        <v>55</v>
      </c>
    </row>
    <row r="560" spans="1:6">
      <c r="A560" s="892"/>
      <c r="B560" s="892"/>
      <c r="C560" s="896"/>
      <c r="D560" s="892"/>
      <c r="E560" s="892"/>
      <c r="F560" s="892" t="s">
        <v>528</v>
      </c>
    </row>
    <row r="561" spans="1:6">
      <c r="A561" s="892" t="s">
        <v>2243</v>
      </c>
      <c r="B561" s="892" t="s">
        <v>307</v>
      </c>
      <c r="C561" s="896" t="s">
        <v>3407</v>
      </c>
      <c r="D561" s="892"/>
      <c r="E561" s="892"/>
      <c r="F561" s="892"/>
    </row>
    <row r="562" spans="1:6">
      <c r="A562" s="892"/>
      <c r="B562" s="892"/>
      <c r="C562" s="896" t="s">
        <v>534</v>
      </c>
      <c r="D562" s="892" t="s">
        <v>534</v>
      </c>
      <c r="E562" s="892"/>
      <c r="F562" s="892"/>
    </row>
    <row r="563" spans="1:6">
      <c r="A563" s="892">
        <v>1</v>
      </c>
      <c r="B563" s="892" t="s">
        <v>2232</v>
      </c>
      <c r="C563" s="896" t="s">
        <v>2245</v>
      </c>
      <c r="D563" s="892">
        <v>1.2</v>
      </c>
      <c r="E563" s="892" t="s">
        <v>332</v>
      </c>
      <c r="F563" s="892">
        <v>1.2</v>
      </c>
    </row>
    <row r="564" spans="1:6">
      <c r="A564" s="892"/>
      <c r="B564" s="892" t="s">
        <v>589</v>
      </c>
      <c r="C564" s="896" t="s">
        <v>2241</v>
      </c>
      <c r="D564" s="892"/>
      <c r="E564" s="892" t="s">
        <v>589</v>
      </c>
      <c r="F564" s="892">
        <v>0.3</v>
      </c>
    </row>
    <row r="565" spans="1:6">
      <c r="A565" s="892"/>
      <c r="B565" s="892"/>
      <c r="C565" s="896"/>
      <c r="D565" s="892"/>
      <c r="E565" s="892"/>
      <c r="F565" s="892" t="s">
        <v>534</v>
      </c>
    </row>
    <row r="566" spans="1:6">
      <c r="A566" s="892"/>
      <c r="B566" s="892"/>
      <c r="C566" s="896" t="s">
        <v>2242</v>
      </c>
      <c r="D566" s="892"/>
      <c r="E566" s="892"/>
      <c r="F566" s="892">
        <v>1.5</v>
      </c>
    </row>
    <row r="567" spans="1:6">
      <c r="A567" s="892" t="s">
        <v>22</v>
      </c>
      <c r="B567" s="892"/>
      <c r="C567" s="896"/>
      <c r="D567" s="892"/>
      <c r="E567" s="892"/>
      <c r="F567" s="892" t="s">
        <v>534</v>
      </c>
    </row>
    <row r="568" spans="1:6">
      <c r="A568" s="892"/>
      <c r="B568" s="892"/>
      <c r="C568" s="896" t="s">
        <v>2356</v>
      </c>
      <c r="D568" s="892"/>
      <c r="E568" s="892"/>
      <c r="F568" s="892"/>
    </row>
    <row r="569" spans="1:6">
      <c r="A569" s="892"/>
      <c r="B569" s="892"/>
      <c r="C569" s="896" t="s">
        <v>534</v>
      </c>
      <c r="D569" s="892"/>
      <c r="E569" s="892"/>
      <c r="F569" s="892"/>
    </row>
    <row r="570" spans="1:6">
      <c r="A570" s="892">
        <v>1</v>
      </c>
      <c r="B570" s="892" t="s">
        <v>41</v>
      </c>
      <c r="C570" s="896" t="s">
        <v>2357</v>
      </c>
      <c r="D570" s="892">
        <v>98.6</v>
      </c>
      <c r="E570" s="892" t="s">
        <v>41</v>
      </c>
      <c r="F570" s="892">
        <v>98.6</v>
      </c>
    </row>
    <row r="571" spans="1:6">
      <c r="A571" s="892">
        <v>1</v>
      </c>
      <c r="B571" s="892" t="s">
        <v>589</v>
      </c>
      <c r="C571" s="896" t="s">
        <v>2358</v>
      </c>
      <c r="D571" s="892">
        <v>19.72</v>
      </c>
      <c r="E571" s="892" t="s">
        <v>589</v>
      </c>
      <c r="F571" s="892">
        <v>19.72</v>
      </c>
    </row>
    <row r="572" spans="1:6">
      <c r="A572" s="892">
        <v>1</v>
      </c>
      <c r="B572" s="892" t="s">
        <v>41</v>
      </c>
      <c r="C572" s="896" t="s">
        <v>2337</v>
      </c>
      <c r="D572" s="892">
        <v>161.15</v>
      </c>
      <c r="E572" s="892" t="s">
        <v>41</v>
      </c>
      <c r="F572" s="892">
        <v>161.15</v>
      </c>
    </row>
    <row r="573" spans="1:6" ht="30">
      <c r="A573" s="892"/>
      <c r="B573" s="892"/>
      <c r="C573" s="896" t="s">
        <v>2359</v>
      </c>
      <c r="D573" s="892"/>
      <c r="E573" s="892" t="s">
        <v>589</v>
      </c>
      <c r="F573" s="892">
        <v>1.72</v>
      </c>
    </row>
    <row r="574" spans="1:6">
      <c r="A574" s="892"/>
      <c r="B574" s="892"/>
      <c r="C574" s="896"/>
      <c r="D574" s="892"/>
      <c r="E574" s="892"/>
      <c r="F574" s="892" t="s">
        <v>534</v>
      </c>
    </row>
    <row r="575" spans="1:6">
      <c r="A575" s="892"/>
      <c r="B575" s="892"/>
      <c r="C575" s="896" t="s">
        <v>2338</v>
      </c>
      <c r="D575" s="892"/>
      <c r="E575" s="892"/>
      <c r="F575" s="892">
        <v>281.19</v>
      </c>
    </row>
    <row r="576" spans="1:6">
      <c r="A576" s="892"/>
      <c r="B576" s="892"/>
      <c r="C576" s="896"/>
      <c r="D576" s="892"/>
      <c r="E576" s="892"/>
      <c r="F576" s="892" t="s">
        <v>528</v>
      </c>
    </row>
    <row r="577" spans="1:6">
      <c r="A577" s="898">
        <v>53.1</v>
      </c>
      <c r="B577" s="892" t="s">
        <v>307</v>
      </c>
      <c r="C577" s="896" t="s">
        <v>2360</v>
      </c>
      <c r="D577" s="892"/>
      <c r="E577" s="892"/>
      <c r="F577" s="892"/>
    </row>
    <row r="578" spans="1:6">
      <c r="A578" s="892"/>
      <c r="B578" s="892"/>
      <c r="C578" s="896" t="s">
        <v>3409</v>
      </c>
      <c r="D578" s="892"/>
      <c r="E578" s="892"/>
      <c r="F578" s="892"/>
    </row>
    <row r="579" spans="1:6">
      <c r="A579" s="892"/>
      <c r="B579" s="892"/>
      <c r="C579" s="896" t="s">
        <v>2362</v>
      </c>
      <c r="D579" s="892"/>
      <c r="E579" s="892"/>
      <c r="F579" s="892"/>
    </row>
    <row r="580" spans="1:6">
      <c r="A580" s="892"/>
      <c r="B580" s="892"/>
      <c r="C580" s="896" t="s">
        <v>2363</v>
      </c>
      <c r="D580" s="892"/>
      <c r="E580" s="892"/>
      <c r="F580" s="892"/>
    </row>
    <row r="581" spans="1:6">
      <c r="A581" s="892"/>
      <c r="B581" s="892"/>
      <c r="C581" s="896" t="s">
        <v>534</v>
      </c>
      <c r="D581" s="892"/>
      <c r="E581" s="892"/>
      <c r="F581" s="892"/>
    </row>
    <row r="582" spans="1:6" ht="75">
      <c r="A582" s="892">
        <v>1</v>
      </c>
      <c r="B582" s="892" t="s">
        <v>576</v>
      </c>
      <c r="C582" s="896" t="s">
        <v>2364</v>
      </c>
      <c r="D582" s="892">
        <v>1640</v>
      </c>
      <c r="E582" s="892" t="s">
        <v>576</v>
      </c>
      <c r="F582" s="892">
        <v>1640</v>
      </c>
    </row>
    <row r="583" spans="1:6">
      <c r="A583" s="892"/>
      <c r="B583" s="892"/>
      <c r="C583" s="896"/>
      <c r="D583" s="892"/>
      <c r="E583" s="892"/>
      <c r="F583" s="892"/>
    </row>
    <row r="584" spans="1:6">
      <c r="A584" s="892"/>
      <c r="B584" s="892"/>
      <c r="C584" s="896"/>
      <c r="D584" s="892"/>
      <c r="E584" s="892"/>
      <c r="F584" s="892"/>
    </row>
    <row r="585" spans="1:6" ht="30">
      <c r="A585" s="892">
        <v>1</v>
      </c>
      <c r="B585" s="892" t="s">
        <v>576</v>
      </c>
      <c r="C585" s="896" t="s">
        <v>3424</v>
      </c>
      <c r="D585" s="892">
        <v>-166</v>
      </c>
      <c r="E585" s="892" t="s">
        <v>576</v>
      </c>
      <c r="F585" s="892">
        <v>-166</v>
      </c>
    </row>
    <row r="586" spans="1:6">
      <c r="A586" s="892"/>
      <c r="B586" s="892"/>
      <c r="C586" s="896"/>
      <c r="D586" s="892"/>
      <c r="E586" s="892"/>
      <c r="F586" s="892"/>
    </row>
    <row r="587" spans="1:6">
      <c r="A587" s="892">
        <v>1</v>
      </c>
      <c r="B587" s="892" t="s">
        <v>576</v>
      </c>
      <c r="C587" s="896" t="s">
        <v>2366</v>
      </c>
      <c r="D587" s="892">
        <v>250</v>
      </c>
      <c r="E587" s="892" t="s">
        <v>576</v>
      </c>
      <c r="F587" s="892">
        <v>250</v>
      </c>
    </row>
    <row r="588" spans="1:6">
      <c r="A588" s="892"/>
      <c r="B588" s="892"/>
      <c r="C588" s="896"/>
      <c r="D588" s="892"/>
      <c r="E588" s="892"/>
      <c r="F588" s="892"/>
    </row>
    <row r="589" spans="1:6">
      <c r="A589" s="892">
        <v>0.5</v>
      </c>
      <c r="B589" s="892" t="s">
        <v>576</v>
      </c>
      <c r="C589" s="896" t="s">
        <v>2202</v>
      </c>
      <c r="D589" s="892">
        <v>733.7</v>
      </c>
      <c r="E589" s="892" t="s">
        <v>576</v>
      </c>
      <c r="F589" s="892">
        <v>366.85</v>
      </c>
    </row>
    <row r="590" spans="1:6">
      <c r="A590" s="892">
        <v>1</v>
      </c>
      <c r="B590" s="892" t="s">
        <v>576</v>
      </c>
      <c r="C590" s="896" t="s">
        <v>754</v>
      </c>
      <c r="D590" s="892">
        <v>552.20000000000005</v>
      </c>
      <c r="E590" s="892" t="s">
        <v>576</v>
      </c>
      <c r="F590" s="892">
        <v>552.20000000000005</v>
      </c>
    </row>
    <row r="591" spans="1:6">
      <c r="A591" s="892">
        <v>0.5</v>
      </c>
      <c r="B591" s="892" t="s">
        <v>576</v>
      </c>
      <c r="C591" s="896" t="s">
        <v>778</v>
      </c>
      <c r="D591" s="892">
        <v>845.9</v>
      </c>
      <c r="E591" s="892" t="s">
        <v>576</v>
      </c>
      <c r="F591" s="892">
        <v>422.95</v>
      </c>
    </row>
    <row r="592" spans="1:6">
      <c r="A592" s="892"/>
      <c r="B592" s="892" t="s">
        <v>589</v>
      </c>
      <c r="C592" s="896" t="s">
        <v>2367</v>
      </c>
      <c r="D592" s="892"/>
      <c r="E592" s="892" t="s">
        <v>589</v>
      </c>
      <c r="F592" s="892">
        <v>0.82</v>
      </c>
    </row>
    <row r="593" spans="1:6">
      <c r="A593" s="892"/>
      <c r="B593" s="892"/>
      <c r="C593" s="896"/>
      <c r="D593" s="892"/>
      <c r="E593" s="892"/>
      <c r="F593" s="892" t="s">
        <v>534</v>
      </c>
    </row>
    <row r="594" spans="1:6">
      <c r="A594" s="892"/>
      <c r="B594" s="892"/>
      <c r="C594" s="896" t="s">
        <v>1299</v>
      </c>
      <c r="D594" s="892"/>
      <c r="E594" s="892"/>
      <c r="F594" s="892">
        <v>3066.82</v>
      </c>
    </row>
    <row r="595" spans="1:6">
      <c r="A595" s="892"/>
      <c r="B595" s="892"/>
      <c r="C595" s="896"/>
      <c r="D595" s="892"/>
      <c r="E595" s="892"/>
      <c r="F595" s="892" t="s">
        <v>534</v>
      </c>
    </row>
    <row r="596" spans="1:6">
      <c r="A596" s="892" t="s">
        <v>2368</v>
      </c>
      <c r="B596" s="892"/>
      <c r="C596" s="896" t="s">
        <v>2369</v>
      </c>
      <c r="D596" s="892"/>
      <c r="E596" s="892" t="s">
        <v>332</v>
      </c>
      <c r="F596" s="892">
        <v>967.5</v>
      </c>
    </row>
    <row r="597" spans="1:6" ht="30">
      <c r="A597" s="892"/>
      <c r="B597" s="892"/>
      <c r="C597" s="896" t="s">
        <v>2370</v>
      </c>
      <c r="D597" s="892"/>
      <c r="E597" s="892" t="s">
        <v>332</v>
      </c>
      <c r="F597" s="892">
        <v>1828</v>
      </c>
    </row>
    <row r="598" spans="1:6">
      <c r="A598" s="892" t="s">
        <v>2371</v>
      </c>
      <c r="B598" s="892"/>
      <c r="C598" s="896" t="s">
        <v>2372</v>
      </c>
      <c r="D598" s="892"/>
      <c r="E598" s="892" t="s">
        <v>332</v>
      </c>
      <c r="F598" s="892">
        <v>30</v>
      </c>
    </row>
    <row r="599" spans="1:6">
      <c r="A599" s="892"/>
      <c r="B599" s="892"/>
      <c r="C599" s="896"/>
      <c r="D599" s="892"/>
      <c r="E599" s="892"/>
      <c r="F599" s="892"/>
    </row>
    <row r="600" spans="1:6">
      <c r="C600" s="896" t="s">
        <v>2929</v>
      </c>
      <c r="D600" s="892"/>
      <c r="E600" s="892"/>
      <c r="F600" s="892"/>
    </row>
    <row r="601" spans="1:6">
      <c r="C601" s="896" t="s">
        <v>2932</v>
      </c>
      <c r="D601" s="892"/>
      <c r="E601" s="892"/>
      <c r="F601" s="892"/>
    </row>
    <row r="602" spans="1:6">
      <c r="C602" s="896" t="s">
        <v>2934</v>
      </c>
      <c r="D602" s="892"/>
      <c r="E602" s="892"/>
      <c r="F602" s="892"/>
    </row>
    <row r="603" spans="1:6">
      <c r="C603" s="896" t="s">
        <v>2552</v>
      </c>
      <c r="D603" s="892">
        <v>746.9</v>
      </c>
      <c r="E603" s="892" t="s">
        <v>332</v>
      </c>
      <c r="F603" s="892">
        <v>74.69</v>
      </c>
    </row>
    <row r="604" spans="1:6">
      <c r="C604" s="896" t="s">
        <v>1912</v>
      </c>
      <c r="D604" s="892">
        <v>552.20000000000005</v>
      </c>
      <c r="E604" s="892" t="s">
        <v>332</v>
      </c>
      <c r="F604" s="892">
        <v>55.22</v>
      </c>
    </row>
    <row r="605" spans="1:6">
      <c r="C605" s="896" t="s">
        <v>2939</v>
      </c>
      <c r="D605" s="892">
        <v>18</v>
      </c>
      <c r="E605" s="892" t="s">
        <v>2940</v>
      </c>
      <c r="F605" s="892">
        <v>1.8</v>
      </c>
    </row>
    <row r="606" spans="1:6">
      <c r="C606" s="896" t="s">
        <v>2943</v>
      </c>
      <c r="D606" s="892">
        <v>3.5</v>
      </c>
      <c r="E606" s="892" t="s">
        <v>332</v>
      </c>
      <c r="F606" s="892">
        <v>1</v>
      </c>
    </row>
    <row r="607" spans="1:6">
      <c r="C607" s="896"/>
      <c r="D607" s="892" t="s">
        <v>2946</v>
      </c>
      <c r="E607" s="892"/>
      <c r="F607" s="892">
        <v>132.71</v>
      </c>
    </row>
    <row r="608" spans="1:6">
      <c r="C608" s="896"/>
      <c r="D608" s="892"/>
      <c r="E608" s="892"/>
      <c r="F608" s="892"/>
    </row>
    <row r="609" spans="1:6">
      <c r="C609" s="896" t="s">
        <v>2824</v>
      </c>
      <c r="D609" s="892" t="s">
        <v>2948</v>
      </c>
      <c r="E609" s="892" t="s">
        <v>2948</v>
      </c>
      <c r="F609" s="892" t="s">
        <v>2949</v>
      </c>
    </row>
    <row r="610" spans="1:6">
      <c r="C610" s="896"/>
      <c r="D610" s="892">
        <v>331</v>
      </c>
      <c r="E610" s="892">
        <v>331</v>
      </c>
      <c r="F610" s="892">
        <v>283</v>
      </c>
    </row>
    <row r="611" spans="1:6">
      <c r="C611" s="896" t="s">
        <v>2951</v>
      </c>
      <c r="D611" s="892">
        <v>132.71</v>
      </c>
      <c r="E611" s="892">
        <v>132.71</v>
      </c>
      <c r="F611" s="892">
        <v>132.71</v>
      </c>
    </row>
    <row r="612" spans="1:6">
      <c r="C612" s="896" t="s">
        <v>2559</v>
      </c>
      <c r="D612" s="892">
        <v>463.71</v>
      </c>
      <c r="E612" s="892">
        <v>463.71</v>
      </c>
      <c r="F612" s="892">
        <v>415.71</v>
      </c>
    </row>
    <row r="613" spans="1:6">
      <c r="C613" s="896"/>
      <c r="D613" s="892">
        <v>464</v>
      </c>
      <c r="E613" s="892">
        <v>464</v>
      </c>
      <c r="F613" s="892">
        <v>416</v>
      </c>
    </row>
    <row r="614" spans="1:6">
      <c r="A614" s="892"/>
      <c r="B614" s="892"/>
      <c r="C614" s="896" t="s">
        <v>2648</v>
      </c>
      <c r="D614" s="892"/>
      <c r="E614" s="892"/>
      <c r="F614" s="892"/>
    </row>
    <row r="615" spans="1:6" ht="30">
      <c r="A615" s="892">
        <v>1</v>
      </c>
      <c r="B615" s="892" t="s">
        <v>42</v>
      </c>
      <c r="C615" s="896" t="s">
        <v>2651</v>
      </c>
      <c r="D615" s="892">
        <v>922</v>
      </c>
      <c r="E615" s="892" t="s">
        <v>576</v>
      </c>
      <c r="F615" s="892">
        <v>922</v>
      </c>
    </row>
    <row r="616" spans="1:6">
      <c r="A616" s="892">
        <v>0.5</v>
      </c>
      <c r="B616" s="892" t="s">
        <v>42</v>
      </c>
      <c r="C616" s="896" t="s">
        <v>2653</v>
      </c>
      <c r="D616" s="892">
        <v>733.7</v>
      </c>
      <c r="E616" s="892" t="s">
        <v>576</v>
      </c>
      <c r="F616" s="892">
        <v>366.85</v>
      </c>
    </row>
    <row r="617" spans="1:6">
      <c r="A617" s="892">
        <v>0.5</v>
      </c>
      <c r="B617" s="892" t="s">
        <v>42</v>
      </c>
      <c r="C617" s="896" t="s">
        <v>2616</v>
      </c>
      <c r="D617" s="892">
        <v>845.9</v>
      </c>
      <c r="E617" s="892" t="s">
        <v>576</v>
      </c>
      <c r="F617" s="892">
        <v>422.95</v>
      </c>
    </row>
    <row r="618" spans="1:6">
      <c r="A618" s="892">
        <v>0.5</v>
      </c>
      <c r="B618" s="892" t="s">
        <v>250</v>
      </c>
      <c r="C618" s="896" t="s">
        <v>2553</v>
      </c>
      <c r="D618" s="892">
        <v>552.20000000000005</v>
      </c>
      <c r="E618" s="892" t="s">
        <v>576</v>
      </c>
      <c r="F618" s="892">
        <v>276.10000000000002</v>
      </c>
    </row>
    <row r="619" spans="1:6">
      <c r="A619" s="892"/>
      <c r="B619" s="892"/>
      <c r="C619" s="896" t="s">
        <v>2657</v>
      </c>
      <c r="D619" s="892"/>
      <c r="E619" s="892" t="s">
        <v>2658</v>
      </c>
      <c r="F619" s="892">
        <v>0.25</v>
      </c>
    </row>
    <row r="620" spans="1:6">
      <c r="A620" s="892"/>
      <c r="B620" s="892"/>
      <c r="C620" s="896"/>
      <c r="D620" s="892"/>
      <c r="E620" s="892"/>
      <c r="F620" s="892"/>
    </row>
    <row r="621" spans="1:6">
      <c r="A621" s="892"/>
      <c r="B621" s="892"/>
      <c r="C621" s="896"/>
      <c r="D621" s="892"/>
      <c r="E621" s="892"/>
      <c r="F621" s="892" t="s">
        <v>1892</v>
      </c>
    </row>
    <row r="622" spans="1:6">
      <c r="A622" s="892"/>
      <c r="B622" s="892"/>
      <c r="C622" s="896"/>
      <c r="D622" s="892"/>
      <c r="E622" s="892"/>
      <c r="F622" s="892">
        <v>1988.15</v>
      </c>
    </row>
    <row r="624" spans="1:6" ht="30">
      <c r="A624" s="897">
        <v>57</v>
      </c>
      <c r="B624" s="892" t="s">
        <v>307</v>
      </c>
      <c r="C624" s="896" t="s">
        <v>3425</v>
      </c>
      <c r="D624" s="892"/>
      <c r="E624" s="892"/>
      <c r="F624" s="892"/>
    </row>
    <row r="625" spans="1:6">
      <c r="A625" s="892"/>
      <c r="B625" s="892"/>
      <c r="C625" s="896" t="s">
        <v>2396</v>
      </c>
      <c r="D625" s="892"/>
      <c r="E625" s="892"/>
      <c r="F625" s="892"/>
    </row>
    <row r="626" spans="1:6">
      <c r="A626" s="892"/>
      <c r="B626" s="892"/>
      <c r="C626" s="896" t="s">
        <v>2397</v>
      </c>
      <c r="D626" s="892"/>
      <c r="E626" s="892"/>
      <c r="F626" s="892"/>
    </row>
    <row r="627" spans="1:6">
      <c r="A627" s="892"/>
      <c r="B627" s="892"/>
      <c r="C627" s="896" t="s">
        <v>534</v>
      </c>
      <c r="D627" s="892"/>
      <c r="E627" s="892"/>
      <c r="F627" s="892"/>
    </row>
    <row r="628" spans="1:6" ht="75">
      <c r="A628" s="892">
        <v>1</v>
      </c>
      <c r="B628" s="892" t="s">
        <v>1314</v>
      </c>
      <c r="C628" s="896" t="s">
        <v>2398</v>
      </c>
      <c r="D628" s="892">
        <v>3030</v>
      </c>
      <c r="E628" s="892" t="s">
        <v>1314</v>
      </c>
      <c r="F628" s="892">
        <v>3030</v>
      </c>
    </row>
    <row r="629" spans="1:6">
      <c r="A629" s="892"/>
      <c r="B629" s="892"/>
      <c r="C629" s="896" t="s">
        <v>2399</v>
      </c>
      <c r="D629" s="892"/>
      <c r="E629" s="892"/>
      <c r="F629" s="892"/>
    </row>
    <row r="630" spans="1:6">
      <c r="A630" s="892">
        <v>1</v>
      </c>
      <c r="B630" s="892" t="s">
        <v>576</v>
      </c>
      <c r="C630" s="896" t="s">
        <v>778</v>
      </c>
      <c r="D630" s="892">
        <v>845.9</v>
      </c>
      <c r="E630" s="892" t="s">
        <v>576</v>
      </c>
      <c r="F630" s="892">
        <v>845.9</v>
      </c>
    </row>
    <row r="631" spans="1:6">
      <c r="A631" s="892">
        <v>2</v>
      </c>
      <c r="B631" s="892" t="s">
        <v>576</v>
      </c>
      <c r="C631" s="896" t="s">
        <v>2202</v>
      </c>
      <c r="D631" s="892">
        <v>733.7</v>
      </c>
      <c r="E631" s="892" t="s">
        <v>576</v>
      </c>
      <c r="F631" s="892">
        <v>1467.4</v>
      </c>
    </row>
    <row r="632" spans="1:6">
      <c r="A632" s="892">
        <v>1</v>
      </c>
      <c r="B632" s="892" t="s">
        <v>576</v>
      </c>
      <c r="C632" s="896" t="s">
        <v>756</v>
      </c>
      <c r="D632" s="892">
        <v>453.2</v>
      </c>
      <c r="E632" s="892" t="s">
        <v>576</v>
      </c>
      <c r="F632" s="892">
        <v>453.2</v>
      </c>
    </row>
    <row r="633" spans="1:6">
      <c r="A633" s="892"/>
      <c r="B633" s="892"/>
      <c r="C633" s="896" t="s">
        <v>2401</v>
      </c>
      <c r="D633" s="892"/>
      <c r="E633" s="892"/>
      <c r="F633" s="892"/>
    </row>
    <row r="634" spans="1:6">
      <c r="A634" s="892">
        <v>0.5</v>
      </c>
      <c r="B634" s="892" t="s">
        <v>576</v>
      </c>
      <c r="C634" s="896" t="s">
        <v>2202</v>
      </c>
      <c r="D634" s="892">
        <v>733.7</v>
      </c>
      <c r="E634" s="892" t="s">
        <v>576</v>
      </c>
      <c r="F634" s="892">
        <v>366.85</v>
      </c>
    </row>
    <row r="635" spans="1:6">
      <c r="A635" s="892">
        <v>0.5</v>
      </c>
      <c r="B635" s="892" t="s">
        <v>576</v>
      </c>
      <c r="C635" s="896" t="s">
        <v>754</v>
      </c>
      <c r="D635" s="892">
        <v>552.20000000000005</v>
      </c>
      <c r="E635" s="892" t="s">
        <v>576</v>
      </c>
      <c r="F635" s="892">
        <v>276.10000000000002</v>
      </c>
    </row>
    <row r="636" spans="1:6">
      <c r="A636" s="892"/>
      <c r="B636" s="892" t="s">
        <v>589</v>
      </c>
      <c r="C636" s="896" t="s">
        <v>590</v>
      </c>
      <c r="D636" s="892"/>
      <c r="E636" s="892" t="s">
        <v>589</v>
      </c>
      <c r="F636" s="892">
        <v>0.7</v>
      </c>
    </row>
    <row r="637" spans="1:6">
      <c r="A637" s="892"/>
      <c r="B637" s="892"/>
      <c r="C637" s="896"/>
      <c r="D637" s="892"/>
      <c r="E637" s="892"/>
      <c r="F637" s="892" t="s">
        <v>534</v>
      </c>
    </row>
    <row r="638" spans="1:6">
      <c r="A638" s="892"/>
      <c r="B638" s="892"/>
      <c r="C638" s="896" t="s">
        <v>1299</v>
      </c>
      <c r="D638" s="892"/>
      <c r="E638" s="892"/>
      <c r="F638" s="892">
        <v>6440.15</v>
      </c>
    </row>
    <row r="640" spans="1:6">
      <c r="A640" s="892" t="s">
        <v>2403</v>
      </c>
      <c r="B640" s="892" t="s">
        <v>307</v>
      </c>
      <c r="C640" s="896" t="s">
        <v>2404</v>
      </c>
      <c r="D640" s="892"/>
      <c r="E640" s="892"/>
      <c r="F640" s="892"/>
    </row>
    <row r="641" spans="1:6">
      <c r="A641" s="892"/>
      <c r="B641" s="892"/>
      <c r="C641" s="896" t="s">
        <v>2405</v>
      </c>
      <c r="D641" s="892"/>
      <c r="E641" s="892"/>
      <c r="F641" s="892"/>
    </row>
    <row r="642" spans="1:6">
      <c r="A642" s="892"/>
      <c r="B642" s="892"/>
      <c r="C642" s="896" t="s">
        <v>534</v>
      </c>
      <c r="D642" s="892"/>
      <c r="E642" s="892"/>
      <c r="F642" s="892"/>
    </row>
    <row r="643" spans="1:6">
      <c r="A643" s="892"/>
      <c r="B643" s="892" t="s">
        <v>930</v>
      </c>
      <c r="C643" s="896" t="s">
        <v>2406</v>
      </c>
      <c r="D643" s="892"/>
      <c r="E643" s="892"/>
      <c r="F643" s="892"/>
    </row>
    <row r="644" spans="1:6">
      <c r="A644" s="892"/>
      <c r="B644" s="892"/>
      <c r="C644" s="896" t="s">
        <v>3410</v>
      </c>
      <c r="D644" s="892"/>
      <c r="E644" s="892"/>
      <c r="F644" s="892"/>
    </row>
    <row r="645" spans="1:6">
      <c r="A645" s="892"/>
      <c r="B645" s="892"/>
      <c r="C645" s="896" t="s">
        <v>2408</v>
      </c>
      <c r="D645" s="892"/>
      <c r="E645" s="892"/>
      <c r="F645" s="892"/>
    </row>
    <row r="646" spans="1:6">
      <c r="A646" s="892"/>
      <c r="B646" s="892"/>
      <c r="C646" s="896" t="s">
        <v>2409</v>
      </c>
      <c r="D646" s="892"/>
      <c r="E646" s="892"/>
      <c r="F646" s="892"/>
    </row>
    <row r="647" spans="1:6">
      <c r="A647" s="892"/>
      <c r="B647" s="892"/>
      <c r="C647" s="896" t="s">
        <v>2410</v>
      </c>
      <c r="D647" s="892"/>
      <c r="E647" s="892"/>
      <c r="F647" s="892"/>
    </row>
    <row r="648" spans="1:6">
      <c r="A648" s="892"/>
      <c r="B648" s="892"/>
      <c r="C648" s="896" t="s">
        <v>2411</v>
      </c>
      <c r="D648" s="892"/>
      <c r="E648" s="892"/>
      <c r="F648" s="892"/>
    </row>
    <row r="649" spans="1:6">
      <c r="A649" s="892"/>
      <c r="B649" s="892"/>
      <c r="C649" s="896" t="s">
        <v>2412</v>
      </c>
      <c r="D649" s="892"/>
      <c r="E649" s="892"/>
      <c r="F649" s="892"/>
    </row>
    <row r="650" spans="1:6">
      <c r="A650" s="892"/>
      <c r="B650" s="892"/>
      <c r="C650" s="896" t="s">
        <v>534</v>
      </c>
      <c r="D650" s="892"/>
      <c r="E650" s="892"/>
      <c r="F650" s="892"/>
    </row>
    <row r="651" spans="1:6">
      <c r="A651" s="892">
        <v>3</v>
      </c>
      <c r="B651" s="892" t="s">
        <v>410</v>
      </c>
      <c r="C651" s="896" t="s">
        <v>2413</v>
      </c>
      <c r="D651" s="892">
        <v>193.05</v>
      </c>
      <c r="E651" s="892" t="s">
        <v>410</v>
      </c>
      <c r="F651" s="892">
        <v>579.15</v>
      </c>
    </row>
    <row r="652" spans="1:6">
      <c r="A652" s="892">
        <v>1</v>
      </c>
      <c r="B652" s="892" t="s">
        <v>680</v>
      </c>
      <c r="C652" s="896" t="s">
        <v>2414</v>
      </c>
      <c r="D652" s="892">
        <v>76</v>
      </c>
      <c r="E652" s="892" t="s">
        <v>1549</v>
      </c>
      <c r="F652" s="892">
        <v>76</v>
      </c>
    </row>
    <row r="653" spans="1:6">
      <c r="A653" s="892">
        <v>1</v>
      </c>
      <c r="B653" s="892" t="s">
        <v>680</v>
      </c>
      <c r="C653" s="896" t="s">
        <v>2415</v>
      </c>
      <c r="D653" s="892">
        <v>70</v>
      </c>
      <c r="E653" s="892" t="s">
        <v>1549</v>
      </c>
      <c r="F653" s="892">
        <v>70</v>
      </c>
    </row>
    <row r="654" spans="1:6">
      <c r="A654" s="892">
        <v>1</v>
      </c>
      <c r="B654" s="892" t="s">
        <v>680</v>
      </c>
      <c r="C654" s="896" t="s">
        <v>2416</v>
      </c>
      <c r="D654" s="892">
        <v>159.80000000000001</v>
      </c>
      <c r="E654" s="892" t="s">
        <v>1549</v>
      </c>
      <c r="F654" s="892">
        <v>159.80000000000001</v>
      </c>
    </row>
    <row r="655" spans="1:6">
      <c r="A655" s="892">
        <v>0.5</v>
      </c>
      <c r="B655" s="892" t="s">
        <v>576</v>
      </c>
      <c r="C655" s="896" t="s">
        <v>2202</v>
      </c>
      <c r="D655" s="892">
        <v>733.7</v>
      </c>
      <c r="E655" s="892" t="s">
        <v>1549</v>
      </c>
      <c r="F655" s="892">
        <v>366.85</v>
      </c>
    </row>
    <row r="656" spans="1:6">
      <c r="A656" s="892">
        <v>0.5</v>
      </c>
      <c r="B656" s="892" t="s">
        <v>576</v>
      </c>
      <c r="C656" s="896" t="s">
        <v>752</v>
      </c>
      <c r="D656" s="892">
        <v>789.8</v>
      </c>
      <c r="E656" s="892" t="s">
        <v>1549</v>
      </c>
      <c r="F656" s="892">
        <v>394.9</v>
      </c>
    </row>
    <row r="657" spans="1:6">
      <c r="A657" s="892">
        <v>0.5</v>
      </c>
      <c r="B657" s="892" t="s">
        <v>576</v>
      </c>
      <c r="C657" s="896" t="s">
        <v>754</v>
      </c>
      <c r="D657" s="892">
        <v>552.20000000000005</v>
      </c>
      <c r="E657" s="892" t="s">
        <v>1549</v>
      </c>
      <c r="F657" s="892">
        <v>276.10000000000002</v>
      </c>
    </row>
    <row r="658" spans="1:6">
      <c r="A658" s="892"/>
      <c r="B658" s="892" t="s">
        <v>589</v>
      </c>
      <c r="C658" s="896" t="s">
        <v>2417</v>
      </c>
      <c r="D658" s="892">
        <v>2.79</v>
      </c>
      <c r="E658" s="892" t="s">
        <v>589</v>
      </c>
      <c r="F658" s="892">
        <v>2.79</v>
      </c>
    </row>
    <row r="659" spans="1:6">
      <c r="A659" s="892"/>
      <c r="B659" s="892"/>
      <c r="C659" s="896" t="s">
        <v>2418</v>
      </c>
      <c r="D659" s="892"/>
      <c r="E659" s="892"/>
      <c r="F659" s="892"/>
    </row>
    <row r="660" spans="1:6">
      <c r="A660" s="892"/>
      <c r="B660" s="892"/>
      <c r="C660" s="896" t="s">
        <v>2419</v>
      </c>
      <c r="D660" s="892"/>
      <c r="E660" s="892"/>
      <c r="F660" s="892"/>
    </row>
    <row r="661" spans="1:6">
      <c r="A661" s="892"/>
      <c r="B661" s="892"/>
      <c r="C661" s="896" t="s">
        <v>2420</v>
      </c>
      <c r="D661" s="892"/>
      <c r="E661" s="892" t="s">
        <v>589</v>
      </c>
      <c r="F661" s="892">
        <v>0.12</v>
      </c>
    </row>
    <row r="662" spans="1:6">
      <c r="A662" s="892"/>
      <c r="B662" s="892"/>
      <c r="C662" s="896"/>
      <c r="D662" s="892"/>
      <c r="E662" s="892"/>
      <c r="F662" s="892" t="s">
        <v>534</v>
      </c>
    </row>
    <row r="663" spans="1:6">
      <c r="A663" s="892"/>
      <c r="B663" s="892"/>
      <c r="C663" s="896" t="s">
        <v>2206</v>
      </c>
      <c r="D663" s="892"/>
      <c r="E663" s="892"/>
      <c r="F663" s="892">
        <v>1925.71</v>
      </c>
    </row>
    <row r="664" spans="1:6">
      <c r="A664" s="892"/>
      <c r="B664" s="892"/>
      <c r="C664" s="896"/>
      <c r="D664" s="892"/>
      <c r="E664" s="892"/>
      <c r="F664" s="892" t="s">
        <v>534</v>
      </c>
    </row>
    <row r="665" spans="1:6">
      <c r="A665" s="892"/>
      <c r="B665" s="892"/>
      <c r="C665" s="896" t="s">
        <v>1139</v>
      </c>
      <c r="D665" s="892"/>
      <c r="E665" s="892"/>
      <c r="F665" s="892">
        <v>641.9</v>
      </c>
    </row>
    <row r="666" spans="1:6">
      <c r="A666" s="892"/>
      <c r="B666" s="892"/>
      <c r="C666" s="896"/>
      <c r="D666" s="892"/>
      <c r="E666" s="892"/>
      <c r="F666" s="892" t="s">
        <v>534</v>
      </c>
    </row>
    <row r="667" spans="1:6">
      <c r="A667" s="892" t="s">
        <v>2421</v>
      </c>
      <c r="B667" s="892" t="s">
        <v>2422</v>
      </c>
      <c r="C667" s="896" t="s">
        <v>2423</v>
      </c>
      <c r="D667" s="892"/>
      <c r="E667" s="892"/>
      <c r="F667" s="892"/>
    </row>
    <row r="668" spans="1:6">
      <c r="A668" s="892"/>
      <c r="B668" s="892"/>
      <c r="C668" s="896" t="s">
        <v>3411</v>
      </c>
      <c r="D668" s="892"/>
      <c r="E668" s="892"/>
      <c r="F668" s="892"/>
    </row>
    <row r="669" spans="1:6">
      <c r="A669" s="892"/>
      <c r="B669" s="892"/>
      <c r="C669" s="896" t="s">
        <v>2408</v>
      </c>
      <c r="D669" s="892"/>
      <c r="E669" s="892"/>
      <c r="F669" s="892"/>
    </row>
    <row r="670" spans="1:6">
      <c r="A670" s="892"/>
      <c r="B670" s="892"/>
      <c r="C670" s="896" t="s">
        <v>2425</v>
      </c>
      <c r="D670" s="892"/>
      <c r="E670" s="892"/>
      <c r="F670" s="892"/>
    </row>
    <row r="671" spans="1:6">
      <c r="A671" s="892"/>
      <c r="B671" s="892"/>
      <c r="C671" s="896" t="s">
        <v>2426</v>
      </c>
      <c r="D671" s="892"/>
      <c r="E671" s="892"/>
      <c r="F671" s="892"/>
    </row>
    <row r="672" spans="1:6">
      <c r="A672" s="892"/>
      <c r="B672" s="892"/>
      <c r="C672" s="896" t="s">
        <v>2411</v>
      </c>
      <c r="D672" s="892"/>
      <c r="E672" s="892"/>
      <c r="F672" s="892"/>
    </row>
    <row r="673" spans="1:6">
      <c r="A673" s="892"/>
      <c r="B673" s="892"/>
      <c r="C673" s="896" t="s">
        <v>2412</v>
      </c>
      <c r="D673" s="892"/>
      <c r="E673" s="892"/>
      <c r="F673" s="892"/>
    </row>
    <row r="674" spans="1:6">
      <c r="A674" s="892"/>
      <c r="B674" s="892"/>
      <c r="C674" s="896" t="s">
        <v>534</v>
      </c>
      <c r="D674" s="892"/>
      <c r="E674" s="892"/>
      <c r="F674" s="892"/>
    </row>
    <row r="675" spans="1:6">
      <c r="A675" s="892">
        <v>3</v>
      </c>
      <c r="B675" s="892" t="s">
        <v>410</v>
      </c>
      <c r="C675" s="896" t="s">
        <v>2427</v>
      </c>
      <c r="D675" s="892">
        <v>115.85</v>
      </c>
      <c r="E675" s="892" t="s">
        <v>410</v>
      </c>
      <c r="F675" s="892">
        <v>347.55</v>
      </c>
    </row>
    <row r="676" spans="1:6">
      <c r="A676" s="892">
        <v>1</v>
      </c>
      <c r="B676" s="892" t="s">
        <v>680</v>
      </c>
      <c r="C676" s="896" t="s">
        <v>2428</v>
      </c>
      <c r="D676" s="892">
        <v>45</v>
      </c>
      <c r="E676" s="892" t="s">
        <v>1549</v>
      </c>
      <c r="F676" s="892">
        <v>45</v>
      </c>
    </row>
    <row r="677" spans="1:6">
      <c r="A677" s="892">
        <v>1</v>
      </c>
      <c r="B677" s="892" t="s">
        <v>680</v>
      </c>
      <c r="C677" s="896" t="s">
        <v>2429</v>
      </c>
      <c r="D677" s="892">
        <v>47.3</v>
      </c>
      <c r="E677" s="892" t="s">
        <v>1549</v>
      </c>
      <c r="F677" s="892">
        <v>47.3</v>
      </c>
    </row>
    <row r="678" spans="1:6">
      <c r="A678" s="892">
        <v>1</v>
      </c>
      <c r="B678" s="892" t="s">
        <v>680</v>
      </c>
      <c r="C678" s="896" t="s">
        <v>2430</v>
      </c>
      <c r="D678" s="892">
        <v>106.6</v>
      </c>
      <c r="E678" s="892" t="s">
        <v>1549</v>
      </c>
      <c r="F678" s="892">
        <v>106.6</v>
      </c>
    </row>
    <row r="679" spans="1:6">
      <c r="A679" s="892">
        <v>0.5</v>
      </c>
      <c r="B679" s="892" t="s">
        <v>576</v>
      </c>
      <c r="C679" s="896" t="s">
        <v>2202</v>
      </c>
      <c r="D679" s="892">
        <v>733.7</v>
      </c>
      <c r="E679" s="892" t="s">
        <v>1549</v>
      </c>
      <c r="F679" s="892">
        <v>366.85</v>
      </c>
    </row>
    <row r="680" spans="1:6">
      <c r="A680" s="892">
        <v>0.5</v>
      </c>
      <c r="B680" s="892" t="s">
        <v>576</v>
      </c>
      <c r="C680" s="896" t="s">
        <v>752</v>
      </c>
      <c r="D680" s="892">
        <v>789.8</v>
      </c>
      <c r="E680" s="892" t="s">
        <v>1549</v>
      </c>
      <c r="F680" s="892">
        <v>394.9</v>
      </c>
    </row>
    <row r="681" spans="1:6">
      <c r="A681" s="892">
        <v>0.5</v>
      </c>
      <c r="B681" s="892" t="s">
        <v>576</v>
      </c>
      <c r="C681" s="896" t="s">
        <v>754</v>
      </c>
      <c r="D681" s="892">
        <v>552.20000000000005</v>
      </c>
      <c r="E681" s="892" t="s">
        <v>1549</v>
      </c>
      <c r="F681" s="892">
        <v>276.10000000000002</v>
      </c>
    </row>
    <row r="682" spans="1:6">
      <c r="A682" s="892"/>
      <c r="B682" s="892" t="s">
        <v>589</v>
      </c>
      <c r="C682" s="896" t="s">
        <v>2417</v>
      </c>
      <c r="D682" s="892" t="s">
        <v>22</v>
      </c>
      <c r="E682" s="892" t="s">
        <v>589</v>
      </c>
      <c r="F682" s="892">
        <v>2.73</v>
      </c>
    </row>
    <row r="683" spans="1:6">
      <c r="A683" s="892"/>
      <c r="B683" s="892"/>
      <c r="C683" s="896" t="s">
        <v>2418</v>
      </c>
      <c r="D683" s="892"/>
      <c r="E683" s="892"/>
      <c r="F683" s="892"/>
    </row>
    <row r="684" spans="1:6">
      <c r="A684" s="892"/>
      <c r="B684" s="892"/>
      <c r="C684" s="896" t="s">
        <v>2419</v>
      </c>
      <c r="D684" s="892"/>
      <c r="E684" s="892"/>
      <c r="F684" s="892"/>
    </row>
    <row r="685" spans="1:6">
      <c r="A685" s="892"/>
      <c r="B685" s="892"/>
      <c r="C685" s="896" t="s">
        <v>2420</v>
      </c>
      <c r="D685" s="892"/>
      <c r="E685" s="892" t="s">
        <v>589</v>
      </c>
      <c r="F685" s="892">
        <v>0.27</v>
      </c>
    </row>
    <row r="686" spans="1:6">
      <c r="A686" s="892"/>
      <c r="B686" s="892"/>
      <c r="C686" s="896"/>
      <c r="D686" s="892"/>
      <c r="E686" s="892"/>
      <c r="F686" s="892" t="s">
        <v>534</v>
      </c>
    </row>
    <row r="687" spans="1:6">
      <c r="A687" s="892"/>
      <c r="B687" s="892"/>
      <c r="C687" s="896" t="s">
        <v>2206</v>
      </c>
      <c r="D687" s="892"/>
      <c r="E687" s="892"/>
      <c r="F687" s="892">
        <v>1587.3</v>
      </c>
    </row>
    <row r="688" spans="1:6">
      <c r="A688" s="892"/>
      <c r="B688" s="892"/>
      <c r="C688" s="896"/>
      <c r="D688" s="892"/>
      <c r="E688" s="892"/>
      <c r="F688" s="892" t="s">
        <v>534</v>
      </c>
    </row>
    <row r="689" spans="1:6">
      <c r="A689" s="892"/>
      <c r="B689" s="892"/>
      <c r="C689" s="896" t="s">
        <v>1139</v>
      </c>
      <c r="D689" s="892"/>
      <c r="E689" s="892"/>
      <c r="F689" s="892">
        <v>529.1</v>
      </c>
    </row>
    <row r="691" spans="1:6">
      <c r="A691" s="892" t="s">
        <v>2440</v>
      </c>
      <c r="B691" s="892" t="s">
        <v>307</v>
      </c>
      <c r="C691" s="896" t="s">
        <v>2441</v>
      </c>
      <c r="D691" s="892"/>
      <c r="E691" s="892"/>
      <c r="F691" s="892"/>
    </row>
    <row r="692" spans="1:6">
      <c r="A692" s="892"/>
      <c r="B692" s="892"/>
      <c r="C692" s="896" t="s">
        <v>2442</v>
      </c>
      <c r="D692" s="892"/>
      <c r="E692" s="892"/>
      <c r="F692" s="892"/>
    </row>
    <row r="693" spans="1:6">
      <c r="A693" s="892"/>
      <c r="B693" s="892"/>
      <c r="C693" s="896" t="s">
        <v>534</v>
      </c>
      <c r="D693" s="892"/>
      <c r="E693" s="892"/>
      <c r="F693" s="892"/>
    </row>
    <row r="694" spans="1:6">
      <c r="A694" s="892">
        <v>1</v>
      </c>
      <c r="B694" s="892" t="s">
        <v>576</v>
      </c>
      <c r="C694" s="896" t="s">
        <v>2442</v>
      </c>
      <c r="D694" s="892">
        <v>167.1</v>
      </c>
      <c r="E694" s="892" t="s">
        <v>576</v>
      </c>
      <c r="F694" s="892">
        <v>167.1</v>
      </c>
    </row>
    <row r="695" spans="1:6">
      <c r="A695" s="892">
        <v>0.05</v>
      </c>
      <c r="B695" s="892" t="s">
        <v>577</v>
      </c>
      <c r="C695" s="896" t="s">
        <v>2443</v>
      </c>
      <c r="D695" s="892">
        <v>3662.92</v>
      </c>
      <c r="E695" s="892" t="s">
        <v>577</v>
      </c>
      <c r="F695" s="892">
        <v>183.15</v>
      </c>
    </row>
    <row r="696" spans="1:6">
      <c r="A696" s="892">
        <v>0.5</v>
      </c>
      <c r="B696" s="892" t="s">
        <v>576</v>
      </c>
      <c r="C696" s="896" t="s">
        <v>2202</v>
      </c>
      <c r="D696" s="892">
        <v>733.7</v>
      </c>
      <c r="E696" s="892" t="s">
        <v>576</v>
      </c>
      <c r="F696" s="892">
        <v>366.85</v>
      </c>
    </row>
    <row r="697" spans="1:6">
      <c r="A697" s="892">
        <v>1</v>
      </c>
      <c r="B697" s="892" t="s">
        <v>576</v>
      </c>
      <c r="C697" s="896" t="s">
        <v>754</v>
      </c>
      <c r="D697" s="892">
        <v>552.20000000000005</v>
      </c>
      <c r="E697" s="892" t="s">
        <v>576</v>
      </c>
      <c r="F697" s="892">
        <v>552.20000000000005</v>
      </c>
    </row>
    <row r="698" spans="1:6">
      <c r="A698" s="892">
        <v>1</v>
      </c>
      <c r="B698" s="892" t="s">
        <v>576</v>
      </c>
      <c r="C698" s="896" t="s">
        <v>756</v>
      </c>
      <c r="D698" s="892">
        <v>453.2</v>
      </c>
      <c r="E698" s="892" t="s">
        <v>576</v>
      </c>
      <c r="F698" s="892">
        <v>453.2</v>
      </c>
    </row>
    <row r="699" spans="1:6">
      <c r="A699" s="892"/>
      <c r="B699" s="892" t="s">
        <v>589</v>
      </c>
      <c r="C699" s="896" t="s">
        <v>590</v>
      </c>
      <c r="D699" s="892" t="s">
        <v>22</v>
      </c>
      <c r="E699" s="892" t="s">
        <v>589</v>
      </c>
      <c r="F699" s="892">
        <v>0.54</v>
      </c>
    </row>
    <row r="700" spans="1:6">
      <c r="A700" s="892"/>
      <c r="B700" s="892"/>
      <c r="C700" s="896" t="s">
        <v>22</v>
      </c>
      <c r="D700" s="892"/>
      <c r="E700" s="892"/>
      <c r="F700" s="892" t="s">
        <v>534</v>
      </c>
    </row>
    <row r="701" spans="1:6">
      <c r="A701" s="892"/>
      <c r="B701" s="892"/>
      <c r="C701" s="896" t="s">
        <v>1299</v>
      </c>
      <c r="D701" s="892"/>
      <c r="E701" s="892"/>
      <c r="F701" s="892">
        <v>1723.04</v>
      </c>
    </row>
    <row r="702" spans="1:6">
      <c r="A702" s="892"/>
      <c r="B702" s="892"/>
      <c r="C702" s="896"/>
      <c r="D702" s="892"/>
      <c r="E702" s="892"/>
      <c r="F702" s="892" t="s">
        <v>528</v>
      </c>
    </row>
    <row r="703" spans="1:6">
      <c r="A703" s="892" t="s">
        <v>2444</v>
      </c>
      <c r="B703" s="892" t="s">
        <v>307</v>
      </c>
      <c r="C703" s="896" t="s">
        <v>2445</v>
      </c>
      <c r="D703" s="892"/>
      <c r="E703" s="892"/>
      <c r="F703" s="892"/>
    </row>
    <row r="704" spans="1:6">
      <c r="A704" s="892"/>
      <c r="B704" s="892"/>
      <c r="C704" s="896" t="s">
        <v>2446</v>
      </c>
      <c r="D704" s="892"/>
      <c r="E704" s="892"/>
      <c r="F704" s="892"/>
    </row>
    <row r="705" spans="1:6">
      <c r="A705" s="892"/>
      <c r="B705" s="892"/>
      <c r="C705" s="896" t="s">
        <v>534</v>
      </c>
      <c r="D705" s="892"/>
      <c r="E705" s="892"/>
      <c r="F705" s="892"/>
    </row>
    <row r="706" spans="1:6">
      <c r="A706" s="892">
        <v>1</v>
      </c>
      <c r="B706" s="892" t="s">
        <v>576</v>
      </c>
      <c r="C706" s="896" t="s">
        <v>2447</v>
      </c>
      <c r="D706" s="892">
        <v>132.69999999999999</v>
      </c>
      <c r="E706" s="892" t="s">
        <v>576</v>
      </c>
      <c r="F706" s="892">
        <v>132.69999999999999</v>
      </c>
    </row>
    <row r="707" spans="1:6">
      <c r="A707" s="892"/>
      <c r="B707" s="892" t="s">
        <v>589</v>
      </c>
      <c r="C707" s="896" t="s">
        <v>2448</v>
      </c>
      <c r="D707" s="892"/>
      <c r="E707" s="892" t="s">
        <v>589</v>
      </c>
      <c r="F707" s="892">
        <v>4</v>
      </c>
    </row>
    <row r="708" spans="1:6">
      <c r="A708" s="892"/>
      <c r="B708" s="892"/>
      <c r="C708" s="896"/>
      <c r="D708" s="892"/>
      <c r="E708" s="892" t="s">
        <v>22</v>
      </c>
      <c r="F708" s="892" t="s">
        <v>534</v>
      </c>
    </row>
    <row r="709" spans="1:6">
      <c r="A709" s="892"/>
      <c r="B709" s="892"/>
      <c r="C709" s="896" t="s">
        <v>1299</v>
      </c>
      <c r="D709" s="892"/>
      <c r="E709" s="892"/>
      <c r="F709" s="892">
        <v>136.69999999999999</v>
      </c>
    </row>
    <row r="710" spans="1:6">
      <c r="A710" s="892"/>
      <c r="B710" s="892"/>
      <c r="C710" s="896"/>
      <c r="D710" s="892"/>
      <c r="E710" s="892"/>
      <c r="F710" s="892" t="s">
        <v>534</v>
      </c>
    </row>
    <row r="711" spans="1:6" ht="30">
      <c r="A711" s="892" t="s">
        <v>2486</v>
      </c>
      <c r="B711" s="892" t="s">
        <v>307</v>
      </c>
      <c r="C711" s="896" t="s">
        <v>2487</v>
      </c>
      <c r="D711" s="892"/>
      <c r="E711" s="892"/>
      <c r="F711" s="892"/>
    </row>
    <row r="712" spans="1:6" ht="30">
      <c r="A712" s="892"/>
      <c r="B712" s="892"/>
      <c r="C712" s="896" t="s">
        <v>2488</v>
      </c>
      <c r="D712" s="892"/>
      <c r="E712" s="892"/>
      <c r="F712" s="892"/>
    </row>
    <row r="713" spans="1:6" ht="30">
      <c r="A713" s="892"/>
      <c r="B713" s="892"/>
      <c r="C713" s="896" t="s">
        <v>2489</v>
      </c>
      <c r="D713" s="892"/>
      <c r="E713" s="892"/>
      <c r="F713" s="892"/>
    </row>
    <row r="714" spans="1:6" ht="30">
      <c r="A714" s="892"/>
      <c r="B714" s="892"/>
      <c r="C714" s="896" t="s">
        <v>2490</v>
      </c>
      <c r="D714" s="892"/>
      <c r="E714" s="892"/>
      <c r="F714" s="892"/>
    </row>
    <row r="715" spans="1:6" ht="30">
      <c r="A715" s="892"/>
      <c r="B715" s="892"/>
      <c r="C715" s="896" t="s">
        <v>2491</v>
      </c>
      <c r="D715" s="892"/>
      <c r="E715" s="892"/>
      <c r="F715" s="892"/>
    </row>
    <row r="716" spans="1:6">
      <c r="A716" s="892"/>
      <c r="B716" s="892"/>
      <c r="C716" s="896" t="s">
        <v>2492</v>
      </c>
      <c r="D716" s="892"/>
      <c r="E716" s="892"/>
      <c r="F716" s="892"/>
    </row>
    <row r="717" spans="1:6">
      <c r="A717" s="892"/>
      <c r="B717" s="892"/>
      <c r="C717" s="896" t="s">
        <v>2493</v>
      </c>
      <c r="D717" s="892"/>
      <c r="E717" s="892"/>
      <c r="F717" s="892"/>
    </row>
    <row r="718" spans="1:6" ht="30">
      <c r="A718" s="892"/>
      <c r="B718" s="892"/>
      <c r="C718" s="896" t="s">
        <v>2494</v>
      </c>
      <c r="D718" s="892"/>
      <c r="E718" s="892"/>
      <c r="F718" s="892"/>
    </row>
    <row r="719" spans="1:6">
      <c r="A719" s="892"/>
      <c r="B719" s="892"/>
      <c r="C719" s="896" t="s">
        <v>2495</v>
      </c>
      <c r="D719" s="892"/>
      <c r="E719" s="892"/>
      <c r="F719" s="892"/>
    </row>
    <row r="720" spans="1:6" ht="30">
      <c r="A720" s="892"/>
      <c r="B720" s="892"/>
      <c r="C720" s="896" t="s">
        <v>2496</v>
      </c>
      <c r="D720" s="892"/>
      <c r="E720" s="892"/>
      <c r="F720" s="892"/>
    </row>
    <row r="721" spans="1:6">
      <c r="A721" s="892"/>
      <c r="B721" s="892"/>
      <c r="C721" s="896" t="s">
        <v>2497</v>
      </c>
      <c r="D721" s="892"/>
      <c r="E721" s="892"/>
      <c r="F721" s="892"/>
    </row>
    <row r="722" spans="1:6">
      <c r="A722" s="892"/>
      <c r="B722" s="892"/>
      <c r="C722" s="896" t="s">
        <v>2498</v>
      </c>
      <c r="D722" s="892"/>
      <c r="E722" s="892"/>
      <c r="F722" s="892"/>
    </row>
    <row r="723" spans="1:6">
      <c r="A723" s="892"/>
      <c r="B723" s="892"/>
      <c r="C723" s="896" t="s">
        <v>534</v>
      </c>
      <c r="D723" s="892" t="s">
        <v>534</v>
      </c>
      <c r="E723" s="892"/>
      <c r="F723" s="892"/>
    </row>
    <row r="724" spans="1:6">
      <c r="A724" s="892" t="s">
        <v>22</v>
      </c>
      <c r="B724" s="892"/>
      <c r="C724" s="896"/>
      <c r="D724" s="892"/>
      <c r="E724" s="892"/>
      <c r="F724" s="892"/>
    </row>
    <row r="725" spans="1:6">
      <c r="A725" s="901">
        <v>1.7399999999999999E-2</v>
      </c>
      <c r="B725" s="892" t="s">
        <v>238</v>
      </c>
      <c r="C725" s="896" t="s">
        <v>2499</v>
      </c>
      <c r="D725" s="892">
        <v>34300</v>
      </c>
      <c r="E725" s="892" t="s">
        <v>238</v>
      </c>
      <c r="F725" s="892">
        <v>596.82000000000005</v>
      </c>
    </row>
    <row r="726" spans="1:6">
      <c r="A726" s="901">
        <v>2.93E-2</v>
      </c>
      <c r="B726" s="892" t="s">
        <v>238</v>
      </c>
      <c r="C726" s="896" t="s">
        <v>2500</v>
      </c>
      <c r="D726" s="892">
        <v>39400</v>
      </c>
      <c r="E726" s="892" t="s">
        <v>238</v>
      </c>
      <c r="F726" s="892">
        <v>1154.42</v>
      </c>
    </row>
    <row r="727" spans="1:6">
      <c r="A727" s="901">
        <v>1.093</v>
      </c>
      <c r="B727" s="892" t="s">
        <v>250</v>
      </c>
      <c r="C727" s="896" t="s">
        <v>2501</v>
      </c>
      <c r="D727" s="892">
        <v>295</v>
      </c>
      <c r="E727" s="892" t="s">
        <v>250</v>
      </c>
      <c r="F727" s="892">
        <v>322.44</v>
      </c>
    </row>
    <row r="728" spans="1:6">
      <c r="A728" s="892">
        <v>6</v>
      </c>
      <c r="B728" s="892" t="s">
        <v>1261</v>
      </c>
      <c r="C728" s="896" t="s">
        <v>2502</v>
      </c>
      <c r="D728" s="892">
        <v>7</v>
      </c>
      <c r="E728" s="892" t="s">
        <v>332</v>
      </c>
      <c r="F728" s="892">
        <v>42</v>
      </c>
    </row>
    <row r="729" spans="1:6">
      <c r="A729" s="892">
        <v>1</v>
      </c>
      <c r="B729" s="892" t="s">
        <v>1261</v>
      </c>
      <c r="C729" s="896" t="s">
        <v>2503</v>
      </c>
      <c r="D729" s="892">
        <v>89.7</v>
      </c>
      <c r="E729" s="892" t="s">
        <v>332</v>
      </c>
      <c r="F729" s="892">
        <v>89.7</v>
      </c>
    </row>
    <row r="730" spans="1:6">
      <c r="A730" s="892">
        <v>2</v>
      </c>
      <c r="B730" s="892" t="s">
        <v>1261</v>
      </c>
      <c r="C730" s="896" t="s">
        <v>2504</v>
      </c>
      <c r="D730" s="892">
        <v>3</v>
      </c>
      <c r="E730" s="892" t="s">
        <v>332</v>
      </c>
      <c r="F730" s="892">
        <v>6</v>
      </c>
    </row>
    <row r="731" spans="1:6">
      <c r="A731" s="892">
        <v>6</v>
      </c>
      <c r="B731" s="892" t="s">
        <v>1261</v>
      </c>
      <c r="C731" s="896" t="s">
        <v>2505</v>
      </c>
      <c r="D731" s="892">
        <v>10.5</v>
      </c>
      <c r="E731" s="892" t="s">
        <v>332</v>
      </c>
      <c r="F731" s="892">
        <v>63</v>
      </c>
    </row>
    <row r="732" spans="1:6">
      <c r="A732" s="899">
        <v>1.62</v>
      </c>
      <c r="B732" s="892" t="s">
        <v>250</v>
      </c>
      <c r="C732" s="896" t="s">
        <v>2506</v>
      </c>
      <c r="D732" s="892">
        <v>885.5</v>
      </c>
      <c r="E732" s="892" t="s">
        <v>250</v>
      </c>
      <c r="F732" s="892">
        <v>1434.51</v>
      </c>
    </row>
    <row r="733" spans="1:6">
      <c r="A733" s="892"/>
      <c r="B733" s="892" t="s">
        <v>589</v>
      </c>
      <c r="C733" s="896" t="s">
        <v>2507</v>
      </c>
      <c r="D733" s="892"/>
      <c r="E733" s="892" t="s">
        <v>589</v>
      </c>
      <c r="F733" s="892">
        <v>4.2699999999999996</v>
      </c>
    </row>
    <row r="734" spans="1:6">
      <c r="A734" s="892"/>
      <c r="B734" s="892"/>
      <c r="C734" s="896"/>
      <c r="D734" s="892"/>
      <c r="E734" s="892"/>
      <c r="F734" s="892" t="s">
        <v>534</v>
      </c>
    </row>
    <row r="735" spans="1:6">
      <c r="A735" s="892"/>
      <c r="B735" s="892"/>
      <c r="C735" s="896" t="s">
        <v>2508</v>
      </c>
      <c r="D735" s="892"/>
      <c r="E735" s="892"/>
      <c r="F735" s="892">
        <v>3713.16</v>
      </c>
    </row>
    <row r="736" spans="1:6">
      <c r="A736" s="892"/>
      <c r="B736" s="892"/>
      <c r="C736" s="896"/>
      <c r="D736" s="892"/>
      <c r="E736" s="892"/>
      <c r="F736" s="892" t="s">
        <v>534</v>
      </c>
    </row>
    <row r="737" spans="1:6">
      <c r="A737" s="892"/>
      <c r="B737" s="892"/>
      <c r="C737" s="896"/>
      <c r="D737" s="892"/>
      <c r="E737" s="892"/>
      <c r="F737" s="892"/>
    </row>
    <row r="738" spans="1:6">
      <c r="A738" s="892"/>
      <c r="B738" s="892"/>
      <c r="C738" s="896" t="s">
        <v>2509</v>
      </c>
      <c r="D738" s="892" t="s">
        <v>22</v>
      </c>
      <c r="E738" s="892"/>
      <c r="F738" s="892">
        <v>2292.0700000000002</v>
      </c>
    </row>
    <row r="740" spans="1:6" ht="30">
      <c r="A740" s="892"/>
      <c r="B740" s="892" t="s">
        <v>898</v>
      </c>
      <c r="C740" s="896" t="s">
        <v>1576</v>
      </c>
      <c r="D740" s="892"/>
      <c r="E740" s="892"/>
      <c r="F740" s="892"/>
    </row>
    <row r="741" spans="1:6" ht="30">
      <c r="A741" s="892"/>
      <c r="B741" s="892"/>
      <c r="C741" s="896" t="s">
        <v>2510</v>
      </c>
      <c r="D741" s="892"/>
      <c r="E741" s="892"/>
      <c r="F741" s="892"/>
    </row>
    <row r="742" spans="1:6" ht="30">
      <c r="A742" s="892" t="s">
        <v>22</v>
      </c>
      <c r="B742" s="892"/>
      <c r="C742" s="896" t="s">
        <v>2511</v>
      </c>
      <c r="D742" s="892"/>
      <c r="E742" s="892"/>
      <c r="F742" s="892"/>
    </row>
    <row r="743" spans="1:6">
      <c r="A743" s="892" t="s">
        <v>2512</v>
      </c>
      <c r="B743" s="892"/>
      <c r="C743" s="896" t="s">
        <v>1580</v>
      </c>
      <c r="D743" s="892"/>
      <c r="E743" s="892"/>
      <c r="F743" s="892">
        <v>1340</v>
      </c>
    </row>
    <row r="744" spans="1:6" ht="30">
      <c r="A744" s="892" t="s">
        <v>2513</v>
      </c>
      <c r="B744" s="892"/>
      <c r="C744" s="896" t="s">
        <v>1584</v>
      </c>
      <c r="D744" s="892"/>
      <c r="E744" s="892"/>
      <c r="F744" s="892">
        <v>1344</v>
      </c>
    </row>
    <row r="745" spans="1:6">
      <c r="A745" s="892" t="s">
        <v>2514</v>
      </c>
      <c r="B745" s="892"/>
      <c r="C745" s="896" t="s">
        <v>1647</v>
      </c>
      <c r="D745" s="892"/>
      <c r="E745" s="892"/>
      <c r="F745" s="892">
        <v>1372</v>
      </c>
    </row>
    <row r="746" spans="1:6">
      <c r="A746" s="897">
        <v>65</v>
      </c>
      <c r="B746" s="892"/>
      <c r="C746" s="896" t="s">
        <v>1586</v>
      </c>
      <c r="D746" s="892"/>
      <c r="E746" s="892"/>
      <c r="F746" s="892">
        <v>1399</v>
      </c>
    </row>
    <row r="747" spans="1:6">
      <c r="A747" s="897">
        <v>66</v>
      </c>
      <c r="B747" s="892"/>
      <c r="C747" s="896" t="s">
        <v>1593</v>
      </c>
      <c r="D747" s="892"/>
      <c r="E747" s="892"/>
      <c r="F747" s="892">
        <v>2507</v>
      </c>
    </row>
    <row r="748" spans="1:6" ht="30">
      <c r="A748" s="897">
        <v>67</v>
      </c>
      <c r="B748" s="892"/>
      <c r="C748" s="896" t="s">
        <v>1589</v>
      </c>
      <c r="D748" s="892"/>
      <c r="E748" s="892"/>
      <c r="F748" s="892">
        <v>688</v>
      </c>
    </row>
    <row r="749" spans="1:6" ht="30">
      <c r="A749" s="897">
        <v>68</v>
      </c>
      <c r="B749" s="892"/>
      <c r="C749" s="896" t="s">
        <v>1591</v>
      </c>
      <c r="D749" s="892"/>
      <c r="E749" s="892"/>
      <c r="F749" s="892">
        <v>934</v>
      </c>
    </row>
    <row r="750" spans="1:6">
      <c r="A750" s="897">
        <v>69</v>
      </c>
      <c r="B750" s="892"/>
      <c r="C750" s="896" t="s">
        <v>2515</v>
      </c>
      <c r="D750" s="892"/>
      <c r="E750" s="892"/>
      <c r="F750" s="892">
        <v>129</v>
      </c>
    </row>
    <row r="751" spans="1:6">
      <c r="A751" s="897" t="s">
        <v>2516</v>
      </c>
      <c r="B751" s="892"/>
      <c r="C751" s="896" t="s">
        <v>1656</v>
      </c>
      <c r="D751" s="892"/>
      <c r="E751" s="892"/>
      <c r="F751" s="892">
        <v>462</v>
      </c>
    </row>
    <row r="752" spans="1:6" ht="30">
      <c r="A752" s="897" t="s">
        <v>2517</v>
      </c>
      <c r="B752" s="892"/>
      <c r="C752" s="896" t="s">
        <v>2518</v>
      </c>
      <c r="D752" s="892"/>
      <c r="E752" s="892"/>
      <c r="F752" s="892"/>
    </row>
    <row r="753" spans="1:6">
      <c r="A753" s="897" t="s">
        <v>2519</v>
      </c>
      <c r="B753" s="892"/>
      <c r="C753" s="896" t="s">
        <v>2520</v>
      </c>
      <c r="D753" s="892"/>
      <c r="E753" s="892"/>
      <c r="F753" s="892">
        <v>12</v>
      </c>
    </row>
    <row r="754" spans="1:6">
      <c r="A754" s="897" t="s">
        <v>2521</v>
      </c>
      <c r="B754" s="892"/>
      <c r="C754" s="896" t="s">
        <v>2522</v>
      </c>
      <c r="D754" s="892"/>
      <c r="E754" s="892"/>
      <c r="F754" s="892">
        <v>10</v>
      </c>
    </row>
    <row r="755" spans="1:6">
      <c r="A755" s="897">
        <v>71</v>
      </c>
      <c r="B755" s="892"/>
      <c r="C755" s="896" t="s">
        <v>1657</v>
      </c>
      <c r="D755" s="892"/>
      <c r="E755" s="892"/>
      <c r="F755" s="892">
        <v>562</v>
      </c>
    </row>
    <row r="756" spans="1:6">
      <c r="A756" s="897">
        <v>72</v>
      </c>
      <c r="B756" s="892"/>
      <c r="C756" s="896" t="s">
        <v>2523</v>
      </c>
      <c r="D756" s="892"/>
      <c r="E756" s="892"/>
      <c r="F756" s="892">
        <v>33.9</v>
      </c>
    </row>
    <row r="757" spans="1:6">
      <c r="A757" s="897" t="s">
        <v>2524</v>
      </c>
      <c r="B757" s="892"/>
      <c r="C757" s="896" t="s">
        <v>1660</v>
      </c>
      <c r="D757" s="892"/>
      <c r="E757" s="892"/>
      <c r="F757" s="892">
        <v>4020</v>
      </c>
    </row>
    <row r="758" spans="1:6">
      <c r="A758" s="897" t="s">
        <v>2525</v>
      </c>
      <c r="B758" s="892"/>
      <c r="C758" s="896" t="s">
        <v>2526</v>
      </c>
      <c r="D758" s="892"/>
      <c r="E758" s="892"/>
      <c r="F758" s="892">
        <v>3250</v>
      </c>
    </row>
    <row r="759" spans="1:6">
      <c r="A759" s="897">
        <v>74</v>
      </c>
      <c r="B759" s="892"/>
      <c r="C759" s="896" t="s">
        <v>1661</v>
      </c>
      <c r="D759" s="892"/>
      <c r="E759" s="892"/>
      <c r="F759" s="892">
        <v>467</v>
      </c>
    </row>
    <row r="760" spans="1:6" ht="30">
      <c r="A760" s="897" t="s">
        <v>2527</v>
      </c>
      <c r="B760" s="892"/>
      <c r="C760" s="896" t="s">
        <v>2528</v>
      </c>
      <c r="D760" s="892"/>
      <c r="E760" s="892"/>
      <c r="F760" s="892">
        <v>1185</v>
      </c>
    </row>
    <row r="761" spans="1:6">
      <c r="A761" s="897" t="s">
        <v>2529</v>
      </c>
      <c r="B761" s="892"/>
      <c r="C761" s="896" t="s">
        <v>1664</v>
      </c>
      <c r="D761" s="892"/>
      <c r="E761" s="892"/>
      <c r="F761" s="892"/>
    </row>
    <row r="762" spans="1:6" ht="30">
      <c r="A762" s="897">
        <v>112</v>
      </c>
      <c r="B762" s="892"/>
      <c r="C762" s="896" t="s">
        <v>2530</v>
      </c>
      <c r="D762" s="892"/>
      <c r="E762" s="892"/>
      <c r="F762" s="892">
        <v>1920</v>
      </c>
    </row>
    <row r="763" spans="1:6">
      <c r="A763" s="897">
        <v>76</v>
      </c>
      <c r="B763" s="892"/>
      <c r="C763" s="896" t="s">
        <v>1666</v>
      </c>
      <c r="D763" s="892"/>
      <c r="E763" s="892"/>
      <c r="F763" s="892">
        <v>0</v>
      </c>
    </row>
    <row r="764" spans="1:6">
      <c r="A764" s="897">
        <v>77</v>
      </c>
      <c r="B764" s="892"/>
      <c r="C764" s="896" t="s">
        <v>2531</v>
      </c>
      <c r="D764" s="892"/>
      <c r="E764" s="892"/>
      <c r="F764" s="892">
        <v>172</v>
      </c>
    </row>
    <row r="765" spans="1:6" ht="45">
      <c r="A765" s="898">
        <v>77.099999999999994</v>
      </c>
      <c r="B765" s="892"/>
      <c r="C765" s="896" t="s">
        <v>2532</v>
      </c>
      <c r="D765" s="892"/>
      <c r="E765" s="892"/>
      <c r="F765" s="892">
        <v>219</v>
      </c>
    </row>
    <row r="766" spans="1:6">
      <c r="A766" s="898">
        <v>77.2</v>
      </c>
      <c r="B766" s="892"/>
      <c r="C766" s="896" t="s">
        <v>2533</v>
      </c>
      <c r="D766" s="892"/>
      <c r="E766" s="892"/>
      <c r="F766" s="892">
        <v>500</v>
      </c>
    </row>
    <row r="767" spans="1:6" ht="30">
      <c r="A767" s="898">
        <v>77.3</v>
      </c>
      <c r="B767" s="892"/>
      <c r="C767" s="896" t="s">
        <v>2534</v>
      </c>
      <c r="D767" s="892"/>
      <c r="E767" s="892"/>
      <c r="F767" s="892">
        <v>80</v>
      </c>
    </row>
    <row r="768" spans="1:6">
      <c r="A768" s="897">
        <v>78</v>
      </c>
      <c r="B768" s="892"/>
      <c r="C768" s="896" t="s">
        <v>1672</v>
      </c>
      <c r="D768" s="892"/>
      <c r="E768" s="892"/>
      <c r="F768" s="892">
        <v>2355</v>
      </c>
    </row>
    <row r="769" spans="1:6" ht="30">
      <c r="A769" s="897">
        <v>80</v>
      </c>
      <c r="B769" s="892"/>
      <c r="C769" s="896" t="s">
        <v>1679</v>
      </c>
      <c r="D769" s="892"/>
      <c r="E769" s="892"/>
      <c r="F769" s="892">
        <v>718</v>
      </c>
    </row>
    <row r="770" spans="1:6">
      <c r="A770" s="897">
        <v>81</v>
      </c>
      <c r="B770" s="892"/>
      <c r="C770" s="896" t="s">
        <v>1682</v>
      </c>
      <c r="D770" s="892"/>
      <c r="E770" s="892"/>
      <c r="F770" s="892">
        <v>2292.0700000000002</v>
      </c>
    </row>
    <row r="771" spans="1:6">
      <c r="A771" s="897">
        <v>82</v>
      </c>
      <c r="B771" s="892"/>
      <c r="C771" s="896" t="s">
        <v>1684</v>
      </c>
      <c r="D771" s="892"/>
      <c r="E771" s="892"/>
      <c r="F771" s="892">
        <v>2579</v>
      </c>
    </row>
    <row r="772" spans="1:6">
      <c r="A772" s="897">
        <v>87</v>
      </c>
      <c r="B772" s="892"/>
      <c r="C772" s="896" t="s">
        <v>1687</v>
      </c>
      <c r="D772" s="892"/>
      <c r="E772" s="892"/>
      <c r="F772" s="892">
        <v>2505</v>
      </c>
    </row>
    <row r="773" spans="1:6">
      <c r="A773" s="892"/>
      <c r="B773" s="892"/>
      <c r="C773" s="902" t="s">
        <v>402</v>
      </c>
      <c r="D773" s="892"/>
      <c r="E773" s="892"/>
      <c r="F773" s="892">
        <v>1770</v>
      </c>
    </row>
    <row r="774" spans="1:6">
      <c r="A774" s="892"/>
      <c r="B774" s="892"/>
      <c r="C774" s="896" t="s">
        <v>2535</v>
      </c>
      <c r="D774" s="892"/>
      <c r="E774" s="892"/>
      <c r="F774" s="892">
        <v>137</v>
      </c>
    </row>
    <row r="775" spans="1:6" ht="30">
      <c r="A775" s="898">
        <v>77.400000000000006</v>
      </c>
      <c r="B775" s="892"/>
      <c r="C775" s="896" t="s">
        <v>2536</v>
      </c>
      <c r="D775" s="892"/>
      <c r="E775" s="892"/>
      <c r="F775" s="892"/>
    </row>
    <row r="776" spans="1:6" ht="30">
      <c r="A776" s="892"/>
      <c r="B776" s="892"/>
      <c r="C776" s="896" t="s">
        <v>2510</v>
      </c>
      <c r="D776" s="892"/>
      <c r="E776" s="892"/>
      <c r="F776" s="892"/>
    </row>
    <row r="777" spans="1:6" ht="30">
      <c r="A777" s="892">
        <v>90</v>
      </c>
      <c r="B777" s="892" t="s">
        <v>2537</v>
      </c>
      <c r="C777" s="896" t="s">
        <v>2538</v>
      </c>
      <c r="D777" s="892">
        <v>17.100000000000001</v>
      </c>
      <c r="E777" s="892" t="s">
        <v>2537</v>
      </c>
      <c r="F777" s="892">
        <v>1539</v>
      </c>
    </row>
    <row r="778" spans="1:6">
      <c r="A778" s="892">
        <v>0.15</v>
      </c>
      <c r="B778" s="892" t="s">
        <v>47</v>
      </c>
      <c r="C778" s="896" t="s">
        <v>568</v>
      </c>
      <c r="D778" s="892">
        <v>5800</v>
      </c>
      <c r="E778" s="892" t="s">
        <v>47</v>
      </c>
      <c r="F778" s="892">
        <v>870</v>
      </c>
    </row>
    <row r="779" spans="1:6">
      <c r="A779" s="892">
        <v>1</v>
      </c>
      <c r="B779" s="892" t="s">
        <v>680</v>
      </c>
      <c r="C779" s="896" t="s">
        <v>2539</v>
      </c>
      <c r="D779" s="892">
        <v>636</v>
      </c>
      <c r="E779" s="892" t="s">
        <v>680</v>
      </c>
      <c r="F779" s="892">
        <v>636</v>
      </c>
    </row>
    <row r="780" spans="1:6">
      <c r="A780" s="892">
        <v>2</v>
      </c>
      <c r="B780" s="892" t="s">
        <v>680</v>
      </c>
      <c r="C780" s="896" t="s">
        <v>752</v>
      </c>
      <c r="D780" s="892">
        <v>789.8</v>
      </c>
      <c r="E780" s="892" t="s">
        <v>680</v>
      </c>
      <c r="F780" s="892">
        <v>1579.6</v>
      </c>
    </row>
    <row r="781" spans="1:6">
      <c r="A781" s="892">
        <v>4</v>
      </c>
      <c r="B781" s="892" t="s">
        <v>680</v>
      </c>
      <c r="C781" s="896" t="s">
        <v>1697</v>
      </c>
      <c r="D781" s="892">
        <v>497</v>
      </c>
      <c r="E781" s="892" t="s">
        <v>680</v>
      </c>
      <c r="F781" s="892">
        <v>1988</v>
      </c>
    </row>
    <row r="782" spans="1:6" ht="30">
      <c r="A782" s="892"/>
      <c r="B782" s="892"/>
      <c r="C782" s="896" t="s">
        <v>2540</v>
      </c>
      <c r="D782" s="892"/>
      <c r="E782" s="892"/>
      <c r="F782" s="892">
        <v>11.5</v>
      </c>
    </row>
    <row r="783" spans="1:6">
      <c r="A783" s="892"/>
      <c r="B783" s="892"/>
      <c r="C783" s="896"/>
      <c r="D783" s="892"/>
      <c r="E783" s="892"/>
      <c r="F783" s="892" t="s">
        <v>534</v>
      </c>
    </row>
    <row r="784" spans="1:6">
      <c r="A784" s="892"/>
      <c r="B784" s="892"/>
      <c r="C784" s="896" t="s">
        <v>2541</v>
      </c>
      <c r="D784" s="892"/>
      <c r="E784" s="892"/>
      <c r="F784" s="892">
        <v>6624.1</v>
      </c>
    </row>
    <row r="785" spans="1:6">
      <c r="A785" s="892"/>
      <c r="B785" s="892"/>
      <c r="C785" s="896"/>
      <c r="D785" s="892"/>
      <c r="E785" s="892"/>
      <c r="F785" s="892" t="s">
        <v>534</v>
      </c>
    </row>
    <row r="786" spans="1:6">
      <c r="A786" s="892"/>
      <c r="B786" s="892"/>
      <c r="C786" s="896" t="s">
        <v>2458</v>
      </c>
      <c r="D786" s="892"/>
      <c r="E786" s="892"/>
      <c r="F786" s="892">
        <v>73.599999999999994</v>
      </c>
    </row>
    <row r="787" spans="1:6">
      <c r="A787" s="892"/>
      <c r="B787" s="892"/>
      <c r="C787" s="896"/>
      <c r="D787" s="892"/>
      <c r="E787" s="892"/>
      <c r="F787" s="892" t="s">
        <v>528</v>
      </c>
    </row>
    <row r="788" spans="1:6">
      <c r="A788" s="892"/>
      <c r="B788" s="892"/>
      <c r="C788" s="896" t="s">
        <v>3426</v>
      </c>
      <c r="D788" s="892"/>
      <c r="E788" s="892"/>
      <c r="F788" s="892"/>
    </row>
    <row r="789" spans="1:6">
      <c r="A789" s="892"/>
      <c r="B789" s="892"/>
      <c r="C789" s="896" t="s">
        <v>3427</v>
      </c>
      <c r="D789" s="892"/>
      <c r="E789" s="892"/>
      <c r="F789" s="892"/>
    </row>
    <row r="790" spans="1:6">
      <c r="A790" s="892"/>
      <c r="B790" s="892"/>
      <c r="C790" s="896" t="s">
        <v>3428</v>
      </c>
      <c r="D790" s="892"/>
      <c r="E790" s="892"/>
      <c r="F790" s="892"/>
    </row>
    <row r="791" spans="1:6" ht="75">
      <c r="A791" s="892"/>
      <c r="B791" s="892"/>
      <c r="C791" s="896" t="s">
        <v>3429</v>
      </c>
      <c r="D791" s="892"/>
      <c r="E791" s="892"/>
      <c r="F791" s="892"/>
    </row>
    <row r="792" spans="1:6">
      <c r="A792" s="892"/>
      <c r="B792" s="892"/>
      <c r="C792" s="896"/>
      <c r="D792" s="892"/>
      <c r="E792" s="892"/>
      <c r="F792" s="892"/>
    </row>
    <row r="793" spans="1:6">
      <c r="A793" s="892">
        <v>9.5</v>
      </c>
      <c r="B793" s="892" t="s">
        <v>420</v>
      </c>
      <c r="C793" s="896" t="s">
        <v>3430</v>
      </c>
      <c r="D793" s="892">
        <v>82.6</v>
      </c>
      <c r="E793" s="892" t="s">
        <v>420</v>
      </c>
      <c r="F793" s="892">
        <v>784.7</v>
      </c>
    </row>
    <row r="794" spans="1:6">
      <c r="A794" s="892">
        <v>0.5</v>
      </c>
      <c r="B794" s="892" t="s">
        <v>420</v>
      </c>
      <c r="C794" s="896" t="s">
        <v>3431</v>
      </c>
      <c r="D794" s="892">
        <v>20.9</v>
      </c>
      <c r="E794" s="892"/>
      <c r="F794" s="892">
        <v>10.45</v>
      </c>
    </row>
    <row r="795" spans="1:6">
      <c r="A795" s="892"/>
      <c r="B795" s="892"/>
      <c r="C795" s="896" t="s">
        <v>2559</v>
      </c>
      <c r="D795" s="892"/>
      <c r="E795" s="892"/>
      <c r="F795" s="892">
        <v>1133</v>
      </c>
    </row>
    <row r="796" spans="1:6">
      <c r="A796" s="892"/>
      <c r="B796" s="892"/>
      <c r="C796" s="896" t="s">
        <v>1699</v>
      </c>
      <c r="D796" s="892"/>
      <c r="E796" s="892"/>
      <c r="F796" s="892">
        <v>16</v>
      </c>
    </row>
    <row r="797" spans="1:6">
      <c r="A797" s="892"/>
      <c r="B797" s="892"/>
      <c r="C797" s="896" t="s">
        <v>3432</v>
      </c>
      <c r="D797" s="892"/>
      <c r="E797" s="892"/>
      <c r="F797" s="892">
        <v>1944.15</v>
      </c>
    </row>
    <row r="798" spans="1:6">
      <c r="A798" s="892"/>
      <c r="B798" s="892"/>
      <c r="C798" s="896" t="s">
        <v>3433</v>
      </c>
      <c r="D798" s="892"/>
      <c r="E798" s="892"/>
      <c r="F798" s="892">
        <v>21.6</v>
      </c>
    </row>
    <row r="799" spans="1:6">
      <c r="A799" s="892"/>
      <c r="B799" s="892"/>
      <c r="C799" s="896"/>
      <c r="D799" s="892"/>
      <c r="E799" s="892"/>
      <c r="F799" s="892"/>
    </row>
    <row r="800" spans="1:6">
      <c r="A800" s="892"/>
      <c r="B800" s="892"/>
      <c r="C800" s="896" t="s">
        <v>3434</v>
      </c>
      <c r="D800" s="892"/>
      <c r="E800" s="892"/>
      <c r="F800" s="892"/>
    </row>
    <row r="801" spans="1:6">
      <c r="A801" s="892">
        <v>1</v>
      </c>
      <c r="B801" s="892"/>
      <c r="C801" s="896" t="s">
        <v>3435</v>
      </c>
      <c r="D801" s="892">
        <v>636</v>
      </c>
      <c r="E801" s="892" t="s">
        <v>42</v>
      </c>
      <c r="F801" s="892">
        <v>636</v>
      </c>
    </row>
    <row r="802" spans="1:6">
      <c r="A802" s="892">
        <v>1</v>
      </c>
      <c r="B802" s="892"/>
      <c r="C802" s="896" t="s">
        <v>3436</v>
      </c>
      <c r="D802" s="892">
        <v>497</v>
      </c>
      <c r="E802" s="892" t="s">
        <v>42</v>
      </c>
      <c r="F802" s="892">
        <v>497</v>
      </c>
    </row>
    <row r="803" spans="1:6">
      <c r="A803" s="892"/>
      <c r="B803" s="892"/>
      <c r="C803" s="896"/>
      <c r="D803" s="892"/>
      <c r="E803" s="892"/>
      <c r="F803" s="892">
        <v>1133</v>
      </c>
    </row>
    <row r="804" spans="1:6">
      <c r="A804" s="892" t="s">
        <v>3437</v>
      </c>
      <c r="B804" s="892"/>
      <c r="C804" s="896"/>
      <c r="D804" s="892"/>
      <c r="E804" s="892"/>
      <c r="F804" s="892"/>
    </row>
    <row r="806" spans="1:6">
      <c r="A806" s="892"/>
      <c r="B806" s="892"/>
      <c r="C806" s="896" t="s">
        <v>3438</v>
      </c>
      <c r="D806" s="892"/>
      <c r="E806" s="892"/>
      <c r="F806" s="892"/>
    </row>
    <row r="807" spans="1:6">
      <c r="A807" s="892"/>
      <c r="B807" s="892"/>
      <c r="C807" s="896"/>
      <c r="D807" s="892"/>
      <c r="E807" s="892"/>
      <c r="F807" s="892"/>
    </row>
    <row r="808" spans="1:6" ht="45">
      <c r="A808" s="892"/>
      <c r="B808" s="892"/>
      <c r="C808" s="896" t="s">
        <v>3439</v>
      </c>
      <c r="D808" s="892"/>
      <c r="E808" s="892"/>
      <c r="F808" s="892"/>
    </row>
    <row r="809" spans="1:6" ht="30">
      <c r="A809" s="892">
        <v>180</v>
      </c>
      <c r="B809" s="892" t="s">
        <v>41</v>
      </c>
      <c r="C809" s="896" t="s">
        <v>3440</v>
      </c>
      <c r="D809" s="892">
        <v>33.299999999999997</v>
      </c>
      <c r="E809" s="892" t="s">
        <v>41</v>
      </c>
      <c r="F809" s="892">
        <v>5994</v>
      </c>
    </row>
    <row r="810" spans="1:6">
      <c r="A810" s="892">
        <v>4</v>
      </c>
      <c r="B810" s="892" t="s">
        <v>420</v>
      </c>
      <c r="C810" s="896" t="s">
        <v>3441</v>
      </c>
      <c r="D810" s="892">
        <v>82.6</v>
      </c>
      <c r="E810" s="892" t="s">
        <v>420</v>
      </c>
      <c r="F810" s="892">
        <v>330.4</v>
      </c>
    </row>
    <row r="811" spans="1:6">
      <c r="A811" s="892">
        <v>180</v>
      </c>
      <c r="B811" s="892" t="s">
        <v>332</v>
      </c>
      <c r="C811" s="896" t="s">
        <v>3442</v>
      </c>
      <c r="D811" s="892">
        <v>0.53</v>
      </c>
      <c r="E811" s="892" t="s">
        <v>332</v>
      </c>
      <c r="F811" s="892">
        <v>95.4</v>
      </c>
    </row>
    <row r="812" spans="1:6">
      <c r="A812" s="892">
        <v>1</v>
      </c>
      <c r="B812" s="892" t="s">
        <v>420</v>
      </c>
      <c r="C812" s="896" t="s">
        <v>3443</v>
      </c>
      <c r="D812" s="892">
        <v>82.6</v>
      </c>
      <c r="E812" s="892" t="s">
        <v>420</v>
      </c>
      <c r="F812" s="892">
        <v>82.6</v>
      </c>
    </row>
    <row r="813" spans="1:6">
      <c r="A813" s="892"/>
      <c r="B813" s="892"/>
      <c r="C813" s="896" t="s">
        <v>964</v>
      </c>
      <c r="D813" s="892"/>
      <c r="E813" s="892"/>
      <c r="F813" s="892">
        <v>4759</v>
      </c>
    </row>
    <row r="814" spans="1:6" ht="30">
      <c r="A814" s="892"/>
      <c r="B814" s="892"/>
      <c r="C814" s="896" t="s">
        <v>3444</v>
      </c>
      <c r="D814" s="892"/>
      <c r="E814" s="892"/>
      <c r="F814" s="892">
        <v>79</v>
      </c>
    </row>
    <row r="815" spans="1:6">
      <c r="A815" s="892"/>
      <c r="B815" s="892"/>
      <c r="C815" s="896" t="s">
        <v>3445</v>
      </c>
      <c r="D815" s="892"/>
      <c r="E815" s="892"/>
      <c r="F815" s="892">
        <v>11340.4</v>
      </c>
    </row>
    <row r="816" spans="1:6">
      <c r="A816" s="892"/>
      <c r="B816" s="892"/>
      <c r="C816" s="896" t="s">
        <v>3446</v>
      </c>
      <c r="D816" s="892"/>
      <c r="E816" s="892"/>
      <c r="F816" s="892">
        <v>126</v>
      </c>
    </row>
    <row r="817" spans="1:6">
      <c r="A817" s="892"/>
      <c r="B817" s="892"/>
      <c r="C817" s="896" t="s">
        <v>3434</v>
      </c>
      <c r="D817" s="892"/>
      <c r="E817" s="892"/>
      <c r="F817" s="892"/>
    </row>
    <row r="818" spans="1:6">
      <c r="A818" s="892">
        <v>1</v>
      </c>
      <c r="B818" s="892" t="s">
        <v>42</v>
      </c>
      <c r="C818" s="896" t="s">
        <v>3447</v>
      </c>
      <c r="D818" s="892">
        <v>730</v>
      </c>
      <c r="E818" s="892" t="s">
        <v>42</v>
      </c>
      <c r="F818" s="892">
        <v>730</v>
      </c>
    </row>
    <row r="819" spans="1:6">
      <c r="A819" s="892">
        <v>2</v>
      </c>
      <c r="B819" s="892" t="s">
        <v>42</v>
      </c>
      <c r="C819" s="896" t="s">
        <v>3435</v>
      </c>
      <c r="D819" s="892">
        <v>636</v>
      </c>
      <c r="E819" s="892" t="s">
        <v>42</v>
      </c>
      <c r="F819" s="892">
        <v>1272</v>
      </c>
    </row>
    <row r="820" spans="1:6">
      <c r="A820" s="892">
        <v>2</v>
      </c>
      <c r="B820" s="892" t="s">
        <v>42</v>
      </c>
      <c r="C820" s="896" t="s">
        <v>3448</v>
      </c>
      <c r="D820" s="892">
        <v>633</v>
      </c>
      <c r="E820" s="892" t="s">
        <v>42</v>
      </c>
      <c r="F820" s="892">
        <v>1266</v>
      </c>
    </row>
    <row r="821" spans="1:6">
      <c r="A821" s="892">
        <v>3</v>
      </c>
      <c r="B821" s="892" t="s">
        <v>42</v>
      </c>
      <c r="C821" s="896" t="s">
        <v>3449</v>
      </c>
      <c r="D821" s="892">
        <v>497</v>
      </c>
      <c r="E821" s="892" t="s">
        <v>42</v>
      </c>
      <c r="F821" s="892">
        <v>1491</v>
      </c>
    </row>
    <row r="822" spans="1:6">
      <c r="A822" s="892"/>
      <c r="B822" s="892"/>
      <c r="C822" s="896"/>
      <c r="D822" s="892"/>
      <c r="E822" s="892"/>
      <c r="F822" s="892">
        <v>4759</v>
      </c>
    </row>
    <row r="823" spans="1:6">
      <c r="A823" s="892"/>
      <c r="B823" s="892"/>
      <c r="C823" s="896"/>
      <c r="D823" s="892"/>
      <c r="E823" s="892"/>
      <c r="F823" s="892"/>
    </row>
    <row r="824" spans="1:6">
      <c r="A824" s="897">
        <v>86</v>
      </c>
      <c r="B824" s="892"/>
      <c r="C824" s="896" t="s">
        <v>2308</v>
      </c>
      <c r="D824" s="892"/>
      <c r="E824" s="892"/>
      <c r="F824" s="892">
        <v>33.9</v>
      </c>
    </row>
    <row r="825" spans="1:6">
      <c r="A825" s="898"/>
      <c r="B825" s="892"/>
      <c r="C825" s="896"/>
      <c r="D825" s="892"/>
      <c r="E825" s="892"/>
      <c r="F825" s="892"/>
    </row>
    <row r="826" spans="1:6" ht="30">
      <c r="A826" s="892" t="s">
        <v>2309</v>
      </c>
      <c r="B826" s="892"/>
      <c r="C826" s="896" t="s">
        <v>2310</v>
      </c>
      <c r="D826" s="892"/>
      <c r="E826" s="892"/>
      <c r="F826" s="892">
        <v>8.1999999999999993</v>
      </c>
    </row>
    <row r="827" spans="1:6">
      <c r="A827" s="892"/>
      <c r="B827" s="892"/>
      <c r="C827" s="896" t="s">
        <v>2311</v>
      </c>
      <c r="D827" s="892"/>
      <c r="E827" s="892"/>
      <c r="F827" s="892">
        <v>5740</v>
      </c>
    </row>
    <row r="828" spans="1:6">
      <c r="A828" s="892" t="s">
        <v>22</v>
      </c>
      <c r="B828" s="892"/>
      <c r="C828" s="896" t="s">
        <v>2312</v>
      </c>
      <c r="D828" s="892"/>
      <c r="E828" s="892"/>
      <c r="F828" s="892">
        <v>1640</v>
      </c>
    </row>
    <row r="830" spans="1:6" ht="30">
      <c r="A830" s="899"/>
      <c r="B830" s="892"/>
      <c r="C830" s="896" t="s">
        <v>390</v>
      </c>
      <c r="D830" s="892"/>
      <c r="E830" s="892"/>
      <c r="F830" s="892"/>
    </row>
    <row r="831" spans="1:6" ht="30">
      <c r="A831" s="899">
        <v>5</v>
      </c>
      <c r="B831" s="892" t="s">
        <v>421</v>
      </c>
      <c r="C831" s="896" t="s">
        <v>3399</v>
      </c>
      <c r="D831" s="892">
        <v>1537.6</v>
      </c>
      <c r="E831" s="892"/>
      <c r="F831" s="892">
        <v>7688</v>
      </c>
    </row>
    <row r="832" spans="1:6" ht="30">
      <c r="A832" s="899">
        <v>3.3</v>
      </c>
      <c r="B832" s="892" t="s">
        <v>421</v>
      </c>
      <c r="C832" s="896" t="s">
        <v>3400</v>
      </c>
      <c r="D832" s="892">
        <v>1265.0999999999999</v>
      </c>
      <c r="E832" s="892"/>
      <c r="F832" s="892">
        <v>4174.83</v>
      </c>
    </row>
    <row r="833" spans="1:6">
      <c r="A833" s="899">
        <v>4.79</v>
      </c>
      <c r="B833" s="892" t="s">
        <v>421</v>
      </c>
      <c r="C833" s="896" t="s">
        <v>3401</v>
      </c>
      <c r="D833" s="892">
        <v>1519.7</v>
      </c>
      <c r="E833" s="892"/>
      <c r="F833" s="892">
        <v>7279.36</v>
      </c>
    </row>
    <row r="834" spans="1:6">
      <c r="A834" s="899">
        <v>3.25</v>
      </c>
      <c r="B834" s="892" t="s">
        <v>47</v>
      </c>
      <c r="C834" s="896" t="s">
        <v>1430</v>
      </c>
      <c r="D834" s="892">
        <v>5800</v>
      </c>
      <c r="E834" s="892"/>
      <c r="F834" s="892">
        <v>18850</v>
      </c>
    </row>
    <row r="835" spans="1:6" ht="30">
      <c r="A835" s="899">
        <v>19.5</v>
      </c>
      <c r="B835" s="892" t="s">
        <v>420</v>
      </c>
      <c r="C835" s="896" t="s">
        <v>1490</v>
      </c>
      <c r="D835" s="892">
        <v>42.4</v>
      </c>
      <c r="E835" s="892"/>
      <c r="F835" s="892">
        <v>826.8</v>
      </c>
    </row>
    <row r="836" spans="1:6">
      <c r="A836" s="899">
        <v>3.5</v>
      </c>
      <c r="B836" s="892" t="s">
        <v>3</v>
      </c>
      <c r="C836" s="896" t="s">
        <v>1437</v>
      </c>
      <c r="D836" s="892">
        <v>789.8</v>
      </c>
      <c r="E836" s="892">
        <v>0</v>
      </c>
      <c r="F836" s="892">
        <v>2764.3</v>
      </c>
    </row>
    <row r="837" spans="1:6">
      <c r="A837" s="899">
        <v>21.2</v>
      </c>
      <c r="B837" s="892" t="s">
        <v>3</v>
      </c>
      <c r="C837" s="896" t="s">
        <v>1440</v>
      </c>
      <c r="D837" s="892">
        <v>552.20000000000005</v>
      </c>
      <c r="E837" s="892"/>
      <c r="F837" s="892">
        <v>11706.64</v>
      </c>
    </row>
    <row r="838" spans="1:6">
      <c r="A838" s="899">
        <v>35.299999999999997</v>
      </c>
      <c r="B838" s="892" t="s">
        <v>3</v>
      </c>
      <c r="C838" s="896" t="s">
        <v>1444</v>
      </c>
      <c r="D838" s="892">
        <v>453.2</v>
      </c>
      <c r="E838" s="892"/>
      <c r="F838" s="892">
        <v>15997.96</v>
      </c>
    </row>
    <row r="839" spans="1:6">
      <c r="A839" s="899"/>
      <c r="B839" s="892"/>
      <c r="C839" s="896" t="s">
        <v>1446</v>
      </c>
      <c r="D839" s="892">
        <v>0</v>
      </c>
      <c r="E839" s="892"/>
      <c r="F839" s="892">
        <v>69287.89</v>
      </c>
    </row>
    <row r="840" spans="1:6">
      <c r="A840" s="899"/>
      <c r="B840" s="892"/>
      <c r="C840" s="896" t="s">
        <v>1448</v>
      </c>
      <c r="D840" s="892">
        <v>0</v>
      </c>
      <c r="E840" s="892"/>
      <c r="F840" s="892">
        <v>6928.79</v>
      </c>
    </row>
    <row r="841" spans="1:6">
      <c r="A841" s="899">
        <v>1</v>
      </c>
      <c r="B841" s="892" t="s">
        <v>421</v>
      </c>
      <c r="C841" s="896" t="s">
        <v>1452</v>
      </c>
      <c r="D841" s="892">
        <v>77.77</v>
      </c>
      <c r="E841" s="892"/>
      <c r="F841" s="892">
        <v>77.77</v>
      </c>
    </row>
    <row r="842" spans="1:6">
      <c r="A842" s="899"/>
      <c r="B842" s="892"/>
      <c r="C842" s="896" t="s">
        <v>1454</v>
      </c>
      <c r="D842" s="892">
        <v>0</v>
      </c>
      <c r="E842" s="892"/>
      <c r="F842" s="892">
        <v>7006.56</v>
      </c>
    </row>
    <row r="843" spans="1:6" ht="30">
      <c r="A843" s="899" t="s">
        <v>519</v>
      </c>
      <c r="B843" s="892"/>
      <c r="C843" s="896" t="s">
        <v>1456</v>
      </c>
      <c r="D843" s="892" t="s">
        <v>519</v>
      </c>
      <c r="E843" s="892"/>
      <c r="F843" s="892">
        <v>35.03</v>
      </c>
    </row>
    <row r="844" spans="1:6">
      <c r="A844" s="899"/>
      <c r="B844" s="892"/>
      <c r="C844" s="896" t="s">
        <v>1395</v>
      </c>
      <c r="D844" s="892"/>
      <c r="E844" s="892"/>
      <c r="F844" s="892">
        <v>7041.59</v>
      </c>
    </row>
    <row r="845" spans="1:6">
      <c r="A845" s="899"/>
      <c r="B845" s="892"/>
      <c r="C845" s="896"/>
      <c r="D845" s="892"/>
      <c r="E845" s="892"/>
      <c r="F845" s="892" t="s">
        <v>534</v>
      </c>
    </row>
    <row r="846" spans="1:6">
      <c r="A846" s="899"/>
      <c r="B846" s="892"/>
      <c r="C846" s="896" t="s">
        <v>789</v>
      </c>
      <c r="D846" s="892"/>
      <c r="E846" s="892"/>
      <c r="F846" s="892">
        <v>7140.48</v>
      </c>
    </row>
    <row r="847" spans="1:6">
      <c r="A847" s="899"/>
      <c r="B847" s="892"/>
      <c r="C847" s="896" t="s">
        <v>793</v>
      </c>
      <c r="D847" s="892"/>
      <c r="E847" s="892"/>
      <c r="F847" s="892">
        <v>7335.18</v>
      </c>
    </row>
    <row r="848" spans="1:6">
      <c r="A848" s="899"/>
      <c r="B848" s="892"/>
      <c r="C848" s="896" t="s">
        <v>796</v>
      </c>
      <c r="D848" s="892"/>
      <c r="E848" s="892"/>
      <c r="F848" s="892">
        <v>7529.88</v>
      </c>
    </row>
    <row r="850" spans="1:6">
      <c r="A850" s="892"/>
      <c r="B850" s="892" t="s">
        <v>307</v>
      </c>
      <c r="C850" s="896" t="s">
        <v>2098</v>
      </c>
      <c r="D850" s="892"/>
      <c r="E850" s="892"/>
      <c r="F850" s="892"/>
    </row>
    <row r="851" spans="1:6">
      <c r="A851" s="892"/>
      <c r="B851" s="892"/>
      <c r="C851" s="896" t="s">
        <v>2099</v>
      </c>
      <c r="D851" s="892"/>
      <c r="E851" s="892"/>
      <c r="F851" s="892"/>
    </row>
    <row r="852" spans="1:6">
      <c r="A852" s="892"/>
      <c r="B852" s="892"/>
      <c r="C852" s="896" t="s">
        <v>2100</v>
      </c>
      <c r="D852" s="892"/>
      <c r="E852" s="892"/>
      <c r="F852" s="892"/>
    </row>
    <row r="853" spans="1:6">
      <c r="A853" s="892"/>
      <c r="B853" s="892"/>
      <c r="C853" s="896" t="s">
        <v>534</v>
      </c>
      <c r="D853" s="892"/>
      <c r="E853" s="892"/>
      <c r="F853" s="892"/>
    </row>
    <row r="854" spans="1:6">
      <c r="A854" s="892">
        <v>0.14000000000000001</v>
      </c>
      <c r="B854" s="892" t="s">
        <v>577</v>
      </c>
      <c r="C854" s="896" t="s">
        <v>660</v>
      </c>
      <c r="D854" s="892">
        <v>4399.3999999999996</v>
      </c>
      <c r="E854" s="892" t="s">
        <v>577</v>
      </c>
      <c r="F854" s="892">
        <v>615.91999999999996</v>
      </c>
    </row>
    <row r="855" spans="1:6">
      <c r="A855" s="892">
        <v>1.1000000000000001</v>
      </c>
      <c r="B855" s="892" t="s">
        <v>576</v>
      </c>
      <c r="C855" s="896" t="s">
        <v>778</v>
      </c>
      <c r="D855" s="892">
        <v>845.9</v>
      </c>
      <c r="E855" s="892" t="s">
        <v>576</v>
      </c>
      <c r="F855" s="892">
        <v>930.49</v>
      </c>
    </row>
    <row r="856" spans="1:6">
      <c r="A856" s="892">
        <v>0.5</v>
      </c>
      <c r="B856" s="892" t="s">
        <v>576</v>
      </c>
      <c r="C856" s="896" t="s">
        <v>754</v>
      </c>
      <c r="D856" s="892">
        <v>552.20000000000005</v>
      </c>
      <c r="E856" s="892" t="s">
        <v>576</v>
      </c>
      <c r="F856" s="892">
        <v>276.10000000000002</v>
      </c>
    </row>
    <row r="857" spans="1:6">
      <c r="A857" s="892">
        <v>1.1000000000000001</v>
      </c>
      <c r="B857" s="892" t="s">
        <v>576</v>
      </c>
      <c r="C857" s="896" t="s">
        <v>756</v>
      </c>
      <c r="D857" s="892">
        <v>453.2</v>
      </c>
      <c r="E857" s="892" t="s">
        <v>576</v>
      </c>
      <c r="F857" s="892">
        <v>498.52</v>
      </c>
    </row>
    <row r="858" spans="1:6">
      <c r="A858" s="892">
        <v>2</v>
      </c>
      <c r="B858" s="892" t="s">
        <v>420</v>
      </c>
      <c r="C858" s="896" t="s">
        <v>2104</v>
      </c>
      <c r="D858" s="892">
        <v>41.9</v>
      </c>
      <c r="E858" s="892" t="s">
        <v>420</v>
      </c>
      <c r="F858" s="892">
        <v>83.8</v>
      </c>
    </row>
    <row r="859" spans="1:6">
      <c r="A859" s="892"/>
      <c r="B859" s="892" t="s">
        <v>589</v>
      </c>
      <c r="C859" s="896" t="s">
        <v>590</v>
      </c>
      <c r="D859" s="892" t="s">
        <v>22</v>
      </c>
      <c r="E859" s="892" t="s">
        <v>589</v>
      </c>
      <c r="F859" s="892">
        <v>0</v>
      </c>
    </row>
    <row r="860" spans="1:6">
      <c r="A860" s="892"/>
      <c r="B860" s="892"/>
      <c r="C860" s="896"/>
      <c r="D860" s="892"/>
      <c r="E860" s="892"/>
      <c r="F860" s="892" t="s">
        <v>534</v>
      </c>
    </row>
    <row r="861" spans="1:6">
      <c r="A861" s="892" t="s">
        <v>22</v>
      </c>
      <c r="B861" s="892"/>
      <c r="C861" s="896" t="s">
        <v>879</v>
      </c>
      <c r="D861" s="892"/>
      <c r="E861" s="892"/>
      <c r="F861" s="892">
        <v>2404.83</v>
      </c>
    </row>
    <row r="862" spans="1:6">
      <c r="A862" s="892"/>
      <c r="B862" s="892"/>
      <c r="C862" s="896"/>
      <c r="D862" s="892"/>
      <c r="E862" s="892"/>
      <c r="F862" s="892" t="s">
        <v>534</v>
      </c>
    </row>
    <row r="863" spans="1:6">
      <c r="A863" s="892"/>
      <c r="B863" s="892"/>
      <c r="C863" s="896" t="s">
        <v>881</v>
      </c>
      <c r="D863" s="892"/>
      <c r="E863" s="892"/>
      <c r="F863" s="892">
        <v>240.48</v>
      </c>
    </row>
    <row r="864" spans="1:6">
      <c r="A864" s="892"/>
      <c r="B864" s="892"/>
      <c r="C864" s="896"/>
      <c r="D864" s="892"/>
      <c r="E864" s="892"/>
      <c r="F864" s="892" t="s">
        <v>528</v>
      </c>
    </row>
    <row r="865" spans="1:6">
      <c r="A865" s="892" t="s">
        <v>839</v>
      </c>
      <c r="B865" s="892" t="s">
        <v>307</v>
      </c>
      <c r="C865" s="896" t="s">
        <v>840</v>
      </c>
      <c r="D865" s="892"/>
      <c r="E865" s="892"/>
      <c r="F865" s="892"/>
    </row>
    <row r="866" spans="1:6">
      <c r="A866" s="892"/>
      <c r="B866" s="892"/>
      <c r="C866" s="896" t="s">
        <v>3450</v>
      </c>
      <c r="D866" s="892"/>
      <c r="E866" s="892"/>
      <c r="F866" s="892"/>
    </row>
    <row r="867" spans="1:6">
      <c r="A867" s="892"/>
      <c r="B867" s="892"/>
      <c r="C867" s="896" t="s">
        <v>534</v>
      </c>
      <c r="D867" s="892"/>
      <c r="E867" s="892"/>
      <c r="F867" s="892"/>
    </row>
    <row r="868" spans="1:6">
      <c r="A868" s="892">
        <v>1</v>
      </c>
      <c r="B868" s="892" t="s">
        <v>577</v>
      </c>
      <c r="C868" s="896" t="s">
        <v>843</v>
      </c>
      <c r="D868" s="892">
        <v>349.6</v>
      </c>
      <c r="E868" s="892" t="s">
        <v>577</v>
      </c>
      <c r="F868" s="892">
        <v>349.6</v>
      </c>
    </row>
    <row r="869" spans="1:6">
      <c r="A869" s="892">
        <v>1</v>
      </c>
      <c r="B869" s="892" t="s">
        <v>577</v>
      </c>
      <c r="C869" s="896" t="s">
        <v>661</v>
      </c>
      <c r="D869" s="892">
        <v>32.229999999999997</v>
      </c>
      <c r="E869" s="892" t="s">
        <v>577</v>
      </c>
      <c r="F869" s="892">
        <v>32.229999999999997</v>
      </c>
    </row>
    <row r="870" spans="1:6">
      <c r="A870" s="892"/>
      <c r="B870" s="892" t="s">
        <v>589</v>
      </c>
      <c r="C870" s="896" t="s">
        <v>590</v>
      </c>
      <c r="D870" s="892" t="s">
        <v>22</v>
      </c>
      <c r="E870" s="892" t="s">
        <v>589</v>
      </c>
      <c r="F870" s="892">
        <v>0</v>
      </c>
    </row>
    <row r="871" spans="1:6">
      <c r="A871" s="892"/>
      <c r="B871" s="892"/>
      <c r="C871" s="896"/>
      <c r="D871" s="892"/>
      <c r="E871" s="892"/>
      <c r="F871" s="892" t="s">
        <v>534</v>
      </c>
    </row>
    <row r="872" spans="1:6">
      <c r="A872" s="892"/>
      <c r="B872" s="892"/>
      <c r="C872" s="896" t="s">
        <v>599</v>
      </c>
      <c r="D872" s="892"/>
      <c r="E872" s="892"/>
      <c r="F872" s="892">
        <v>381.83</v>
      </c>
    </row>
    <row r="874" spans="1:6" ht="30">
      <c r="A874" s="892"/>
      <c r="B874" s="892"/>
      <c r="C874" s="896" t="s">
        <v>2577</v>
      </c>
      <c r="D874" s="892"/>
      <c r="E874" s="892"/>
      <c r="F874" s="899"/>
    </row>
    <row r="875" spans="1:6" ht="45">
      <c r="A875" s="892">
        <v>98.5</v>
      </c>
      <c r="B875" s="892" t="s">
        <v>410</v>
      </c>
      <c r="C875" s="896" t="s">
        <v>3451</v>
      </c>
      <c r="D875" s="899">
        <v>5.04</v>
      </c>
      <c r="E875" s="892" t="s">
        <v>410</v>
      </c>
      <c r="F875" s="892">
        <v>496.44</v>
      </c>
    </row>
    <row r="876" spans="1:6">
      <c r="A876" s="892">
        <v>0.3</v>
      </c>
      <c r="B876" s="892" t="s">
        <v>410</v>
      </c>
      <c r="C876" s="896" t="s">
        <v>1659</v>
      </c>
      <c r="D876" s="892">
        <v>827.2</v>
      </c>
      <c r="E876" s="892" t="s">
        <v>332</v>
      </c>
      <c r="F876" s="892">
        <v>248.16</v>
      </c>
    </row>
    <row r="877" spans="1:6">
      <c r="A877" s="892">
        <v>0.3</v>
      </c>
      <c r="B877" s="892" t="s">
        <v>410</v>
      </c>
      <c r="C877" s="896" t="s">
        <v>2553</v>
      </c>
      <c r="D877" s="892">
        <v>552.20000000000005</v>
      </c>
      <c r="E877" s="892" t="s">
        <v>332</v>
      </c>
      <c r="F877" s="892">
        <v>165.66</v>
      </c>
    </row>
    <row r="878" spans="1:6">
      <c r="A878" s="892"/>
      <c r="B878" s="892"/>
      <c r="C878" s="896" t="s">
        <v>215</v>
      </c>
      <c r="D878" s="892"/>
      <c r="E878" s="892"/>
      <c r="F878" s="892">
        <v>0.9</v>
      </c>
    </row>
    <row r="879" spans="1:6">
      <c r="A879" s="892"/>
      <c r="B879" s="892"/>
      <c r="C879" s="896" t="s">
        <v>2582</v>
      </c>
      <c r="D879" s="892"/>
      <c r="E879" s="892"/>
      <c r="F879" s="892">
        <v>911.16</v>
      </c>
    </row>
    <row r="880" spans="1:6">
      <c r="A880" s="892"/>
      <c r="B880" s="892"/>
      <c r="C880" s="896" t="s">
        <v>2584</v>
      </c>
      <c r="D880" s="892"/>
      <c r="E880" s="892"/>
      <c r="F880" s="892">
        <v>91.12</v>
      </c>
    </row>
    <row r="881" spans="1:6">
      <c r="A881" s="892"/>
      <c r="B881" s="892"/>
      <c r="C881" s="896" t="s">
        <v>2585</v>
      </c>
      <c r="D881" s="892"/>
      <c r="E881" s="892"/>
      <c r="F881" s="892">
        <v>30.37</v>
      </c>
    </row>
    <row r="882" spans="1:6" ht="30">
      <c r="A882" s="892"/>
      <c r="B882" s="892" t="s">
        <v>2587</v>
      </c>
      <c r="C882" s="896" t="s">
        <v>2588</v>
      </c>
      <c r="D882" s="892">
        <v>722.82</v>
      </c>
      <c r="E882" s="892"/>
      <c r="F882" s="892"/>
    </row>
    <row r="883" spans="1:6">
      <c r="A883" s="892"/>
      <c r="B883" s="892"/>
      <c r="C883" s="896"/>
      <c r="D883" s="892"/>
      <c r="E883" s="892"/>
      <c r="F883" s="892"/>
    </row>
    <row r="884" spans="1:6" ht="30">
      <c r="A884" s="892"/>
      <c r="B884" s="892" t="s">
        <v>1530</v>
      </c>
      <c r="C884" s="896" t="s">
        <v>2589</v>
      </c>
      <c r="D884" s="892">
        <v>813.94</v>
      </c>
      <c r="E884" s="892"/>
      <c r="F884" s="892"/>
    </row>
    <row r="885" spans="1:6">
      <c r="A885" s="892"/>
      <c r="B885" s="892"/>
      <c r="C885" s="896"/>
      <c r="D885" s="892"/>
      <c r="E885" s="892"/>
      <c r="F885" s="892"/>
    </row>
    <row r="886" spans="1:6" ht="30">
      <c r="A886" s="892"/>
      <c r="B886" s="892" t="s">
        <v>1563</v>
      </c>
      <c r="C886" s="896" t="s">
        <v>2590</v>
      </c>
      <c r="D886" s="892">
        <v>976.73</v>
      </c>
      <c r="E886" s="892"/>
      <c r="F886" s="892"/>
    </row>
    <row r="887" spans="1:6">
      <c r="A887" s="892"/>
      <c r="B887" s="892"/>
      <c r="C887" s="896"/>
      <c r="D887" s="892"/>
      <c r="E887" s="892"/>
      <c r="F887" s="892"/>
    </row>
    <row r="888" spans="1:6">
      <c r="A888" s="892"/>
      <c r="B888" s="892" t="s">
        <v>2592</v>
      </c>
      <c r="C888" s="896" t="s">
        <v>2593</v>
      </c>
      <c r="D888" s="892">
        <v>895.33</v>
      </c>
      <c r="E888" s="892"/>
      <c r="F888" s="892"/>
    </row>
    <row r="890" spans="1:6">
      <c r="A890" s="892"/>
      <c r="B890" s="892"/>
      <c r="C890" s="896" t="s">
        <v>3453</v>
      </c>
      <c r="D890" s="892"/>
      <c r="E890" s="892"/>
      <c r="F890" s="892"/>
    </row>
    <row r="891" spans="1:6">
      <c r="A891" s="892"/>
      <c r="B891" s="892"/>
      <c r="C891" s="896" t="s">
        <v>462</v>
      </c>
      <c r="D891" s="892"/>
      <c r="E891" s="892"/>
      <c r="F891" s="892"/>
    </row>
    <row r="892" spans="1:6">
      <c r="A892" s="892"/>
      <c r="B892" s="892"/>
      <c r="C892" s="896"/>
      <c r="D892" s="892"/>
      <c r="E892" s="892"/>
      <c r="F892" s="892"/>
    </row>
    <row r="893" spans="1:6" ht="135">
      <c r="A893" s="892"/>
      <c r="B893" s="892"/>
      <c r="C893" s="896" t="s">
        <v>3454</v>
      </c>
      <c r="D893" s="892"/>
      <c r="E893" s="892"/>
      <c r="F893" s="892"/>
    </row>
    <row r="894" spans="1:6" ht="30">
      <c r="A894" s="892">
        <v>180</v>
      </c>
      <c r="B894" s="892" t="s">
        <v>41</v>
      </c>
      <c r="C894" s="896" t="s">
        <v>3455</v>
      </c>
      <c r="D894" s="892">
        <v>33.299999999999997</v>
      </c>
      <c r="E894" s="892" t="s">
        <v>3456</v>
      </c>
      <c r="F894" s="892">
        <v>5994</v>
      </c>
    </row>
    <row r="895" spans="1:6" ht="30">
      <c r="A895" s="892">
        <v>90</v>
      </c>
      <c r="B895" s="892" t="s">
        <v>41</v>
      </c>
      <c r="C895" s="896" t="s">
        <v>3457</v>
      </c>
      <c r="D895" s="892">
        <v>17.100000000000001</v>
      </c>
      <c r="E895" s="892" t="s">
        <v>41</v>
      </c>
      <c r="F895" s="892">
        <v>1539</v>
      </c>
    </row>
    <row r="896" spans="1:6">
      <c r="A896" s="892">
        <v>3</v>
      </c>
      <c r="B896" s="892" t="s">
        <v>3458</v>
      </c>
      <c r="C896" s="896" t="s">
        <v>1430</v>
      </c>
      <c r="D896" s="892">
        <v>290</v>
      </c>
      <c r="E896" s="892" t="s">
        <v>3458</v>
      </c>
      <c r="F896" s="892">
        <v>870</v>
      </c>
    </row>
    <row r="897" spans="1:6" ht="45">
      <c r="A897" s="892">
        <v>90</v>
      </c>
      <c r="B897" s="892" t="s">
        <v>41</v>
      </c>
      <c r="C897" s="896" t="s">
        <v>3459</v>
      </c>
      <c r="D897" s="892">
        <v>21</v>
      </c>
      <c r="E897" s="892" t="s">
        <v>3456</v>
      </c>
      <c r="F897" s="892">
        <v>1890</v>
      </c>
    </row>
    <row r="898" spans="1:6">
      <c r="A898" s="892"/>
      <c r="B898" s="892"/>
      <c r="C898" s="896" t="s">
        <v>964</v>
      </c>
      <c r="D898" s="892"/>
      <c r="E898" s="892"/>
      <c r="F898" s="892">
        <v>9313</v>
      </c>
    </row>
    <row r="899" spans="1:6">
      <c r="A899" s="892"/>
      <c r="B899" s="892"/>
      <c r="C899" s="896" t="s">
        <v>1699</v>
      </c>
      <c r="D899" s="892"/>
      <c r="E899" s="892"/>
      <c r="F899" s="892">
        <v>104</v>
      </c>
    </row>
    <row r="900" spans="1:6">
      <c r="A900" s="892"/>
      <c r="B900" s="892"/>
      <c r="C900" s="896" t="s">
        <v>3460</v>
      </c>
      <c r="D900" s="892"/>
      <c r="E900" s="892"/>
      <c r="F900" s="892">
        <v>19710</v>
      </c>
    </row>
    <row r="901" spans="1:6">
      <c r="A901" s="892"/>
      <c r="B901" s="892"/>
      <c r="C901" s="896" t="s">
        <v>3446</v>
      </c>
      <c r="D901" s="892"/>
      <c r="E901" s="892"/>
      <c r="F901" s="892">
        <v>219</v>
      </c>
    </row>
    <row r="903" spans="1:6">
      <c r="A903" s="892"/>
      <c r="B903" s="892"/>
      <c r="C903" s="896" t="s">
        <v>3461</v>
      </c>
      <c r="D903" s="892"/>
      <c r="E903" s="892"/>
      <c r="F903" s="892"/>
    </row>
    <row r="904" spans="1:6">
      <c r="A904" s="892"/>
      <c r="B904" s="892"/>
      <c r="C904" s="896" t="s">
        <v>461</v>
      </c>
      <c r="D904" s="892"/>
      <c r="E904" s="892"/>
      <c r="F904" s="892"/>
    </row>
    <row r="905" spans="1:6">
      <c r="A905" s="892"/>
      <c r="B905" s="892"/>
      <c r="C905" s="896"/>
      <c r="D905" s="892"/>
      <c r="E905" s="892"/>
      <c r="F905" s="892"/>
    </row>
    <row r="906" spans="1:6" ht="135">
      <c r="A906" s="892"/>
      <c r="B906" s="892"/>
      <c r="C906" s="896" t="s">
        <v>3462</v>
      </c>
      <c r="D906" s="892"/>
      <c r="E906" s="892"/>
      <c r="F906" s="892"/>
    </row>
    <row r="907" spans="1:6">
      <c r="A907" s="892"/>
      <c r="B907" s="892"/>
      <c r="C907" s="896"/>
      <c r="D907" s="892"/>
      <c r="E907" s="892"/>
      <c r="F907" s="892"/>
    </row>
    <row r="908" spans="1:6">
      <c r="A908" s="892"/>
      <c r="B908" s="892"/>
      <c r="C908" s="896" t="s">
        <v>3463</v>
      </c>
      <c r="D908" s="892"/>
      <c r="E908" s="892"/>
      <c r="F908" s="892">
        <v>15367</v>
      </c>
    </row>
    <row r="909" spans="1:6" ht="30">
      <c r="A909" s="892">
        <v>180</v>
      </c>
      <c r="B909" s="892" t="s">
        <v>41</v>
      </c>
      <c r="C909" s="896" t="s">
        <v>3464</v>
      </c>
      <c r="D909" s="892">
        <v>21</v>
      </c>
      <c r="E909" s="892" t="s">
        <v>41</v>
      </c>
      <c r="F909" s="892">
        <v>3780</v>
      </c>
    </row>
    <row r="910" spans="1:6" ht="30">
      <c r="A910" s="892">
        <v>180</v>
      </c>
      <c r="B910" s="892" t="s">
        <v>41</v>
      </c>
      <c r="C910" s="896" t="s">
        <v>3465</v>
      </c>
      <c r="D910" s="892">
        <v>13.5</v>
      </c>
      <c r="E910" s="892" t="s">
        <v>3456</v>
      </c>
      <c r="F910" s="892">
        <v>2430</v>
      </c>
    </row>
    <row r="911" spans="1:6">
      <c r="A911" s="892"/>
      <c r="B911" s="892"/>
      <c r="C911" s="896" t="s">
        <v>1699</v>
      </c>
      <c r="D911" s="892"/>
      <c r="E911" s="892"/>
      <c r="F911" s="892">
        <v>113.2</v>
      </c>
    </row>
    <row r="912" spans="1:6">
      <c r="A912" s="892"/>
      <c r="B912" s="892"/>
      <c r="C912" s="896" t="s">
        <v>3466</v>
      </c>
      <c r="D912" s="892"/>
      <c r="E912" s="892"/>
      <c r="F912" s="892">
        <v>16830.2</v>
      </c>
    </row>
    <row r="913" spans="1:6">
      <c r="A913" s="892"/>
      <c r="B913" s="892"/>
      <c r="C913" s="896" t="s">
        <v>3446</v>
      </c>
      <c r="D913" s="892"/>
      <c r="E913" s="892"/>
      <c r="F913" s="892">
        <v>187</v>
      </c>
    </row>
    <row r="914" spans="1:6">
      <c r="A914" s="892"/>
      <c r="B914" s="892"/>
      <c r="C914" s="896"/>
      <c r="D914" s="892"/>
      <c r="E914" s="892"/>
      <c r="F914" s="892"/>
    </row>
    <row r="916" spans="1:6" ht="30">
      <c r="C916" s="896" t="s">
        <v>2907</v>
      </c>
      <c r="D916" s="892">
        <v>1770</v>
      </c>
      <c r="E916" s="892"/>
      <c r="F916" s="892">
        <v>1770</v>
      </c>
    </row>
    <row r="918" spans="1:6" ht="30">
      <c r="C918" s="896" t="s">
        <v>2901</v>
      </c>
      <c r="D918" s="892"/>
      <c r="E918" s="892"/>
      <c r="F918" s="892"/>
    </row>
    <row r="919" spans="1:6" ht="30">
      <c r="C919" s="896" t="s">
        <v>2902</v>
      </c>
      <c r="D919" s="892">
        <v>1000</v>
      </c>
      <c r="E919" s="892" t="s">
        <v>412</v>
      </c>
      <c r="F919" s="892">
        <v>1000</v>
      </c>
    </row>
    <row r="920" spans="1:6">
      <c r="C920" s="896"/>
      <c r="D920" s="892"/>
      <c r="E920" s="892"/>
      <c r="F920" s="892"/>
    </row>
    <row r="921" spans="1:6">
      <c r="C921" s="896"/>
      <c r="D921" s="892"/>
      <c r="E921" s="892"/>
      <c r="F921" s="892"/>
    </row>
    <row r="922" spans="1:6" ht="30">
      <c r="C922" s="896" t="s">
        <v>2903</v>
      </c>
      <c r="D922" s="892">
        <v>466.6</v>
      </c>
      <c r="E922" s="892" t="s">
        <v>412</v>
      </c>
      <c r="F922" s="892">
        <v>466.6</v>
      </c>
    </row>
    <row r="923" spans="1:6">
      <c r="C923" s="896"/>
      <c r="D923" s="892"/>
      <c r="E923" s="892"/>
      <c r="F923" s="892"/>
    </row>
    <row r="924" spans="1:6" ht="30">
      <c r="C924" s="896" t="s">
        <v>2904</v>
      </c>
      <c r="D924" s="892">
        <v>375.7</v>
      </c>
      <c r="E924" s="892" t="s">
        <v>412</v>
      </c>
      <c r="F924" s="892">
        <v>375.7</v>
      </c>
    </row>
    <row r="925" spans="1:6">
      <c r="C925" s="896"/>
      <c r="D925" s="892"/>
      <c r="E925" s="892"/>
      <c r="F925" s="892"/>
    </row>
    <row r="926" spans="1:6" ht="30">
      <c r="C926" s="896" t="s">
        <v>2905</v>
      </c>
      <c r="D926" s="892"/>
      <c r="E926" s="892"/>
      <c r="F926" s="892"/>
    </row>
    <row r="927" spans="1:6">
      <c r="C927" s="896" t="s">
        <v>2906</v>
      </c>
      <c r="D927" s="892">
        <v>847</v>
      </c>
      <c r="E927" s="892" t="s">
        <v>412</v>
      </c>
      <c r="F927" s="892">
        <v>847</v>
      </c>
    </row>
    <row r="929" spans="1:6" ht="30">
      <c r="A929" s="892" t="s">
        <v>2016</v>
      </c>
      <c r="B929" s="892" t="s">
        <v>307</v>
      </c>
      <c r="C929" s="896" t="s">
        <v>3467</v>
      </c>
      <c r="D929" s="892"/>
      <c r="E929" s="892"/>
      <c r="F929" s="892"/>
    </row>
    <row r="930" spans="1:6">
      <c r="A930" s="892"/>
      <c r="B930" s="892"/>
      <c r="C930" s="896" t="s">
        <v>1999</v>
      </c>
      <c r="D930" s="892"/>
      <c r="E930" s="892"/>
      <c r="F930" s="892"/>
    </row>
    <row r="931" spans="1:6">
      <c r="A931" s="892"/>
      <c r="B931" s="892"/>
      <c r="C931" s="896" t="s">
        <v>2021</v>
      </c>
      <c r="D931" s="892"/>
      <c r="E931" s="892"/>
      <c r="F931" s="892"/>
    </row>
    <row r="932" spans="1:6">
      <c r="A932" s="892"/>
      <c r="B932" s="892"/>
      <c r="C932" s="896" t="s">
        <v>534</v>
      </c>
      <c r="D932" s="892"/>
      <c r="E932" s="892"/>
      <c r="F932" s="892"/>
    </row>
    <row r="933" spans="1:6" ht="30">
      <c r="A933" s="892">
        <v>1.4</v>
      </c>
      <c r="B933" s="892" t="s">
        <v>2006</v>
      </c>
      <c r="C933" s="896" t="s">
        <v>2025</v>
      </c>
      <c r="D933" s="892">
        <v>289.8</v>
      </c>
      <c r="E933" s="892" t="s">
        <v>2006</v>
      </c>
      <c r="F933" s="892">
        <v>405.72</v>
      </c>
    </row>
    <row r="934" spans="1:6">
      <c r="A934" s="892">
        <v>0.98</v>
      </c>
      <c r="B934" s="892" t="s">
        <v>2006</v>
      </c>
      <c r="C934" s="896" t="s">
        <v>2026</v>
      </c>
      <c r="D934" s="892">
        <v>144.69999999999999</v>
      </c>
      <c r="E934" s="892" t="s">
        <v>2006</v>
      </c>
      <c r="F934" s="892">
        <v>141.81</v>
      </c>
    </row>
    <row r="935" spans="1:6">
      <c r="A935" s="892">
        <v>2.2000000000000002</v>
      </c>
      <c r="B935" s="892" t="s">
        <v>680</v>
      </c>
      <c r="C935" s="896" t="s">
        <v>2008</v>
      </c>
      <c r="D935" s="892">
        <v>676.5</v>
      </c>
      <c r="E935" s="892" t="s">
        <v>680</v>
      </c>
      <c r="F935" s="892">
        <v>1488.3</v>
      </c>
    </row>
    <row r="936" spans="1:6">
      <c r="A936" s="892"/>
      <c r="B936" s="892" t="s">
        <v>589</v>
      </c>
      <c r="C936" s="896" t="s">
        <v>1914</v>
      </c>
      <c r="D936" s="892" t="s">
        <v>22</v>
      </c>
      <c r="E936" s="892" t="s">
        <v>589</v>
      </c>
      <c r="F936" s="892">
        <v>2.5499999999999998</v>
      </c>
    </row>
    <row r="937" spans="1:6">
      <c r="A937" s="892"/>
      <c r="B937" s="892"/>
      <c r="C937" s="896"/>
      <c r="D937" s="892"/>
      <c r="E937" s="892"/>
      <c r="F937" s="892"/>
    </row>
    <row r="938" spans="1:6">
      <c r="A938" s="892"/>
      <c r="B938" s="892"/>
      <c r="C938" s="896" t="s">
        <v>879</v>
      </c>
      <c r="D938" s="892"/>
      <c r="E938" s="892"/>
      <c r="F938" s="892">
        <v>2038.38</v>
      </c>
    </row>
    <row r="939" spans="1:6">
      <c r="A939" s="892"/>
      <c r="B939" s="892"/>
      <c r="C939" s="896"/>
      <c r="D939" s="892"/>
      <c r="E939" s="892"/>
      <c r="F939" s="892" t="s">
        <v>534</v>
      </c>
    </row>
    <row r="940" spans="1:6">
      <c r="A940" s="892"/>
      <c r="B940" s="892"/>
      <c r="C940" s="896" t="s">
        <v>881</v>
      </c>
      <c r="D940" s="892"/>
      <c r="E940" s="892"/>
      <c r="F940" s="892">
        <v>203.84</v>
      </c>
    </row>
    <row r="941" spans="1:6">
      <c r="A941" s="892" t="s">
        <v>22</v>
      </c>
      <c r="B941" s="892"/>
      <c r="C941" s="896"/>
      <c r="D941" s="892"/>
      <c r="E941" s="892"/>
      <c r="F941" s="892"/>
    </row>
    <row r="942" spans="1:6" ht="30">
      <c r="A942" s="892"/>
      <c r="B942" s="892" t="s">
        <v>307</v>
      </c>
      <c r="C942" s="896" t="s">
        <v>3413</v>
      </c>
      <c r="D942" s="892"/>
      <c r="E942" s="892"/>
      <c r="F942" s="892"/>
    </row>
    <row r="943" spans="1:6">
      <c r="A943" s="892"/>
      <c r="B943" s="892"/>
      <c r="C943" s="896" t="s">
        <v>1999</v>
      </c>
      <c r="D943" s="892"/>
      <c r="E943" s="892"/>
      <c r="F943" s="892"/>
    </row>
    <row r="944" spans="1:6">
      <c r="A944" s="892"/>
      <c r="B944" s="892"/>
      <c r="C944" s="896" t="s">
        <v>3073</v>
      </c>
      <c r="D944" s="892"/>
      <c r="E944" s="892"/>
      <c r="F944" s="892"/>
    </row>
    <row r="945" spans="1:6">
      <c r="A945" s="892"/>
      <c r="B945" s="892"/>
      <c r="C945" s="896" t="s">
        <v>534</v>
      </c>
      <c r="D945" s="892"/>
      <c r="E945" s="892"/>
      <c r="F945" s="892"/>
    </row>
    <row r="946" spans="1:6">
      <c r="A946" s="892">
        <v>1.34</v>
      </c>
      <c r="B946" s="892" t="s">
        <v>420</v>
      </c>
      <c r="C946" s="896" t="s">
        <v>3074</v>
      </c>
      <c r="D946" s="892">
        <v>72.400000000000006</v>
      </c>
      <c r="E946" s="892" t="s">
        <v>420</v>
      </c>
      <c r="F946" s="892">
        <v>97.02</v>
      </c>
    </row>
    <row r="947" spans="1:6">
      <c r="A947" s="892">
        <v>0.5</v>
      </c>
      <c r="B947" s="892" t="s">
        <v>680</v>
      </c>
      <c r="C947" s="896" t="s">
        <v>2008</v>
      </c>
      <c r="D947" s="892">
        <v>676.5</v>
      </c>
      <c r="E947" s="892" t="s">
        <v>680</v>
      </c>
      <c r="F947" s="892">
        <v>338.25</v>
      </c>
    </row>
    <row r="948" spans="1:6">
      <c r="A948" s="892">
        <v>0.5</v>
      </c>
      <c r="B948" s="892" t="s">
        <v>680</v>
      </c>
      <c r="C948" s="896" t="s">
        <v>754</v>
      </c>
      <c r="D948" s="892">
        <v>552.20000000000005</v>
      </c>
      <c r="E948" s="892" t="s">
        <v>680</v>
      </c>
      <c r="F948" s="892">
        <v>276.10000000000002</v>
      </c>
    </row>
    <row r="949" spans="1:6">
      <c r="A949" s="892">
        <v>0.8</v>
      </c>
      <c r="B949" s="892" t="s">
        <v>680</v>
      </c>
      <c r="C949" s="896" t="s">
        <v>756</v>
      </c>
      <c r="D949" s="892">
        <v>453.2</v>
      </c>
      <c r="E949" s="892" t="s">
        <v>680</v>
      </c>
      <c r="F949" s="892">
        <v>362.56</v>
      </c>
    </row>
    <row r="950" spans="1:6">
      <c r="A950" s="892"/>
      <c r="B950" s="892" t="s">
        <v>589</v>
      </c>
      <c r="C950" s="896" t="s">
        <v>1914</v>
      </c>
      <c r="D950" s="892" t="s">
        <v>22</v>
      </c>
      <c r="E950" s="892" t="s">
        <v>589</v>
      </c>
      <c r="F950" s="892">
        <v>2.6</v>
      </c>
    </row>
    <row r="951" spans="1:6">
      <c r="A951" s="892"/>
      <c r="B951" s="892"/>
      <c r="C951" s="896"/>
      <c r="D951" s="892"/>
      <c r="E951" s="892"/>
      <c r="F951" s="892" t="s">
        <v>534</v>
      </c>
    </row>
    <row r="952" spans="1:6">
      <c r="A952" s="892"/>
      <c r="B952" s="892"/>
      <c r="C952" s="896" t="s">
        <v>879</v>
      </c>
      <c r="D952" s="892"/>
      <c r="E952" s="892"/>
      <c r="F952" s="892">
        <v>1076.53</v>
      </c>
    </row>
    <row r="953" spans="1:6">
      <c r="A953" s="892"/>
      <c r="B953" s="892"/>
      <c r="C953" s="896"/>
      <c r="D953" s="892"/>
      <c r="E953" s="892"/>
      <c r="F953" s="892" t="s">
        <v>534</v>
      </c>
    </row>
    <row r="954" spans="1:6">
      <c r="A954" s="892"/>
      <c r="B954" s="892"/>
      <c r="C954" s="896" t="s">
        <v>881</v>
      </c>
      <c r="D954" s="892"/>
      <c r="E954" s="892"/>
      <c r="F954" s="892">
        <v>107.65</v>
      </c>
    </row>
    <row r="956" spans="1:6">
      <c r="A956" s="892"/>
      <c r="B956" s="892"/>
      <c r="C956" s="896" t="s">
        <v>3414</v>
      </c>
      <c r="D956" s="892"/>
      <c r="E956" s="892"/>
      <c r="F956" s="892"/>
    </row>
    <row r="957" spans="1:6">
      <c r="A957" s="892"/>
      <c r="B957" s="892"/>
      <c r="C957" s="896" t="s">
        <v>2621</v>
      </c>
      <c r="D957" s="892"/>
      <c r="E957" s="892"/>
      <c r="F957" s="892"/>
    </row>
    <row r="958" spans="1:6">
      <c r="A958" s="892"/>
      <c r="B958" s="892"/>
      <c r="C958" s="896" t="s">
        <v>2624</v>
      </c>
      <c r="D958" s="892"/>
      <c r="E958" s="892"/>
      <c r="F958" s="892"/>
    </row>
    <row r="959" spans="1:6">
      <c r="A959" s="892"/>
      <c r="B959" s="892"/>
      <c r="C959" s="896" t="s">
        <v>2625</v>
      </c>
      <c r="D959" s="892"/>
      <c r="E959" s="892"/>
      <c r="F959" s="892"/>
    </row>
    <row r="960" spans="1:6">
      <c r="A960" s="892"/>
      <c r="B960" s="892"/>
      <c r="C960" s="896" t="s">
        <v>534</v>
      </c>
      <c r="D960" s="892" t="s">
        <v>534</v>
      </c>
      <c r="E960" s="892"/>
      <c r="F960" s="892"/>
    </row>
    <row r="961" spans="1:6">
      <c r="A961" s="892">
        <v>8</v>
      </c>
      <c r="B961" s="892" t="s">
        <v>1882</v>
      </c>
      <c r="C961" s="896" t="s">
        <v>2627</v>
      </c>
      <c r="D961" s="892">
        <v>4.0999999999999996</v>
      </c>
      <c r="E961" s="892" t="s">
        <v>332</v>
      </c>
      <c r="F961" s="892">
        <v>32.799999999999997</v>
      </c>
    </row>
    <row r="962" spans="1:6">
      <c r="A962" s="892">
        <v>8</v>
      </c>
      <c r="B962" s="892" t="s">
        <v>1882</v>
      </c>
      <c r="C962" s="896" t="s">
        <v>2628</v>
      </c>
      <c r="D962" s="892">
        <v>3.69</v>
      </c>
      <c r="E962" s="892" t="s">
        <v>332</v>
      </c>
      <c r="F962" s="892">
        <v>29.52</v>
      </c>
    </row>
    <row r="963" spans="1:6">
      <c r="A963" s="892">
        <v>8</v>
      </c>
      <c r="B963" s="892" t="s">
        <v>1882</v>
      </c>
      <c r="C963" s="896" t="s">
        <v>2629</v>
      </c>
      <c r="D963" s="892">
        <v>4.0999999999999996</v>
      </c>
      <c r="E963" s="892" t="s">
        <v>332</v>
      </c>
      <c r="F963" s="892">
        <v>32.799999999999997</v>
      </c>
    </row>
    <row r="964" spans="1:6">
      <c r="A964" s="892">
        <v>0.75</v>
      </c>
      <c r="B964" s="892" t="s">
        <v>420</v>
      </c>
      <c r="C964" s="896" t="s">
        <v>2630</v>
      </c>
      <c r="D964" s="892">
        <v>176.4</v>
      </c>
      <c r="E964" s="892" t="s">
        <v>332</v>
      </c>
      <c r="F964" s="892">
        <v>132.30000000000001</v>
      </c>
    </row>
    <row r="965" spans="1:6">
      <c r="A965" s="892">
        <v>2.25</v>
      </c>
      <c r="B965" s="892" t="s">
        <v>2631</v>
      </c>
      <c r="C965" s="896" t="s">
        <v>2632</v>
      </c>
      <c r="D965" s="892">
        <v>140.41</v>
      </c>
      <c r="E965" s="892" t="s">
        <v>2631</v>
      </c>
      <c r="F965" s="892">
        <v>315.92</v>
      </c>
    </row>
    <row r="966" spans="1:6">
      <c r="A966" s="892">
        <v>4.5</v>
      </c>
      <c r="B966" s="892" t="s">
        <v>2631</v>
      </c>
      <c r="C966" s="896" t="s">
        <v>2633</v>
      </c>
      <c r="D966" s="892">
        <v>65</v>
      </c>
      <c r="E966" s="892" t="s">
        <v>2631</v>
      </c>
      <c r="F966" s="892">
        <v>292.5</v>
      </c>
    </row>
    <row r="967" spans="1:6">
      <c r="A967" s="892">
        <v>6</v>
      </c>
      <c r="B967" s="892" t="s">
        <v>1882</v>
      </c>
      <c r="C967" s="896" t="s">
        <v>2635</v>
      </c>
      <c r="D967" s="892">
        <v>8</v>
      </c>
      <c r="E967" s="892" t="s">
        <v>332</v>
      </c>
      <c r="F967" s="892">
        <v>48</v>
      </c>
    </row>
    <row r="968" spans="1:6">
      <c r="A968" s="892">
        <v>6</v>
      </c>
      <c r="B968" s="892" t="s">
        <v>1882</v>
      </c>
      <c r="C968" s="896" t="s">
        <v>2636</v>
      </c>
      <c r="D968" s="892">
        <v>8.61</v>
      </c>
      <c r="E968" s="892" t="s">
        <v>332</v>
      </c>
      <c r="F968" s="892">
        <v>51.66</v>
      </c>
    </row>
    <row r="969" spans="1:6">
      <c r="A969" s="892">
        <v>4</v>
      </c>
      <c r="B969" s="892" t="s">
        <v>1882</v>
      </c>
      <c r="C969" s="896" t="s">
        <v>2637</v>
      </c>
      <c r="D969" s="892">
        <v>8.61</v>
      </c>
      <c r="E969" s="892" t="s">
        <v>332</v>
      </c>
      <c r="F969" s="892">
        <v>34.44</v>
      </c>
    </row>
    <row r="970" spans="1:6">
      <c r="A970" s="892">
        <v>300</v>
      </c>
      <c r="B970" s="892" t="s">
        <v>2638</v>
      </c>
      <c r="C970" s="896" t="s">
        <v>2639</v>
      </c>
      <c r="D970" s="892">
        <v>30</v>
      </c>
      <c r="E970" s="892" t="s">
        <v>2640</v>
      </c>
      <c r="F970" s="892">
        <v>90</v>
      </c>
    </row>
    <row r="971" spans="1:6">
      <c r="A971" s="892">
        <v>300</v>
      </c>
      <c r="B971" s="892" t="s">
        <v>2638</v>
      </c>
      <c r="C971" s="896" t="s">
        <v>2641</v>
      </c>
      <c r="D971" s="892">
        <v>44.99</v>
      </c>
      <c r="E971" s="892" t="s">
        <v>2642</v>
      </c>
      <c r="F971" s="892">
        <v>26.99</v>
      </c>
    </row>
    <row r="972" spans="1:6">
      <c r="A972" s="892">
        <v>1.5</v>
      </c>
      <c r="B972" s="892" t="s">
        <v>420</v>
      </c>
      <c r="C972" s="896" t="s">
        <v>2643</v>
      </c>
      <c r="D972" s="892">
        <v>20.95</v>
      </c>
      <c r="E972" s="892" t="s">
        <v>420</v>
      </c>
      <c r="F972" s="892">
        <v>31.43</v>
      </c>
    </row>
    <row r="973" spans="1:6">
      <c r="A973" s="892">
        <v>2.25</v>
      </c>
      <c r="B973" s="892" t="s">
        <v>2631</v>
      </c>
      <c r="C973" s="896" t="s">
        <v>2644</v>
      </c>
      <c r="D973" s="892">
        <v>212.41</v>
      </c>
      <c r="E973" s="892" t="s">
        <v>2631</v>
      </c>
      <c r="F973" s="892">
        <v>477.92</v>
      </c>
    </row>
    <row r="974" spans="1:6">
      <c r="A974" s="892">
        <v>0.75</v>
      </c>
      <c r="B974" s="892" t="s">
        <v>2631</v>
      </c>
      <c r="C974" s="896" t="s">
        <v>2645</v>
      </c>
      <c r="D974" s="892">
        <v>205.21</v>
      </c>
      <c r="E974" s="892" t="s">
        <v>2631</v>
      </c>
      <c r="F974" s="892">
        <v>153.91</v>
      </c>
    </row>
    <row r="975" spans="1:6">
      <c r="A975" s="892">
        <v>2.25</v>
      </c>
      <c r="B975" s="892" t="s">
        <v>2631</v>
      </c>
      <c r="C975" s="896" t="s">
        <v>2646</v>
      </c>
      <c r="D975" s="892">
        <v>185.21</v>
      </c>
      <c r="E975" s="892" t="s">
        <v>2631</v>
      </c>
      <c r="F975" s="892">
        <v>416.72</v>
      </c>
    </row>
    <row r="976" spans="1:6">
      <c r="A976" s="892">
        <v>500</v>
      </c>
      <c r="B976" s="892" t="s">
        <v>2638</v>
      </c>
      <c r="C976" s="896" t="s">
        <v>2647</v>
      </c>
      <c r="D976" s="892">
        <v>52.25</v>
      </c>
      <c r="E976" s="892" t="s">
        <v>420</v>
      </c>
      <c r="F976" s="892">
        <v>26.13</v>
      </c>
    </row>
    <row r="977" spans="1:6">
      <c r="A977" s="892">
        <v>1</v>
      </c>
      <c r="B977" s="892" t="s">
        <v>1882</v>
      </c>
      <c r="C977" s="896" t="s">
        <v>2649</v>
      </c>
      <c r="D977" s="892">
        <v>131.21</v>
      </c>
      <c r="E977" s="892" t="s">
        <v>2650</v>
      </c>
      <c r="F977" s="892">
        <v>131.21</v>
      </c>
    </row>
    <row r="978" spans="1:6">
      <c r="A978" s="892">
        <v>1</v>
      </c>
      <c r="B978" s="892" t="s">
        <v>1882</v>
      </c>
      <c r="C978" s="896" t="s">
        <v>2652</v>
      </c>
      <c r="D978" s="892">
        <v>12.3</v>
      </c>
      <c r="E978" s="892" t="s">
        <v>2650</v>
      </c>
      <c r="F978" s="892">
        <v>12.3</v>
      </c>
    </row>
    <row r="979" spans="1:6">
      <c r="A979" s="892">
        <v>4</v>
      </c>
      <c r="B979" s="892" t="s">
        <v>1882</v>
      </c>
      <c r="C979" s="896" t="s">
        <v>2654</v>
      </c>
      <c r="D979" s="892">
        <v>676.5</v>
      </c>
      <c r="E979" s="892" t="s">
        <v>332</v>
      </c>
      <c r="F979" s="892">
        <v>2706</v>
      </c>
    </row>
    <row r="980" spans="1:6">
      <c r="A980" s="892">
        <v>2</v>
      </c>
      <c r="B980" s="892" t="s">
        <v>1882</v>
      </c>
      <c r="C980" s="896" t="s">
        <v>2655</v>
      </c>
      <c r="D980" s="892">
        <v>654.5</v>
      </c>
      <c r="E980" s="892" t="s">
        <v>332</v>
      </c>
      <c r="F980" s="892">
        <v>1309</v>
      </c>
    </row>
    <row r="981" spans="1:6">
      <c r="A981" s="892">
        <v>2</v>
      </c>
      <c r="B981" s="892" t="s">
        <v>1882</v>
      </c>
      <c r="C981" s="896" t="s">
        <v>2656</v>
      </c>
      <c r="D981" s="892">
        <v>453.2</v>
      </c>
      <c r="E981" s="892" t="s">
        <v>332</v>
      </c>
      <c r="F981" s="892">
        <v>906.4</v>
      </c>
    </row>
    <row r="982" spans="1:6">
      <c r="A982" s="892"/>
      <c r="B982" s="892"/>
      <c r="C982" s="896" t="s">
        <v>2659</v>
      </c>
      <c r="D982" s="892"/>
      <c r="E982" s="892"/>
      <c r="F982" s="892">
        <v>20</v>
      </c>
    </row>
    <row r="983" spans="1:6">
      <c r="A983" s="892"/>
      <c r="B983" s="892"/>
      <c r="C983" s="896"/>
      <c r="D983" s="892"/>
      <c r="E983" s="892"/>
      <c r="F983" s="892" t="s">
        <v>2660</v>
      </c>
    </row>
    <row r="984" spans="1:6">
      <c r="A984" s="892"/>
      <c r="B984" s="892"/>
      <c r="C984" s="896" t="s">
        <v>3415</v>
      </c>
      <c r="D984" s="892"/>
      <c r="E984" s="892"/>
      <c r="F984" s="892">
        <v>7277.95</v>
      </c>
    </row>
    <row r="985" spans="1:6">
      <c r="A985" s="892"/>
      <c r="B985" s="892"/>
      <c r="C985" s="896"/>
      <c r="D985" s="892"/>
      <c r="E985" s="892"/>
      <c r="F985" s="892" t="s">
        <v>528</v>
      </c>
    </row>
    <row r="986" spans="1:6">
      <c r="A986" s="892"/>
      <c r="B986" s="892"/>
      <c r="C986" s="896" t="s">
        <v>2662</v>
      </c>
      <c r="D986" s="892"/>
      <c r="E986" s="892"/>
      <c r="F986" s="892">
        <v>1283.5899999999999</v>
      </c>
    </row>
    <row r="988" spans="1:6">
      <c r="A988" s="892"/>
      <c r="B988" s="892"/>
      <c r="C988" s="896" t="s">
        <v>1979</v>
      </c>
      <c r="D988" s="892"/>
      <c r="E988" s="892" t="s">
        <v>1980</v>
      </c>
      <c r="F988" s="892"/>
    </row>
    <row r="989" spans="1:6">
      <c r="A989" s="892"/>
      <c r="B989" s="892"/>
      <c r="C989" s="896"/>
      <c r="D989" s="892"/>
      <c r="E989" s="892"/>
      <c r="F989" s="892"/>
    </row>
    <row r="990" spans="1:6">
      <c r="A990" s="892"/>
      <c r="B990" s="892"/>
      <c r="C990" s="896"/>
      <c r="D990" s="892"/>
      <c r="E990" s="892"/>
      <c r="F990" s="892"/>
    </row>
    <row r="991" spans="1:6">
      <c r="A991" s="892">
        <v>10</v>
      </c>
      <c r="B991" s="892" t="s">
        <v>916</v>
      </c>
      <c r="C991" s="896" t="s">
        <v>3416</v>
      </c>
      <c r="D991" s="892">
        <v>421.3</v>
      </c>
      <c r="E991" s="892" t="s">
        <v>916</v>
      </c>
      <c r="F991" s="892">
        <v>4213</v>
      </c>
    </row>
    <row r="992" spans="1:6">
      <c r="A992" s="892">
        <v>0.21</v>
      </c>
      <c r="B992" s="892" t="s">
        <v>577</v>
      </c>
      <c r="C992" s="896" t="s">
        <v>1951</v>
      </c>
      <c r="D992" s="892">
        <v>4399.3999999999996</v>
      </c>
      <c r="E992" s="892" t="s">
        <v>577</v>
      </c>
      <c r="F992" s="892">
        <v>923.87</v>
      </c>
    </row>
    <row r="993" spans="1:6">
      <c r="A993" s="892">
        <v>1.1000000000000001</v>
      </c>
      <c r="B993" s="892" t="s">
        <v>680</v>
      </c>
      <c r="C993" s="896" t="s">
        <v>778</v>
      </c>
      <c r="D993" s="892">
        <v>845.9</v>
      </c>
      <c r="E993" s="892" t="s">
        <v>680</v>
      </c>
      <c r="F993" s="892">
        <v>930.49</v>
      </c>
    </row>
    <row r="994" spans="1:6">
      <c r="A994" s="892">
        <v>1.1000000000000001</v>
      </c>
      <c r="B994" s="892" t="s">
        <v>680</v>
      </c>
      <c r="C994" s="896" t="s">
        <v>752</v>
      </c>
      <c r="D994" s="892">
        <v>789.8</v>
      </c>
      <c r="E994" s="892" t="s">
        <v>680</v>
      </c>
      <c r="F994" s="892">
        <v>868.78</v>
      </c>
    </row>
    <row r="995" spans="1:6">
      <c r="A995" s="892">
        <v>2.2000000000000002</v>
      </c>
      <c r="B995" s="892" t="s">
        <v>680</v>
      </c>
      <c r="C995" s="896" t="s">
        <v>754</v>
      </c>
      <c r="D995" s="892">
        <v>552.20000000000005</v>
      </c>
      <c r="E995" s="892" t="s">
        <v>680</v>
      </c>
      <c r="F995" s="892">
        <v>1214.8399999999999</v>
      </c>
    </row>
    <row r="996" spans="1:6">
      <c r="A996" s="892">
        <v>2.2000000000000002</v>
      </c>
      <c r="B996" s="892" t="s">
        <v>680</v>
      </c>
      <c r="C996" s="896" t="s">
        <v>756</v>
      </c>
      <c r="D996" s="892">
        <v>453.2</v>
      </c>
      <c r="E996" s="892" t="s">
        <v>680</v>
      </c>
      <c r="F996" s="892">
        <v>997.04</v>
      </c>
    </row>
    <row r="997" spans="1:6">
      <c r="A997" s="899">
        <v>20</v>
      </c>
      <c r="B997" s="892" t="s">
        <v>420</v>
      </c>
      <c r="C997" s="896" t="s">
        <v>568</v>
      </c>
      <c r="D997" s="892">
        <v>5800</v>
      </c>
      <c r="E997" s="892" t="s">
        <v>567</v>
      </c>
      <c r="F997" s="892">
        <v>116</v>
      </c>
    </row>
    <row r="998" spans="1:6">
      <c r="A998" s="899">
        <v>2</v>
      </c>
      <c r="B998" s="892" t="s">
        <v>420</v>
      </c>
      <c r="C998" s="896" t="s">
        <v>1973</v>
      </c>
      <c r="D998" s="892">
        <v>36.1</v>
      </c>
      <c r="E998" s="892" t="s">
        <v>420</v>
      </c>
      <c r="F998" s="892">
        <v>72.2</v>
      </c>
    </row>
    <row r="999" spans="1:6">
      <c r="A999" s="892">
        <v>1.6</v>
      </c>
      <c r="B999" s="892" t="s">
        <v>680</v>
      </c>
      <c r="C999" s="896" t="s">
        <v>752</v>
      </c>
      <c r="D999" s="892">
        <v>789.8</v>
      </c>
      <c r="E999" s="892" t="s">
        <v>680</v>
      </c>
      <c r="F999" s="892">
        <v>1263.68</v>
      </c>
    </row>
    <row r="1000" spans="1:6">
      <c r="A1000" s="892">
        <v>0.5</v>
      </c>
      <c r="B1000" s="892" t="s">
        <v>680</v>
      </c>
      <c r="C1000" s="896" t="s">
        <v>754</v>
      </c>
      <c r="D1000" s="892">
        <v>552.20000000000005</v>
      </c>
      <c r="E1000" s="892" t="s">
        <v>680</v>
      </c>
      <c r="F1000" s="892">
        <v>276.10000000000002</v>
      </c>
    </row>
    <row r="1001" spans="1:6">
      <c r="A1001" s="892">
        <v>1.1000000000000001</v>
      </c>
      <c r="B1001" s="892" t="s">
        <v>680</v>
      </c>
      <c r="C1001" s="896" t="s">
        <v>756</v>
      </c>
      <c r="D1001" s="892">
        <v>453.2</v>
      </c>
      <c r="E1001" s="892" t="s">
        <v>680</v>
      </c>
      <c r="F1001" s="892">
        <v>498.52</v>
      </c>
    </row>
    <row r="1002" spans="1:6">
      <c r="A1002" s="892"/>
      <c r="B1002" s="892" t="s">
        <v>589</v>
      </c>
      <c r="C1002" s="896" t="s">
        <v>590</v>
      </c>
      <c r="D1002" s="892"/>
      <c r="E1002" s="892" t="s">
        <v>589</v>
      </c>
      <c r="F1002" s="892">
        <v>0</v>
      </c>
    </row>
    <row r="1003" spans="1:6">
      <c r="A1003" s="892"/>
      <c r="B1003" s="892"/>
      <c r="C1003" s="896"/>
      <c r="D1003" s="892"/>
      <c r="E1003" s="892"/>
      <c r="F1003" s="892"/>
    </row>
    <row r="1004" spans="1:6">
      <c r="A1004" s="892"/>
      <c r="B1004" s="892"/>
      <c r="C1004" s="896" t="s">
        <v>879</v>
      </c>
      <c r="D1004" s="892"/>
      <c r="E1004" s="892"/>
      <c r="F1004" s="892">
        <v>11374.52</v>
      </c>
    </row>
    <row r="1005" spans="1:6">
      <c r="A1005" s="892"/>
      <c r="B1005" s="892"/>
      <c r="C1005" s="896"/>
      <c r="D1005" s="892"/>
      <c r="E1005" s="892"/>
      <c r="F1005" s="892" t="s">
        <v>534</v>
      </c>
    </row>
    <row r="1006" spans="1:6">
      <c r="A1006" s="892"/>
      <c r="B1006" s="892"/>
      <c r="C1006" s="896" t="s">
        <v>881</v>
      </c>
      <c r="D1006" s="892"/>
      <c r="E1006" s="892"/>
      <c r="F1006" s="892">
        <v>1137.45</v>
      </c>
    </row>
    <row r="1008" spans="1:6" ht="30">
      <c r="A1008" s="892"/>
      <c r="B1008" s="892"/>
      <c r="C1008" s="896" t="s">
        <v>1948</v>
      </c>
      <c r="D1008" s="892"/>
      <c r="E1008" s="892"/>
      <c r="F1008" s="892"/>
    </row>
    <row r="1009" spans="1:6">
      <c r="A1009" s="892"/>
      <c r="B1009" s="892"/>
      <c r="C1009" s="896"/>
      <c r="D1009" s="892"/>
      <c r="E1009" s="892"/>
      <c r="F1009" s="892"/>
    </row>
    <row r="1010" spans="1:6">
      <c r="A1010" s="892"/>
      <c r="B1010" s="892"/>
      <c r="C1010" s="896"/>
      <c r="D1010" s="892"/>
      <c r="E1010" s="892"/>
      <c r="F1010" s="892"/>
    </row>
    <row r="1011" spans="1:6">
      <c r="A1011" s="892">
        <v>10</v>
      </c>
      <c r="B1011" s="892" t="s">
        <v>916</v>
      </c>
      <c r="C1011" s="896" t="s">
        <v>3417</v>
      </c>
      <c r="D1011" s="892">
        <v>599</v>
      </c>
      <c r="E1011" s="892" t="s">
        <v>916</v>
      </c>
      <c r="F1011" s="892">
        <v>5990</v>
      </c>
    </row>
    <row r="1012" spans="1:6">
      <c r="A1012" s="892">
        <v>0.21</v>
      </c>
      <c r="B1012" s="892" t="s">
        <v>577</v>
      </c>
      <c r="C1012" s="896" t="s">
        <v>1951</v>
      </c>
      <c r="D1012" s="892">
        <v>4399.3999999999996</v>
      </c>
      <c r="E1012" s="892" t="s">
        <v>577</v>
      </c>
      <c r="F1012" s="892">
        <v>923.87</v>
      </c>
    </row>
    <row r="1013" spans="1:6">
      <c r="A1013" s="892">
        <v>1.1000000000000001</v>
      </c>
      <c r="B1013" s="892" t="s">
        <v>680</v>
      </c>
      <c r="C1013" s="896" t="s">
        <v>778</v>
      </c>
      <c r="D1013" s="892">
        <v>845.9</v>
      </c>
      <c r="E1013" s="892" t="s">
        <v>680</v>
      </c>
      <c r="F1013" s="892">
        <v>930.49</v>
      </c>
    </row>
    <row r="1014" spans="1:6">
      <c r="A1014" s="892">
        <v>1.1000000000000001</v>
      </c>
      <c r="B1014" s="892" t="s">
        <v>680</v>
      </c>
      <c r="C1014" s="896" t="s">
        <v>752</v>
      </c>
      <c r="D1014" s="892">
        <v>789.8</v>
      </c>
      <c r="E1014" s="892" t="s">
        <v>680</v>
      </c>
      <c r="F1014" s="892">
        <v>868.78</v>
      </c>
    </row>
    <row r="1015" spans="1:6">
      <c r="A1015" s="892">
        <v>2.2000000000000002</v>
      </c>
      <c r="B1015" s="892" t="s">
        <v>680</v>
      </c>
      <c r="C1015" s="896" t="s">
        <v>754</v>
      </c>
      <c r="D1015" s="892">
        <v>552.20000000000005</v>
      </c>
      <c r="E1015" s="892" t="s">
        <v>680</v>
      </c>
      <c r="F1015" s="892">
        <v>1214.8399999999999</v>
      </c>
    </row>
    <row r="1016" spans="1:6">
      <c r="A1016" s="892">
        <v>2.2000000000000002</v>
      </c>
      <c r="B1016" s="892" t="s">
        <v>680</v>
      </c>
      <c r="C1016" s="896" t="s">
        <v>756</v>
      </c>
      <c r="D1016" s="892">
        <v>453.2</v>
      </c>
      <c r="E1016" s="892" t="s">
        <v>680</v>
      </c>
      <c r="F1016" s="892">
        <v>997.04</v>
      </c>
    </row>
    <row r="1017" spans="1:6">
      <c r="A1017" s="899">
        <v>20</v>
      </c>
      <c r="B1017" s="892" t="s">
        <v>420</v>
      </c>
      <c r="C1017" s="896" t="s">
        <v>568</v>
      </c>
      <c r="D1017" s="892">
        <v>5800</v>
      </c>
      <c r="E1017" s="892" t="s">
        <v>567</v>
      </c>
      <c r="F1017" s="892">
        <v>116</v>
      </c>
    </row>
    <row r="1018" spans="1:6">
      <c r="A1018" s="899">
        <v>2</v>
      </c>
      <c r="B1018" s="892" t="s">
        <v>420</v>
      </c>
      <c r="C1018" s="896" t="s">
        <v>1960</v>
      </c>
      <c r="D1018" s="892">
        <v>24.5</v>
      </c>
      <c r="E1018" s="892" t="s">
        <v>420</v>
      </c>
      <c r="F1018" s="892">
        <v>49</v>
      </c>
    </row>
    <row r="1019" spans="1:6">
      <c r="A1019" s="892">
        <v>1.6</v>
      </c>
      <c r="B1019" s="892" t="s">
        <v>680</v>
      </c>
      <c r="C1019" s="896" t="s">
        <v>752</v>
      </c>
      <c r="D1019" s="892">
        <v>789.8</v>
      </c>
      <c r="E1019" s="892" t="s">
        <v>680</v>
      </c>
      <c r="F1019" s="892">
        <v>1263.68</v>
      </c>
    </row>
    <row r="1020" spans="1:6">
      <c r="A1020" s="892">
        <v>0.5</v>
      </c>
      <c r="B1020" s="892" t="s">
        <v>680</v>
      </c>
      <c r="C1020" s="896" t="s">
        <v>754</v>
      </c>
      <c r="D1020" s="892">
        <v>552.20000000000005</v>
      </c>
      <c r="E1020" s="892" t="s">
        <v>680</v>
      </c>
      <c r="F1020" s="892">
        <v>276.10000000000002</v>
      </c>
    </row>
    <row r="1021" spans="1:6">
      <c r="A1021" s="892">
        <v>1.1000000000000001</v>
      </c>
      <c r="B1021" s="892" t="s">
        <v>680</v>
      </c>
      <c r="C1021" s="896" t="s">
        <v>756</v>
      </c>
      <c r="D1021" s="892">
        <v>453.2</v>
      </c>
      <c r="E1021" s="892" t="s">
        <v>680</v>
      </c>
      <c r="F1021" s="892">
        <v>498.52</v>
      </c>
    </row>
    <row r="1022" spans="1:6">
      <c r="A1022" s="892"/>
      <c r="B1022" s="892" t="s">
        <v>589</v>
      </c>
      <c r="C1022" s="896" t="s">
        <v>590</v>
      </c>
      <c r="D1022" s="892"/>
      <c r="E1022" s="892" t="s">
        <v>589</v>
      </c>
      <c r="F1022" s="892">
        <v>4.5999999999999996</v>
      </c>
    </row>
    <row r="1023" spans="1:6">
      <c r="A1023" s="892"/>
      <c r="B1023" s="892"/>
      <c r="C1023" s="896"/>
      <c r="D1023" s="892"/>
      <c r="E1023" s="892"/>
      <c r="F1023" s="892" t="s">
        <v>534</v>
      </c>
    </row>
    <row r="1024" spans="1:6">
      <c r="A1024" s="892"/>
      <c r="B1024" s="892"/>
      <c r="C1024" s="896" t="s">
        <v>879</v>
      </c>
      <c r="D1024" s="892"/>
      <c r="E1024" s="892"/>
      <c r="F1024" s="892">
        <v>13132.92</v>
      </c>
    </row>
    <row r="1025" spans="1:6">
      <c r="A1025" s="892"/>
      <c r="B1025" s="892"/>
      <c r="C1025" s="896"/>
      <c r="D1025" s="892"/>
      <c r="E1025" s="892"/>
      <c r="F1025" s="892" t="s">
        <v>534</v>
      </c>
    </row>
    <row r="1026" spans="1:6">
      <c r="A1026" s="892"/>
      <c r="B1026" s="892"/>
      <c r="C1026" s="896" t="s">
        <v>881</v>
      </c>
      <c r="D1026" s="892"/>
      <c r="E1026" s="892"/>
      <c r="F1026" s="892">
        <v>1313.29</v>
      </c>
    </row>
    <row r="1028" spans="1:6">
      <c r="A1028" s="892"/>
      <c r="B1028" s="892"/>
      <c r="C1028" s="896" t="s">
        <v>3241</v>
      </c>
      <c r="D1028" s="892"/>
      <c r="E1028" s="892"/>
      <c r="F1028" s="892"/>
    </row>
    <row r="1029" spans="1:6">
      <c r="A1029" s="892"/>
      <c r="B1029" s="892"/>
      <c r="C1029" s="896" t="s">
        <v>534</v>
      </c>
      <c r="D1029" s="892"/>
      <c r="E1029" s="892"/>
      <c r="F1029" s="892"/>
    </row>
    <row r="1030" spans="1:6">
      <c r="A1030" s="892"/>
      <c r="B1030" s="892" t="s">
        <v>307</v>
      </c>
      <c r="C1030" s="896" t="s">
        <v>3243</v>
      </c>
      <c r="D1030" s="892"/>
      <c r="E1030" s="892"/>
      <c r="F1030" s="892"/>
    </row>
    <row r="1031" spans="1:6">
      <c r="A1031" s="892"/>
      <c r="B1031" s="892"/>
      <c r="C1031" s="896" t="s">
        <v>3245</v>
      </c>
      <c r="D1031" s="892"/>
      <c r="E1031" s="892"/>
      <c r="F1031" s="892"/>
    </row>
    <row r="1032" spans="1:6">
      <c r="A1032" s="892"/>
      <c r="B1032" s="892"/>
      <c r="C1032" s="896" t="s">
        <v>1117</v>
      </c>
      <c r="D1032" s="892"/>
      <c r="E1032" s="892"/>
      <c r="F1032" s="892"/>
    </row>
    <row r="1033" spans="1:6">
      <c r="A1033" s="892"/>
      <c r="B1033" s="892"/>
      <c r="C1033" s="896" t="s">
        <v>534</v>
      </c>
      <c r="D1033" s="892"/>
      <c r="E1033" s="892"/>
      <c r="F1033" s="892"/>
    </row>
    <row r="1034" spans="1:6">
      <c r="A1034" s="892"/>
      <c r="B1034" s="892" t="s">
        <v>1118</v>
      </c>
      <c r="C1034" s="896" t="s">
        <v>3249</v>
      </c>
      <c r="D1034" s="892"/>
      <c r="E1034" s="892"/>
      <c r="F1034" s="892"/>
    </row>
    <row r="1035" spans="1:6">
      <c r="A1035" s="892"/>
      <c r="B1035" s="892"/>
      <c r="C1035" s="896" t="s">
        <v>534</v>
      </c>
      <c r="D1035" s="892"/>
      <c r="E1035" s="892"/>
      <c r="F1035" s="892"/>
    </row>
    <row r="1036" spans="1:6">
      <c r="A1036" s="892">
        <v>18.899999999999999</v>
      </c>
      <c r="B1036" s="892" t="s">
        <v>577</v>
      </c>
      <c r="C1036" s="896" t="s">
        <v>1122</v>
      </c>
      <c r="D1036" s="892">
        <v>184.8</v>
      </c>
      <c r="E1036" s="892" t="s">
        <v>577</v>
      </c>
      <c r="F1036" s="892">
        <v>3492.72</v>
      </c>
    </row>
    <row r="1037" spans="1:6">
      <c r="A1037" s="892">
        <v>18.63</v>
      </c>
      <c r="B1037" s="892" t="s">
        <v>577</v>
      </c>
      <c r="C1037" s="896" t="s">
        <v>1123</v>
      </c>
      <c r="D1037" s="892">
        <v>32.229999999999997</v>
      </c>
      <c r="E1037" s="892" t="s">
        <v>577</v>
      </c>
      <c r="F1037" s="892">
        <v>600.44000000000005</v>
      </c>
    </row>
    <row r="1038" spans="1:6" ht="30">
      <c r="A1038" s="892">
        <v>30</v>
      </c>
      <c r="B1038" s="892" t="s">
        <v>410</v>
      </c>
      <c r="C1038" s="896" t="s">
        <v>3253</v>
      </c>
      <c r="D1038" s="892">
        <v>191</v>
      </c>
      <c r="E1038" s="892" t="s">
        <v>410</v>
      </c>
      <c r="F1038" s="892">
        <v>5730</v>
      </c>
    </row>
    <row r="1039" spans="1:6">
      <c r="A1039" s="892"/>
      <c r="B1039" s="892"/>
      <c r="C1039" s="896"/>
      <c r="D1039" s="892"/>
      <c r="E1039" s="892"/>
      <c r="F1039" s="892"/>
    </row>
    <row r="1040" spans="1:6">
      <c r="A1040" s="892">
        <v>30</v>
      </c>
      <c r="B1040" s="892" t="s">
        <v>410</v>
      </c>
      <c r="C1040" s="896" t="s">
        <v>1124</v>
      </c>
      <c r="D1040" s="892">
        <v>11.02</v>
      </c>
      <c r="E1040" s="892" t="s">
        <v>410</v>
      </c>
      <c r="F1040" s="892">
        <v>330.6</v>
      </c>
    </row>
    <row r="1041" spans="1:6">
      <c r="A1041" s="892"/>
      <c r="B1041" s="892"/>
      <c r="C1041" s="896" t="s">
        <v>1125</v>
      </c>
      <c r="D1041" s="892"/>
      <c r="E1041" s="892"/>
      <c r="F1041" s="892"/>
    </row>
    <row r="1042" spans="1:6">
      <c r="A1042" s="892"/>
      <c r="B1042" s="892"/>
      <c r="C1042" s="896" t="s">
        <v>1126</v>
      </c>
      <c r="D1042" s="892"/>
      <c r="E1042" s="892"/>
      <c r="F1042" s="892"/>
    </row>
    <row r="1043" spans="1:6">
      <c r="A1043" s="892"/>
      <c r="B1043" s="892"/>
      <c r="C1043" s="896" t="s">
        <v>1127</v>
      </c>
      <c r="D1043" s="892"/>
      <c r="E1043" s="892"/>
      <c r="F1043" s="892"/>
    </row>
    <row r="1044" spans="1:6">
      <c r="A1044" s="892"/>
      <c r="B1044" s="892"/>
      <c r="C1044" s="896" t="s">
        <v>3258</v>
      </c>
      <c r="D1044" s="892"/>
      <c r="E1044" s="892"/>
      <c r="F1044" s="892"/>
    </row>
    <row r="1045" spans="1:6">
      <c r="A1045" s="892"/>
      <c r="B1045" s="892"/>
      <c r="C1045" s="896"/>
      <c r="D1045" s="892"/>
      <c r="E1045" s="892"/>
      <c r="F1045" s="892"/>
    </row>
    <row r="1046" spans="1:6">
      <c r="A1046" s="892">
        <v>5</v>
      </c>
      <c r="B1046" s="892" t="s">
        <v>680</v>
      </c>
      <c r="C1046" s="896" t="s">
        <v>3259</v>
      </c>
      <c r="D1046" s="892">
        <v>35.6</v>
      </c>
      <c r="E1046" s="892" t="s">
        <v>680</v>
      </c>
      <c r="F1046" s="892">
        <v>178</v>
      </c>
    </row>
    <row r="1047" spans="1:6">
      <c r="A1047" s="892">
        <v>1</v>
      </c>
      <c r="B1047" s="892" t="s">
        <v>589</v>
      </c>
      <c r="C1047" s="896" t="s">
        <v>1136</v>
      </c>
      <c r="D1047" s="892">
        <v>12.1</v>
      </c>
      <c r="E1047" s="892" t="s">
        <v>589</v>
      </c>
      <c r="F1047" s="892">
        <v>12.1</v>
      </c>
    </row>
    <row r="1048" spans="1:6">
      <c r="A1048" s="892"/>
      <c r="B1048" s="892" t="s">
        <v>589</v>
      </c>
      <c r="C1048" s="896" t="s">
        <v>590</v>
      </c>
      <c r="D1048" s="892"/>
      <c r="E1048" s="892" t="s">
        <v>589</v>
      </c>
      <c r="F1048" s="892">
        <v>17.100000000000001</v>
      </c>
    </row>
    <row r="1049" spans="1:6">
      <c r="A1049" s="892"/>
      <c r="B1049" s="892"/>
      <c r="C1049" s="896"/>
      <c r="D1049" s="892"/>
      <c r="E1049" s="892"/>
      <c r="F1049" s="892"/>
    </row>
    <row r="1050" spans="1:6">
      <c r="A1050" s="892"/>
      <c r="B1050" s="892"/>
      <c r="C1050" s="896"/>
      <c r="D1050" s="892"/>
      <c r="E1050" s="892"/>
      <c r="F1050" s="892" t="s">
        <v>534</v>
      </c>
    </row>
    <row r="1051" spans="1:6">
      <c r="A1051" s="892"/>
      <c r="B1051" s="892"/>
      <c r="C1051" s="896" t="s">
        <v>1138</v>
      </c>
      <c r="D1051" s="892"/>
      <c r="E1051" s="892"/>
      <c r="F1051" s="892">
        <v>10360.959999999999</v>
      </c>
    </row>
    <row r="1052" spans="1:6">
      <c r="A1052" s="892"/>
      <c r="B1052" s="892"/>
      <c r="C1052" s="896"/>
      <c r="D1052" s="892"/>
      <c r="E1052" s="892"/>
      <c r="F1052" s="892" t="s">
        <v>534</v>
      </c>
    </row>
    <row r="1053" spans="1:6">
      <c r="A1053" s="892"/>
      <c r="B1053" s="892"/>
      <c r="C1053" s="896" t="s">
        <v>1139</v>
      </c>
      <c r="D1053" s="892"/>
      <c r="E1053" s="892"/>
      <c r="F1053" s="892">
        <v>345.37</v>
      </c>
    </row>
    <row r="1054" spans="1:6">
      <c r="A1054" s="892"/>
      <c r="B1054" s="892"/>
      <c r="C1054" s="896"/>
      <c r="D1054" s="892"/>
      <c r="E1054" s="892"/>
      <c r="F1054" s="892" t="s">
        <v>534</v>
      </c>
    </row>
    <row r="1055" spans="1:6">
      <c r="A1055" s="892"/>
      <c r="B1055" s="892" t="s">
        <v>7</v>
      </c>
      <c r="C1055" s="896" t="s">
        <v>3260</v>
      </c>
      <c r="D1055" s="892"/>
      <c r="E1055" s="892"/>
      <c r="F1055" s="892"/>
    </row>
    <row r="1056" spans="1:6">
      <c r="A1056" s="892"/>
      <c r="B1056" s="892"/>
      <c r="C1056" s="896" t="s">
        <v>534</v>
      </c>
      <c r="D1056" s="892"/>
      <c r="E1056" s="892"/>
      <c r="F1056" s="892"/>
    </row>
    <row r="1057" spans="1:6">
      <c r="A1057" s="892">
        <v>18.899999999999999</v>
      </c>
      <c r="B1057" s="892" t="s">
        <v>577</v>
      </c>
      <c r="C1057" s="896" t="s">
        <v>1122</v>
      </c>
      <c r="D1057" s="892">
        <v>184.8</v>
      </c>
      <c r="E1057" s="892" t="s">
        <v>577</v>
      </c>
      <c r="F1057" s="892">
        <v>3492.72</v>
      </c>
    </row>
    <row r="1058" spans="1:6">
      <c r="A1058" s="892">
        <v>18.3</v>
      </c>
      <c r="B1058" s="892" t="s">
        <v>577</v>
      </c>
      <c r="C1058" s="896" t="s">
        <v>1123</v>
      </c>
      <c r="D1058" s="892">
        <v>32.229999999999997</v>
      </c>
      <c r="E1058" s="892" t="s">
        <v>577</v>
      </c>
      <c r="F1058" s="892">
        <v>589.80999999999995</v>
      </c>
    </row>
    <row r="1059" spans="1:6" ht="30">
      <c r="A1059" s="892">
        <v>30</v>
      </c>
      <c r="B1059" s="892" t="s">
        <v>410</v>
      </c>
      <c r="C1059" s="896" t="s">
        <v>3262</v>
      </c>
      <c r="D1059" s="892">
        <v>402</v>
      </c>
      <c r="E1059" s="892" t="s">
        <v>410</v>
      </c>
      <c r="F1059" s="892">
        <v>12060</v>
      </c>
    </row>
    <row r="1060" spans="1:6">
      <c r="A1060" s="892"/>
      <c r="B1060" s="892"/>
      <c r="C1060" s="896"/>
      <c r="D1060" s="892"/>
      <c r="E1060" s="892"/>
      <c r="F1060" s="892"/>
    </row>
    <row r="1061" spans="1:6">
      <c r="A1061" s="892">
        <v>30</v>
      </c>
      <c r="B1061" s="892"/>
      <c r="C1061" s="896" t="s">
        <v>1124</v>
      </c>
      <c r="D1061" s="892">
        <v>15.54</v>
      </c>
      <c r="E1061" s="892" t="s">
        <v>410</v>
      </c>
      <c r="F1061" s="892">
        <v>466.2</v>
      </c>
    </row>
    <row r="1062" spans="1:6">
      <c r="A1062" s="892"/>
      <c r="B1062" s="892"/>
      <c r="C1062" s="896" t="s">
        <v>1125</v>
      </c>
      <c r="D1062" s="892"/>
      <c r="E1062" s="892"/>
      <c r="F1062" s="892"/>
    </row>
    <row r="1063" spans="1:6">
      <c r="A1063" s="892"/>
      <c r="B1063" s="892"/>
      <c r="C1063" s="896" t="s">
        <v>1126</v>
      </c>
      <c r="D1063" s="892"/>
      <c r="E1063" s="892"/>
      <c r="F1063" s="892"/>
    </row>
    <row r="1064" spans="1:6">
      <c r="A1064" s="892"/>
      <c r="B1064" s="892"/>
      <c r="C1064" s="896" t="s">
        <v>1127</v>
      </c>
      <c r="D1064" s="892"/>
      <c r="E1064" s="892"/>
      <c r="F1064" s="892"/>
    </row>
    <row r="1065" spans="1:6">
      <c r="A1065" s="892"/>
      <c r="B1065" s="892"/>
      <c r="C1065" s="896" t="s">
        <v>3258</v>
      </c>
      <c r="D1065" s="892"/>
      <c r="E1065" s="892"/>
      <c r="F1065" s="892"/>
    </row>
    <row r="1066" spans="1:6">
      <c r="A1066" s="892"/>
      <c r="B1066" s="892"/>
      <c r="C1066" s="896"/>
      <c r="D1066" s="892"/>
      <c r="E1066" s="892"/>
      <c r="F1066" s="892"/>
    </row>
    <row r="1067" spans="1:6">
      <c r="A1067" s="892">
        <v>5</v>
      </c>
      <c r="B1067" s="892" t="s">
        <v>589</v>
      </c>
      <c r="C1067" s="896" t="s">
        <v>3259</v>
      </c>
      <c r="D1067" s="892">
        <v>35.6</v>
      </c>
      <c r="E1067" s="892" t="s">
        <v>680</v>
      </c>
      <c r="F1067" s="892">
        <v>178</v>
      </c>
    </row>
    <row r="1068" spans="1:6">
      <c r="A1068" s="892">
        <v>1</v>
      </c>
      <c r="B1068" s="892"/>
      <c r="C1068" s="896" t="s">
        <v>1136</v>
      </c>
      <c r="D1068" s="892">
        <v>12.1</v>
      </c>
      <c r="E1068" s="892" t="s">
        <v>589</v>
      </c>
      <c r="F1068" s="892">
        <v>12.1</v>
      </c>
    </row>
    <row r="1069" spans="1:6">
      <c r="A1069" s="892"/>
      <c r="B1069" s="892"/>
      <c r="C1069" s="896" t="s">
        <v>590</v>
      </c>
      <c r="D1069" s="892"/>
      <c r="E1069" s="892" t="s">
        <v>589</v>
      </c>
      <c r="F1069" s="892">
        <v>24.3</v>
      </c>
    </row>
    <row r="1070" spans="1:6">
      <c r="A1070" s="892"/>
      <c r="B1070" s="892"/>
      <c r="C1070" s="896"/>
      <c r="D1070" s="892"/>
      <c r="E1070" s="892"/>
      <c r="F1070" s="892"/>
    </row>
    <row r="1071" spans="1:6">
      <c r="A1071" s="892"/>
      <c r="B1071" s="892"/>
      <c r="C1071" s="896" t="s">
        <v>1138</v>
      </c>
      <c r="D1071" s="892"/>
      <c r="E1071" s="892"/>
      <c r="F1071" s="892">
        <v>16823.13</v>
      </c>
    </row>
    <row r="1072" spans="1:6">
      <c r="A1072" s="892"/>
      <c r="B1072" s="892"/>
      <c r="C1072" s="896"/>
      <c r="D1072" s="892"/>
      <c r="E1072" s="892"/>
      <c r="F1072" s="892" t="s">
        <v>534</v>
      </c>
    </row>
    <row r="1073" spans="1:6">
      <c r="A1073" s="892"/>
      <c r="B1073" s="892"/>
      <c r="C1073" s="896" t="s">
        <v>1139</v>
      </c>
      <c r="D1073" s="892"/>
      <c r="E1073" s="892"/>
      <c r="F1073" s="892">
        <v>560.77</v>
      </c>
    </row>
    <row r="1075" spans="1:6" ht="30">
      <c r="A1075" s="897">
        <v>52</v>
      </c>
      <c r="B1075" s="892" t="s">
        <v>307</v>
      </c>
      <c r="C1075" s="896" t="s">
        <v>2322</v>
      </c>
      <c r="D1075" s="892"/>
      <c r="E1075" s="892"/>
      <c r="F1075" s="892"/>
    </row>
    <row r="1076" spans="1:6">
      <c r="A1076" s="892"/>
      <c r="B1076" s="892"/>
      <c r="C1076" s="896" t="s">
        <v>2323</v>
      </c>
      <c r="D1076" s="892"/>
      <c r="E1076" s="892"/>
      <c r="F1076" s="892"/>
    </row>
    <row r="1077" spans="1:6">
      <c r="A1077" s="892"/>
      <c r="B1077" s="892"/>
      <c r="C1077" s="896" t="s">
        <v>2325</v>
      </c>
      <c r="D1077" s="892"/>
      <c r="E1077" s="892"/>
      <c r="F1077" s="892"/>
    </row>
    <row r="1078" spans="1:6">
      <c r="A1078" s="892"/>
      <c r="B1078" s="892"/>
      <c r="C1078" s="896" t="s">
        <v>2327</v>
      </c>
      <c r="D1078" s="892"/>
      <c r="E1078" s="892"/>
      <c r="F1078" s="892"/>
    </row>
    <row r="1079" spans="1:6" ht="30">
      <c r="A1079" s="892"/>
      <c r="B1079" s="892"/>
      <c r="C1079" s="896" t="s">
        <v>2328</v>
      </c>
      <c r="D1079" s="892"/>
      <c r="E1079" s="892"/>
      <c r="F1079" s="892"/>
    </row>
    <row r="1080" spans="1:6" ht="30">
      <c r="A1080" s="892"/>
      <c r="B1080" s="892"/>
      <c r="C1080" s="896" t="s">
        <v>2329</v>
      </c>
      <c r="D1080" s="892"/>
      <c r="E1080" s="892"/>
      <c r="F1080" s="892"/>
    </row>
    <row r="1081" spans="1:6">
      <c r="A1081" s="892"/>
      <c r="B1081" s="892"/>
      <c r="C1081" s="896" t="s">
        <v>2330</v>
      </c>
      <c r="D1081" s="892"/>
      <c r="E1081" s="892"/>
      <c r="F1081" s="892"/>
    </row>
    <row r="1082" spans="1:6">
      <c r="A1082" s="892"/>
      <c r="B1082" s="892"/>
      <c r="C1082" s="896" t="s">
        <v>2331</v>
      </c>
      <c r="D1082" s="892"/>
      <c r="E1082" s="892"/>
      <c r="F1082" s="892"/>
    </row>
    <row r="1083" spans="1:6">
      <c r="A1083" s="892"/>
      <c r="B1083" s="892"/>
      <c r="C1083" s="896" t="s">
        <v>528</v>
      </c>
      <c r="D1083" s="892" t="s">
        <v>528</v>
      </c>
      <c r="E1083" s="892"/>
      <c r="F1083" s="892"/>
    </row>
    <row r="1084" spans="1:6">
      <c r="A1084" s="892"/>
      <c r="B1084" s="892" t="s">
        <v>307</v>
      </c>
      <c r="C1084" s="896" t="s">
        <v>2332</v>
      </c>
      <c r="D1084" s="892"/>
      <c r="E1084" s="892"/>
      <c r="F1084" s="892"/>
    </row>
    <row r="1085" spans="1:6">
      <c r="A1085" s="892"/>
      <c r="B1085" s="892"/>
      <c r="C1085" s="896" t="s">
        <v>2333</v>
      </c>
      <c r="D1085" s="892"/>
      <c r="E1085" s="892"/>
      <c r="F1085" s="892"/>
    </row>
    <row r="1086" spans="1:6">
      <c r="A1086" s="892"/>
      <c r="B1086" s="892" t="s">
        <v>1563</v>
      </c>
      <c r="C1086" s="896" t="s">
        <v>2334</v>
      </c>
      <c r="D1086" s="892"/>
      <c r="E1086" s="892"/>
      <c r="F1086" s="892"/>
    </row>
    <row r="1087" spans="1:6">
      <c r="A1087" s="892"/>
      <c r="B1087" s="892"/>
      <c r="C1087" s="896" t="s">
        <v>534</v>
      </c>
      <c r="D1087" s="892"/>
      <c r="E1087" s="892"/>
      <c r="F1087" s="892"/>
    </row>
    <row r="1088" spans="1:6">
      <c r="A1088" s="892">
        <v>1</v>
      </c>
      <c r="B1088" s="892" t="s">
        <v>41</v>
      </c>
      <c r="C1088" s="896" t="s">
        <v>2335</v>
      </c>
      <c r="D1088" s="892">
        <v>26</v>
      </c>
      <c r="E1088" s="892" t="s">
        <v>41</v>
      </c>
      <c r="F1088" s="892">
        <v>26</v>
      </c>
    </row>
    <row r="1089" spans="1:6">
      <c r="A1089" s="892">
        <v>1</v>
      </c>
      <c r="B1089" s="892" t="s">
        <v>589</v>
      </c>
      <c r="C1089" s="896" t="s">
        <v>2336</v>
      </c>
      <c r="D1089" s="892">
        <v>18.2</v>
      </c>
      <c r="E1089" s="892" t="s">
        <v>589</v>
      </c>
      <c r="F1089" s="892">
        <v>18.2</v>
      </c>
    </row>
    <row r="1090" spans="1:6">
      <c r="A1090" s="892">
        <v>1</v>
      </c>
      <c r="B1090" s="892" t="s">
        <v>41</v>
      </c>
      <c r="C1090" s="896" t="s">
        <v>2337</v>
      </c>
      <c r="D1090" s="892">
        <v>155.59</v>
      </c>
      <c r="E1090" s="892" t="s">
        <v>41</v>
      </c>
      <c r="F1090" s="892">
        <v>155.59</v>
      </c>
    </row>
    <row r="1091" spans="1:6">
      <c r="A1091" s="892"/>
      <c r="B1091" s="892"/>
      <c r="C1091" s="896"/>
      <c r="D1091" s="892" t="s">
        <v>22</v>
      </c>
      <c r="E1091" s="892"/>
      <c r="F1091" s="892" t="s">
        <v>534</v>
      </c>
    </row>
    <row r="1092" spans="1:6">
      <c r="A1092" s="892"/>
      <c r="B1092" s="892"/>
      <c r="C1092" s="896" t="s">
        <v>2338</v>
      </c>
      <c r="D1092" s="892"/>
      <c r="E1092" s="892"/>
      <c r="F1092" s="892">
        <v>199.79</v>
      </c>
    </row>
    <row r="1093" spans="1:6">
      <c r="A1093" s="892"/>
      <c r="B1093" s="892"/>
      <c r="C1093" s="896" t="s">
        <v>22</v>
      </c>
      <c r="D1093" s="892" t="s">
        <v>22</v>
      </c>
      <c r="E1093" s="892"/>
      <c r="F1093" s="892" t="s">
        <v>528</v>
      </c>
    </row>
    <row r="1094" spans="1:6">
      <c r="A1094" s="892"/>
      <c r="B1094" s="892" t="s">
        <v>1530</v>
      </c>
      <c r="C1094" s="896" t="s">
        <v>2340</v>
      </c>
      <c r="D1094" s="892"/>
      <c r="E1094" s="892"/>
      <c r="F1094" s="892"/>
    </row>
    <row r="1095" spans="1:6">
      <c r="A1095" s="892"/>
      <c r="B1095" s="892"/>
      <c r="C1095" s="896" t="s">
        <v>534</v>
      </c>
      <c r="D1095" s="892"/>
      <c r="E1095" s="892"/>
      <c r="F1095" s="892"/>
    </row>
    <row r="1096" spans="1:6">
      <c r="A1096" s="892">
        <v>1</v>
      </c>
      <c r="B1096" s="892" t="s">
        <v>41</v>
      </c>
      <c r="C1096" s="896" t="s">
        <v>2342</v>
      </c>
      <c r="D1096" s="892">
        <v>35</v>
      </c>
      <c r="E1096" s="892" t="s">
        <v>41</v>
      </c>
      <c r="F1096" s="892">
        <v>35</v>
      </c>
    </row>
    <row r="1097" spans="1:6">
      <c r="A1097" s="892">
        <v>1</v>
      </c>
      <c r="B1097" s="892" t="s">
        <v>589</v>
      </c>
      <c r="C1097" s="896" t="s">
        <v>2344</v>
      </c>
      <c r="D1097" s="892">
        <v>14</v>
      </c>
      <c r="E1097" s="892" t="s">
        <v>589</v>
      </c>
      <c r="F1097" s="892">
        <v>14</v>
      </c>
    </row>
    <row r="1098" spans="1:6">
      <c r="A1098" s="892">
        <v>1</v>
      </c>
      <c r="B1098" s="892" t="s">
        <v>41</v>
      </c>
      <c r="C1098" s="896" t="s">
        <v>2337</v>
      </c>
      <c r="D1098" s="892">
        <v>158.43</v>
      </c>
      <c r="E1098" s="892" t="s">
        <v>41</v>
      </c>
      <c r="F1098" s="892">
        <v>158.43</v>
      </c>
    </row>
    <row r="1099" spans="1:6">
      <c r="A1099" s="892"/>
      <c r="B1099" s="892"/>
      <c r="C1099" s="896"/>
      <c r="D1099" s="892" t="s">
        <v>22</v>
      </c>
      <c r="E1099" s="892"/>
      <c r="F1099" s="892" t="s">
        <v>534</v>
      </c>
    </row>
    <row r="1100" spans="1:6">
      <c r="A1100" s="892"/>
      <c r="B1100" s="892"/>
      <c r="C1100" s="896" t="s">
        <v>2338</v>
      </c>
      <c r="D1100" s="892"/>
      <c r="E1100" s="892"/>
      <c r="F1100" s="892">
        <v>207.43</v>
      </c>
    </row>
    <row r="1101" spans="1:6">
      <c r="A1101" s="892"/>
      <c r="B1101" s="892"/>
      <c r="C1101" s="896"/>
      <c r="D1101" s="892" t="s">
        <v>22</v>
      </c>
      <c r="E1101" s="892"/>
      <c r="F1101" s="892" t="s">
        <v>528</v>
      </c>
    </row>
    <row r="1102" spans="1:6">
      <c r="A1102" s="892"/>
      <c r="B1102" s="892" t="s">
        <v>1501</v>
      </c>
      <c r="C1102" s="896" t="s">
        <v>2345</v>
      </c>
      <c r="D1102" s="892"/>
      <c r="E1102" s="892"/>
      <c r="F1102" s="892"/>
    </row>
    <row r="1103" spans="1:6">
      <c r="A1103" s="892"/>
      <c r="B1103" s="892"/>
      <c r="C1103" s="896" t="s">
        <v>534</v>
      </c>
      <c r="D1103" s="892"/>
      <c r="E1103" s="892"/>
      <c r="F1103" s="892"/>
    </row>
    <row r="1104" spans="1:6">
      <c r="A1104" s="892">
        <v>1</v>
      </c>
      <c r="B1104" s="892" t="s">
        <v>41</v>
      </c>
      <c r="C1104" s="896" t="s">
        <v>2347</v>
      </c>
      <c r="D1104" s="892">
        <v>52</v>
      </c>
      <c r="E1104" s="892" t="s">
        <v>41</v>
      </c>
      <c r="F1104" s="892">
        <v>52</v>
      </c>
    </row>
    <row r="1105" spans="1:6">
      <c r="A1105" s="892">
        <v>1</v>
      </c>
      <c r="B1105" s="892" t="s">
        <v>589</v>
      </c>
      <c r="C1105" s="896" t="s">
        <v>2343</v>
      </c>
      <c r="D1105" s="892">
        <v>10.4</v>
      </c>
      <c r="E1105" s="892" t="s">
        <v>589</v>
      </c>
      <c r="F1105" s="892">
        <v>10.4</v>
      </c>
    </row>
    <row r="1106" spans="1:6">
      <c r="A1106" s="892">
        <v>1</v>
      </c>
      <c r="B1106" s="892" t="s">
        <v>41</v>
      </c>
      <c r="C1106" s="896" t="s">
        <v>2337</v>
      </c>
      <c r="D1106" s="892">
        <v>160.85</v>
      </c>
      <c r="E1106" s="892" t="s">
        <v>41</v>
      </c>
      <c r="F1106" s="892">
        <v>160.85</v>
      </c>
    </row>
    <row r="1107" spans="1:6">
      <c r="A1107" s="892"/>
      <c r="B1107" s="892"/>
      <c r="C1107" s="896"/>
      <c r="D1107" s="892" t="s">
        <v>22</v>
      </c>
      <c r="E1107" s="892"/>
      <c r="F1107" s="892" t="s">
        <v>534</v>
      </c>
    </row>
    <row r="1108" spans="1:6">
      <c r="A1108" s="892"/>
      <c r="B1108" s="892"/>
      <c r="C1108" s="896" t="s">
        <v>2338</v>
      </c>
      <c r="D1108" s="892"/>
      <c r="E1108" s="892"/>
      <c r="F1108" s="892">
        <v>223.25</v>
      </c>
    </row>
    <row r="1109" spans="1:6">
      <c r="A1109" s="892"/>
      <c r="B1109" s="892"/>
      <c r="C1109" s="896"/>
      <c r="D1109" s="892" t="s">
        <v>22</v>
      </c>
      <c r="E1109" s="892"/>
      <c r="F1109" s="892" t="s">
        <v>528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G. Abstractfinal</vt:lpstr>
      <vt:lpstr>C.Abstract </vt:lpstr>
      <vt:lpstr>Abstract A3</vt:lpstr>
      <vt:lpstr>Main</vt:lpstr>
      <vt:lpstr>PP</vt:lpstr>
      <vt:lpstr>Data</vt:lpstr>
      <vt:lpstr>Data est</vt:lpstr>
      <vt:lpstr>Est Data</vt:lpstr>
      <vt:lpstr>'Abstract A3'!Print_Area</vt:lpstr>
      <vt:lpstr>'C.Abstract '!Print_Area</vt:lpstr>
      <vt:lpstr>Data!Print_Area</vt:lpstr>
      <vt:lpstr>'Data est'!Print_Area</vt:lpstr>
      <vt:lpstr>'Est Data'!Print_Area</vt:lpstr>
      <vt:lpstr>'G. Abstractfinal'!Print_Area</vt:lpstr>
      <vt:lpstr>Main!Print_Area</vt:lpstr>
      <vt:lpstr>Data!Print_Area_MI</vt:lpstr>
      <vt:lpstr>Data!PRINT_TITLES_MI</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Admin</cp:lastModifiedBy>
  <cp:lastPrinted>2020-03-13T10:35:56Z</cp:lastPrinted>
  <dcterms:created xsi:type="dcterms:W3CDTF">2020-03-07T10:20:42Z</dcterms:created>
  <dcterms:modified xsi:type="dcterms:W3CDTF">2020-06-04T06:42:09Z</dcterms:modified>
</cp:coreProperties>
</file>