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15510" windowHeight="7575" tabRatio="887" firstSheet="8" activeTab="8"/>
  </bookViews>
  <sheets>
    <sheet name="pile data ( M30 grade) (2)" sheetId="50" r:id="rId1"/>
    <sheet name="2 in 1 incl. F.E." sheetId="64" r:id="rId2"/>
    <sheet name="pile data " sheetId="32" state="hidden" r:id="rId3"/>
    <sheet name="  Coastal  Elec.Data " sheetId="27" state="hidden" r:id="rId4"/>
    <sheet name="lead  charge" sheetId="4" state="hidden" r:id="rId5"/>
    <sheet name="Elec.Data" sheetId="11" state="hidden" r:id="rId6"/>
    <sheet name="Sliding and french window" sheetId="25" state="hidden" r:id="rId7"/>
    <sheet name="building" sheetId="55" state="hidden" r:id="rId8"/>
    <sheet name="Abstract" sheetId="71" r:id="rId9"/>
    <sheet name="Detailed" sheetId="72" r:id="rId10"/>
    <sheet name="Data" sheetId="1" r:id="rId11"/>
    <sheet name="Print Data" sheetId="73" r:id="rId12"/>
    <sheet name="Sheet1" sheetId="65" state="hidden"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___A65539" localSheetId="8">#REF!</definedName>
    <definedName name="____A65539" localSheetId="9">#REF!</definedName>
    <definedName name="____A65539" localSheetId="11">#REF!</definedName>
    <definedName name="____A65539">#REF!</definedName>
    <definedName name="___A65539" localSheetId="8">#REF!</definedName>
    <definedName name="___A65539" localSheetId="9">#REF!</definedName>
    <definedName name="___A65539" localSheetId="11">#REF!</definedName>
    <definedName name="___A65539">#REF!</definedName>
    <definedName name="__A65539" localSheetId="8">#REF!</definedName>
    <definedName name="__A65539" localSheetId="9">#REF!</definedName>
    <definedName name="__A65539" localSheetId="11">#REF!</definedName>
    <definedName name="__A65539">#REF!</definedName>
    <definedName name="_A65539">#REF!</definedName>
    <definedName name="_xlnm._FilterDatabase" localSheetId="7" hidden="1">building!$A$4:$AL$501</definedName>
    <definedName name="a">#REF!</definedName>
    <definedName name="a3424\">#REF!</definedName>
    <definedName name="ahfk" localSheetId="8">#REF!</definedName>
    <definedName name="ahfk" localSheetId="9">#REF!</definedName>
    <definedName name="ahfk" localSheetId="11">#REF!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xtra_Pay">#REF!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ull_Print">#REF!</definedName>
    <definedName name="gsgsg" localSheetId="8">#REF!</definedName>
    <definedName name="gsgsg" localSheetId="9">#REF!</definedName>
    <definedName name="gsgsg">#REF!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k404." localSheetId="8">#REF!</definedName>
    <definedName name="k404." localSheetId="9">#REF!</definedName>
    <definedName name="k404." localSheetId="11">#REF!</definedName>
    <definedName name="k404.">#REF!</definedName>
    <definedName name="kasper">#REF!</definedName>
    <definedName name="Last_Row" localSheetId="8">IF(Abstract!Values_Entered,Header_Row+Abstract!Number_of_Payments,Header_Row)</definedName>
    <definedName name="Last_Row" localSheetId="9">IF(Detailed!Values_Entered,Header_Row+Detailed!Number_of_Payments,Header_Row)</definedName>
    <definedName name="Last_Row" localSheetId="11">IF('Print Data'!Values_Entered,Header_Row+'Print Data'!Number_of_Payments,Header_Row)</definedName>
    <definedName name="Last_Row">IF(Abstract!Values_Entered,Header_Row+Abstract!Number_of_Payments,Header_Row)</definedName>
    <definedName name="Loan_Amount" localSheetId="8">#REF!</definedName>
    <definedName name="Loan_Amount" localSheetId="9">#REF!</definedName>
    <definedName name="Loan_Amount" localSheetId="11">#REF!</definedName>
    <definedName name="Loan_Amount">#REF!</definedName>
    <definedName name="Loan_Start" localSheetId="8">#REF!</definedName>
    <definedName name="Loan_Start" localSheetId="9">#REF!</definedName>
    <definedName name="Loan_Start" localSheetId="11">#REF!</definedName>
    <definedName name="Loan_Start">#REF!</definedName>
    <definedName name="Loan_Years" localSheetId="8">#REF!</definedName>
    <definedName name="Loan_Years" localSheetId="9">#REF!</definedName>
    <definedName name="Loan_Years" localSheetId="11">#REF!</definedName>
    <definedName name="Loan_Years">#REF!</definedName>
    <definedName name="Num_Pmt_Per_Year">#REF!</definedName>
    <definedName name="Number_of_Payments" localSheetId="8">MATCH(0.01,End_Bal,-1)+1</definedName>
    <definedName name="Number_of_Payments" localSheetId="9">MATCH(0.01,End_Bal,-1)+1</definedName>
    <definedName name="Number_of_Payments" localSheetId="11">MATCH(0.01,End_Bal,-1)+1</definedName>
    <definedName name="Number_of_Payments">MATCH(0.01,End_Bal,-1)+1</definedName>
    <definedName name="Pay_Date">#REF!</definedName>
    <definedName name="Pay_Num">#REF!</definedName>
    <definedName name="payment">#REF!</definedName>
    <definedName name="Payment_Date" localSheetId="8">DATE(YEAR(Abstract!Loan_Start),MONTH(Abstract!Loan_Start)+Payment_Number,DAY(Abstract!Loan_Start))</definedName>
    <definedName name="Payment_Date" localSheetId="9">DATE(YEAR(Detailed!Loan_Start),MONTH(Detailed!Loan_Start)+Payment_Number,DAY(Detailed!Loan_Start))</definedName>
    <definedName name="Payment_Date" localSheetId="11">DATE(YEAR('Print Data'!Loan_Start),MONTH('Print Data'!Loan_Start)+Payment_Number,DAY('Print Data'!Loan_Start))</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7">building!$A$1:$AC$1417</definedName>
    <definedName name="_xlnm.Print_Area" localSheetId="10">Data!$T$1:$AE$64</definedName>
    <definedName name="_xlnm.Print_Area" localSheetId="9">#REF!</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Data'!$A$1:$F$851</definedName>
    <definedName name="_xlnm.Print_Area" localSheetId="6">'Sliding and french window'!$A$80:$G$127</definedName>
    <definedName name="_xlnm.Print_Area">#REF!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8">OFFSET(Full_Print,0,0,Abstract!Last_Row)</definedName>
    <definedName name="Print_Area_Reset" localSheetId="9">OFFSET(Full_Print,0,0,Detailed!Last_Row)</definedName>
    <definedName name="Print_Area_Reset" localSheetId="11">OFFSET(Full_Print,0,0,'Print Data'!Last_Row)</definedName>
    <definedName name="Print_Area_Reset">OFFSET(Full_Print,0,0,Last_Row)</definedName>
    <definedName name="_xlnm.Print_Titles" localSheetId="3">#REF!</definedName>
    <definedName name="_xlnm.Print_Titles" localSheetId="7">building!$2:$3</definedName>
    <definedName name="_xlnm.Print_Titles" localSheetId="9">#REF!</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8">#REF!</definedName>
    <definedName name="sk" localSheetId="9">#REF!</definedName>
    <definedName name="sk">#REF!</definedName>
    <definedName name="sss">#REF!</definedName>
    <definedName name="sump">#REF!</definedName>
    <definedName name="Total_Interest">#REF!</definedName>
    <definedName name="Total_Pay">#REF!</definedName>
    <definedName name="Total_Payment" localSheetId="8">Scheduled_Payment+Extra_Payment</definedName>
    <definedName name="Total_Payment" localSheetId="9">Scheduled_Payment+Extra_Payment</definedName>
    <definedName name="Total_Payment" localSheetId="11">Scheduled_Payment+Extra_Payment</definedName>
    <definedName name="Total_Payment">Scheduled_Payment+Extra_Payment</definedName>
    <definedName name="v_app" localSheetId="8">#REF!</definedName>
    <definedName name="v_app" localSheetId="9">#REF!</definedName>
    <definedName name="v_app" localSheetId="11">#REF!</definedName>
    <definedName name="v_app">#REF!</definedName>
    <definedName name="v_est" localSheetId="8">#REF!</definedName>
    <definedName name="v_est" localSheetId="9">#REF!</definedName>
    <definedName name="v_est" localSheetId="11">#REF!</definedName>
    <definedName name="v_est">#REF!</definedName>
    <definedName name="v_paid" localSheetId="8">#REF!</definedName>
    <definedName name="v_paid" localSheetId="9">#REF!</definedName>
    <definedName name="v_paid" localSheetId="11">#REF!</definedName>
    <definedName name="v_paid">#REF!</definedName>
    <definedName name="v_quo">#REF!</definedName>
    <definedName name="v_rec">#REF!</definedName>
    <definedName name="v_tot">#REF!</definedName>
    <definedName name="Values_Entered" localSheetId="8">IF(Abstract!Loan_Amount*Interest_Rate*Abstract!Loan_Years*Abstract!Loan_Start&gt;0,1,0)</definedName>
    <definedName name="Values_Entered" localSheetId="9">IF(Detailed!Loan_Amount*Interest_Rate*Detailed!Loan_Years*Detailed!Loan_Start&gt;0,1,0)</definedName>
    <definedName name="Values_Entered" localSheetId="11">IF('Print Data'!Loan_Amount*Interest_Rate*'Print Data'!Loan_Years*'Print Data'!Loan_Start&gt;0,1,0)</definedName>
    <definedName name="Values_Entered">IF(Loan_Amount*Interest_Rate*Loan_Years*Loan_Start&gt;0,1,0)</definedName>
    <definedName name="vignesh" localSheetId="8">#REF!</definedName>
    <definedName name="vignesh" localSheetId="9">#REF!</definedName>
    <definedName name="vignesh" localSheetId="11">#REF!</definedName>
    <definedName name="vignesh">#REF!</definedName>
    <definedName name="xgjhvfxfhkl" localSheetId="8">#REF!</definedName>
    <definedName name="xgjhvfxfhkl" localSheetId="9">#REF!</definedName>
    <definedName name="xgjhvfxfhkl" localSheetId="11">#REF!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55" i="72"/>
  <c r="H456" s="1"/>
  <c r="H449"/>
  <c r="H44"/>
  <c r="H38"/>
  <c r="H29"/>
  <c r="H23"/>
  <c r="F847" i="73"/>
  <c r="D837"/>
  <c r="D838"/>
  <c r="D839"/>
  <c r="D840"/>
  <c r="F840" s="1"/>
  <c r="D841"/>
  <c r="D842"/>
  <c r="D843"/>
  <c r="D844"/>
  <c r="F844" s="1"/>
  <c r="D845"/>
  <c r="D846"/>
  <c r="D836"/>
  <c r="F845"/>
  <c r="F843"/>
  <c r="F842"/>
  <c r="F841"/>
  <c r="F839"/>
  <c r="F838"/>
  <c r="F837"/>
  <c r="F846"/>
  <c r="D77" i="71"/>
  <c r="C77"/>
  <c r="A77"/>
  <c r="H668" i="72"/>
  <c r="H669" s="1"/>
  <c r="H670" s="1"/>
  <c r="B77" i="71" s="1"/>
  <c r="F77" s="1"/>
  <c r="F832" i="73"/>
  <c r="D831"/>
  <c r="D830"/>
  <c r="F826"/>
  <c r="D815"/>
  <c r="D816"/>
  <c r="D817"/>
  <c r="D818"/>
  <c r="D819"/>
  <c r="D820"/>
  <c r="D821"/>
  <c r="D822"/>
  <c r="D823"/>
  <c r="D824"/>
  <c r="D814"/>
  <c r="F807"/>
  <c r="F799"/>
  <c r="D797"/>
  <c r="D798"/>
  <c r="D796"/>
  <c r="F790"/>
  <c r="D787"/>
  <c r="D788"/>
  <c r="D789"/>
  <c r="D786"/>
  <c r="D776"/>
  <c r="D777"/>
  <c r="D778"/>
  <c r="D779"/>
  <c r="D780"/>
  <c r="D775"/>
  <c r="D766"/>
  <c r="D767"/>
  <c r="D768"/>
  <c r="D769"/>
  <c r="D765"/>
  <c r="D754"/>
  <c r="D755"/>
  <c r="D756"/>
  <c r="D757"/>
  <c r="D758"/>
  <c r="D753"/>
  <c r="D743"/>
  <c r="D744"/>
  <c r="D742"/>
  <c r="D734"/>
  <c r="D735"/>
  <c r="D733"/>
  <c r="D712"/>
  <c r="D713"/>
  <c r="D714"/>
  <c r="D715"/>
  <c r="D716"/>
  <c r="D717"/>
  <c r="D718"/>
  <c r="D719"/>
  <c r="D720"/>
  <c r="D721"/>
  <c r="D722"/>
  <c r="D711"/>
  <c r="D695"/>
  <c r="D696"/>
  <c r="D697"/>
  <c r="D698"/>
  <c r="D694"/>
  <c r="D683"/>
  <c r="D684"/>
  <c r="D685"/>
  <c r="D686"/>
  <c r="D682"/>
  <c r="D672"/>
  <c r="D657"/>
  <c r="D658"/>
  <c r="D659"/>
  <c r="D660"/>
  <c r="D661"/>
  <c r="D662"/>
  <c r="D656"/>
  <c r="D640"/>
  <c r="D641"/>
  <c r="D642"/>
  <c r="D643"/>
  <c r="D644"/>
  <c r="D639"/>
  <c r="D626"/>
  <c r="D627"/>
  <c r="D628"/>
  <c r="D629"/>
  <c r="D625"/>
  <c r="D612"/>
  <c r="D613"/>
  <c r="D614"/>
  <c r="D615"/>
  <c r="D611"/>
  <c r="F607"/>
  <c r="D599"/>
  <c r="D600"/>
  <c r="D598"/>
  <c r="D587"/>
  <c r="D588"/>
  <c r="D589"/>
  <c r="D590"/>
  <c r="D591"/>
  <c r="D586"/>
  <c r="D576"/>
  <c r="D577"/>
  <c r="D575"/>
  <c r="A564"/>
  <c r="A565"/>
  <c r="A563"/>
  <c r="D564"/>
  <c r="D565"/>
  <c r="D566"/>
  <c r="D563"/>
  <c r="F559"/>
  <c r="D557"/>
  <c r="D553"/>
  <c r="D552"/>
  <c r="F547"/>
  <c r="D531"/>
  <c r="D532"/>
  <c r="D533"/>
  <c r="D534"/>
  <c r="D535"/>
  <c r="D536"/>
  <c r="D537"/>
  <c r="D538"/>
  <c r="D539"/>
  <c r="D530"/>
  <c r="F518"/>
  <c r="D517"/>
  <c r="D504"/>
  <c r="D505"/>
  <c r="D506"/>
  <c r="D503"/>
  <c r="F494"/>
  <c r="D496"/>
  <c r="D495"/>
  <c r="F488"/>
  <c r="D478"/>
  <c r="D479"/>
  <c r="D480"/>
  <c r="D481"/>
  <c r="D482"/>
  <c r="D483"/>
  <c r="D484"/>
  <c r="D485"/>
  <c r="D486"/>
  <c r="D487"/>
  <c r="D477"/>
  <c r="F477" s="1"/>
  <c r="F469"/>
  <c r="F470"/>
  <c r="F471"/>
  <c r="F472"/>
  <c r="F473"/>
  <c r="F474"/>
  <c r="F475"/>
  <c r="F468"/>
  <c r="F459"/>
  <c r="F460"/>
  <c r="F461"/>
  <c r="F462"/>
  <c r="F463"/>
  <c r="F458"/>
  <c r="F453"/>
  <c r="D437"/>
  <c r="D438"/>
  <c r="D439"/>
  <c r="D440"/>
  <c r="D441"/>
  <c r="D442"/>
  <c r="D443"/>
  <c r="D444"/>
  <c r="D445"/>
  <c r="D446"/>
  <c r="D447"/>
  <c r="D448"/>
  <c r="D449"/>
  <c r="D450"/>
  <c r="D451"/>
  <c r="D452"/>
  <c r="D436"/>
  <c r="D425"/>
  <c r="D426"/>
  <c r="D427"/>
  <c r="D424"/>
  <c r="D416"/>
  <c r="D417"/>
  <c r="D418"/>
  <c r="D415"/>
  <c r="D408"/>
  <c r="D409"/>
  <c r="D410"/>
  <c r="D407"/>
  <c r="D379"/>
  <c r="D380"/>
  <c r="D381"/>
  <c r="D382"/>
  <c r="D383"/>
  <c r="D384"/>
  <c r="D378"/>
  <c r="D355"/>
  <c r="D356"/>
  <c r="D357"/>
  <c r="D358"/>
  <c r="D359"/>
  <c r="D360"/>
  <c r="D361"/>
  <c r="D354"/>
  <c r="D330"/>
  <c r="D331"/>
  <c r="D332"/>
  <c r="D333"/>
  <c r="D334"/>
  <c r="D329"/>
  <c r="D315"/>
  <c r="D316"/>
  <c r="D317"/>
  <c r="D318"/>
  <c r="D319"/>
  <c r="D314"/>
  <c r="D305"/>
  <c r="D306"/>
  <c r="D307"/>
  <c r="D304"/>
  <c r="D296"/>
  <c r="D297"/>
  <c r="D298"/>
  <c r="D295"/>
  <c r="D285"/>
  <c r="D286"/>
  <c r="D287"/>
  <c r="D284"/>
  <c r="D270"/>
  <c r="D271"/>
  <c r="D272"/>
  <c r="D274"/>
  <c r="D269"/>
  <c r="D258"/>
  <c r="D259"/>
  <c r="D260"/>
  <c r="D261"/>
  <c r="D273" s="1"/>
  <c r="D262"/>
  <c r="D257"/>
  <c r="D243"/>
  <c r="D244"/>
  <c r="D245"/>
  <c r="D242"/>
  <c r="D230"/>
  <c r="D231"/>
  <c r="D232"/>
  <c r="D233"/>
  <c r="D229"/>
  <c r="D220"/>
  <c r="D221"/>
  <c r="D222"/>
  <c r="D223"/>
  <c r="D219"/>
  <c r="D205"/>
  <c r="D206"/>
  <c r="D207"/>
  <c r="D208"/>
  <c r="D204"/>
  <c r="D193"/>
  <c r="D194"/>
  <c r="D195"/>
  <c r="D196"/>
  <c r="D192"/>
  <c r="D181"/>
  <c r="D182"/>
  <c r="D183"/>
  <c r="D184"/>
  <c r="D180"/>
  <c r="D169"/>
  <c r="D170"/>
  <c r="D171"/>
  <c r="D168"/>
  <c r="D145"/>
  <c r="D146"/>
  <c r="D147"/>
  <c r="D148"/>
  <c r="D149"/>
  <c r="D150"/>
  <c r="D151"/>
  <c r="D152"/>
  <c r="D153"/>
  <c r="D154"/>
  <c r="D144"/>
  <c r="D126"/>
  <c r="D127"/>
  <c r="D128"/>
  <c r="D129"/>
  <c r="D130"/>
  <c r="D131"/>
  <c r="D132"/>
  <c r="D133"/>
  <c r="D134"/>
  <c r="D135"/>
  <c r="D125"/>
  <c r="D103"/>
  <c r="D104"/>
  <c r="D105"/>
  <c r="D106"/>
  <c r="D107"/>
  <c r="D108"/>
  <c r="D109"/>
  <c r="D110"/>
  <c r="D111"/>
  <c r="D112"/>
  <c r="D113"/>
  <c r="D102"/>
  <c r="D85"/>
  <c r="D86"/>
  <c r="D87"/>
  <c r="D88"/>
  <c r="D89"/>
  <c r="D90"/>
  <c r="D91"/>
  <c r="D84"/>
  <c r="D73"/>
  <c r="D74"/>
  <c r="D75"/>
  <c r="D72"/>
  <c r="D64"/>
  <c r="D65"/>
  <c r="D63"/>
  <c r="D54"/>
  <c r="D55"/>
  <c r="D56"/>
  <c r="D53"/>
  <c r="D45"/>
  <c r="D46"/>
  <c r="D47"/>
  <c r="D44"/>
  <c r="D36"/>
  <c r="D37"/>
  <c r="D38"/>
  <c r="D35"/>
  <c r="D28"/>
  <c r="D29"/>
  <c r="D30"/>
  <c r="D27"/>
  <c r="D19"/>
  <c r="D20"/>
  <c r="D21"/>
  <c r="D18"/>
  <c r="D10"/>
  <c r="D11"/>
  <c r="D12"/>
  <c r="D9"/>
  <c r="E3"/>
  <c r="D76" i="71"/>
  <c r="D74"/>
  <c r="D73"/>
  <c r="D72"/>
  <c r="D71"/>
  <c r="D70"/>
  <c r="D69"/>
  <c r="D65"/>
  <c r="D64"/>
  <c r="D63"/>
  <c r="D61"/>
  <c r="D60"/>
  <c r="D59"/>
  <c r="D58"/>
  <c r="D57"/>
  <c r="D56"/>
  <c r="D55"/>
  <c r="D54"/>
  <c r="D53"/>
  <c r="D51"/>
  <c r="F836" i="73" l="1"/>
  <c r="F849" s="1"/>
  <c r="F850" s="1"/>
  <c r="D50" i="71"/>
  <c r="D46"/>
  <c r="D43"/>
  <c r="D42"/>
  <c r="D40"/>
  <c r="D39"/>
  <c r="D38"/>
  <c r="D37"/>
  <c r="D35"/>
  <c r="D31"/>
  <c r="D30"/>
  <c r="D28"/>
  <c r="D27"/>
  <c r="D26"/>
  <c r="D25"/>
  <c r="D24"/>
  <c r="D20"/>
  <c r="D19" l="1"/>
  <c r="D18"/>
  <c r="D17"/>
  <c r="D15"/>
  <c r="D13"/>
  <c r="D11"/>
  <c r="D10"/>
  <c r="D9"/>
  <c r="D7"/>
  <c r="F833" i="73"/>
  <c r="F831"/>
  <c r="F830"/>
  <c r="F824"/>
  <c r="F823"/>
  <c r="F822"/>
  <c r="F821"/>
  <c r="F820"/>
  <c r="F819"/>
  <c r="F818"/>
  <c r="F817"/>
  <c r="F816"/>
  <c r="F815"/>
  <c r="F814"/>
  <c r="F806"/>
  <c r="F805"/>
  <c r="F798"/>
  <c r="C798"/>
  <c r="F797"/>
  <c r="F796"/>
  <c r="F789"/>
  <c r="F788"/>
  <c r="F787"/>
  <c r="F786"/>
  <c r="F779"/>
  <c r="F778"/>
  <c r="F777"/>
  <c r="F776"/>
  <c r="F775"/>
  <c r="F769"/>
  <c r="F768"/>
  <c r="F767"/>
  <c r="F766"/>
  <c r="F765"/>
  <c r="F758"/>
  <c r="F757"/>
  <c r="F756"/>
  <c r="F755"/>
  <c r="F754"/>
  <c r="F753"/>
  <c r="F743"/>
  <c r="F742"/>
  <c r="F734"/>
  <c r="F733"/>
  <c r="F737" s="1"/>
  <c r="F722"/>
  <c r="F721"/>
  <c r="F715"/>
  <c r="F713"/>
  <c r="F712"/>
  <c r="F711"/>
  <c r="F697"/>
  <c r="F696"/>
  <c r="F695"/>
  <c r="F694"/>
  <c r="F685"/>
  <c r="F684"/>
  <c r="F683"/>
  <c r="F682"/>
  <c r="F672"/>
  <c r="F661"/>
  <c r="F660"/>
  <c r="F659"/>
  <c r="F658"/>
  <c r="F657"/>
  <c r="C656"/>
  <c r="A656"/>
  <c r="F656" s="1"/>
  <c r="C654"/>
  <c r="F644"/>
  <c r="F643"/>
  <c r="F642"/>
  <c r="F641"/>
  <c r="F640"/>
  <c r="F639"/>
  <c r="C639"/>
  <c r="F629"/>
  <c r="F628"/>
  <c r="F627"/>
  <c r="F626"/>
  <c r="F625"/>
  <c r="F615"/>
  <c r="F614"/>
  <c r="F613"/>
  <c r="F612"/>
  <c r="F611"/>
  <c r="F600"/>
  <c r="F599"/>
  <c r="F598"/>
  <c r="F591"/>
  <c r="F590"/>
  <c r="F589"/>
  <c r="F588"/>
  <c r="F586"/>
  <c r="F577"/>
  <c r="F576"/>
  <c r="F575"/>
  <c r="F565"/>
  <c r="F564"/>
  <c r="F563"/>
  <c r="F558"/>
  <c r="F557"/>
  <c r="F553"/>
  <c r="F552"/>
  <c r="F546"/>
  <c r="D545"/>
  <c r="F545" s="1"/>
  <c r="F539"/>
  <c r="F538"/>
  <c r="F537"/>
  <c r="F535"/>
  <c r="F533"/>
  <c r="F530"/>
  <c r="F523"/>
  <c r="F522"/>
  <c r="F524" s="1"/>
  <c r="F517"/>
  <c r="F520" s="1"/>
  <c r="F506"/>
  <c r="F505"/>
  <c r="F504"/>
  <c r="F503"/>
  <c r="F496"/>
  <c r="F495"/>
  <c r="F487"/>
  <c r="F486"/>
  <c r="F485"/>
  <c r="F484"/>
  <c r="F483"/>
  <c r="F482"/>
  <c r="F481"/>
  <c r="F480"/>
  <c r="F479"/>
  <c r="F478"/>
  <c r="C460"/>
  <c r="F452"/>
  <c r="F451"/>
  <c r="F450"/>
  <c r="F449"/>
  <c r="F448"/>
  <c r="F447"/>
  <c r="F446"/>
  <c r="F445"/>
  <c r="F444"/>
  <c r="F443"/>
  <c r="F442"/>
  <c r="F441"/>
  <c r="F440"/>
  <c r="F439"/>
  <c r="F438"/>
  <c r="F437"/>
  <c r="F436"/>
  <c r="F427"/>
  <c r="F426"/>
  <c r="F425"/>
  <c r="F424"/>
  <c r="F417"/>
  <c r="F416"/>
  <c r="F415"/>
  <c r="F409"/>
  <c r="F408"/>
  <c r="F407"/>
  <c r="F384"/>
  <c r="F383"/>
  <c r="F382"/>
  <c r="F381"/>
  <c r="F380"/>
  <c r="F379"/>
  <c r="F378"/>
  <c r="F360"/>
  <c r="F359"/>
  <c r="F358"/>
  <c r="F357"/>
  <c r="F356"/>
  <c r="F355"/>
  <c r="F354"/>
  <c r="F334"/>
  <c r="F333"/>
  <c r="F332"/>
  <c r="F331"/>
  <c r="F330"/>
  <c r="F329"/>
  <c r="F318"/>
  <c r="F317"/>
  <c r="F316"/>
  <c r="F315"/>
  <c r="F314"/>
  <c r="F306"/>
  <c r="F305"/>
  <c r="F304"/>
  <c r="F297"/>
  <c r="F296"/>
  <c r="F295"/>
  <c r="F286"/>
  <c r="F285"/>
  <c r="F284"/>
  <c r="F273"/>
  <c r="F272"/>
  <c r="F271"/>
  <c r="F270"/>
  <c r="F269"/>
  <c r="F261"/>
  <c r="F252"/>
  <c r="F244"/>
  <c r="F243"/>
  <c r="F242"/>
  <c r="F222"/>
  <c r="F221"/>
  <c r="F220"/>
  <c r="F219"/>
  <c r="F207"/>
  <c r="F206"/>
  <c r="F205"/>
  <c r="F204"/>
  <c r="F195"/>
  <c r="F194"/>
  <c r="F193"/>
  <c r="F192"/>
  <c r="F183"/>
  <c r="F182"/>
  <c r="F181"/>
  <c r="F180"/>
  <c r="F171"/>
  <c r="F170"/>
  <c r="F169"/>
  <c r="F168"/>
  <c r="D160"/>
  <c r="F160" s="1"/>
  <c r="F163" s="1"/>
  <c r="F151"/>
  <c r="F150"/>
  <c r="F148"/>
  <c r="F147"/>
  <c r="F146"/>
  <c r="F144"/>
  <c r="F134"/>
  <c r="F133"/>
  <c r="F132"/>
  <c r="F130"/>
  <c r="F128"/>
  <c r="F126"/>
  <c r="F125"/>
  <c r="F113"/>
  <c r="F112"/>
  <c r="F111"/>
  <c r="F110"/>
  <c r="F109"/>
  <c r="F108"/>
  <c r="F107"/>
  <c r="F106"/>
  <c r="F105"/>
  <c r="F103"/>
  <c r="F102"/>
  <c r="F91"/>
  <c r="F90"/>
  <c r="F89"/>
  <c r="F88"/>
  <c r="F87"/>
  <c r="F86"/>
  <c r="F85"/>
  <c r="F84"/>
  <c r="F74"/>
  <c r="F73"/>
  <c r="F72"/>
  <c r="F65"/>
  <c r="F64"/>
  <c r="F63"/>
  <c r="F55"/>
  <c r="F54"/>
  <c r="F53"/>
  <c r="F46"/>
  <c r="F45"/>
  <c r="F44"/>
  <c r="F37"/>
  <c r="F36"/>
  <c r="F35"/>
  <c r="F29"/>
  <c r="F28"/>
  <c r="F27"/>
  <c r="F32" s="1"/>
  <c r="F20"/>
  <c r="F19"/>
  <c r="F18"/>
  <c r="F11"/>
  <c r="F10"/>
  <c r="F9"/>
  <c r="C3"/>
  <c r="H664" i="72"/>
  <c r="H665" s="1"/>
  <c r="H666" s="1"/>
  <c r="B663"/>
  <c r="H660"/>
  <c r="H658"/>
  <c r="H654"/>
  <c r="H655" s="1"/>
  <c r="H656" s="1"/>
  <c r="B653"/>
  <c r="H650"/>
  <c r="H651" s="1"/>
  <c r="H652" s="1"/>
  <c r="B649"/>
  <c r="H646"/>
  <c r="H647" s="1"/>
  <c r="H648" s="1"/>
  <c r="B645"/>
  <c r="H642"/>
  <c r="H643" s="1"/>
  <c r="H644" s="1"/>
  <c r="B641"/>
  <c r="H638"/>
  <c r="H639" s="1"/>
  <c r="H640" s="1"/>
  <c r="B637"/>
  <c r="H634"/>
  <c r="H635" s="1"/>
  <c r="H636" s="1"/>
  <c r="B633"/>
  <c r="H630"/>
  <c r="H631" s="1"/>
  <c r="H632" s="1"/>
  <c r="B629"/>
  <c r="B628"/>
  <c r="H625"/>
  <c r="H624"/>
  <c r="H622"/>
  <c r="H621"/>
  <c r="H617"/>
  <c r="H615"/>
  <c r="B614"/>
  <c r="H611"/>
  <c r="H610"/>
  <c r="H608"/>
  <c r="H607"/>
  <c r="H606"/>
  <c r="B605"/>
  <c r="H602"/>
  <c r="H601"/>
  <c r="H599"/>
  <c r="H598"/>
  <c r="H597"/>
  <c r="B596"/>
  <c r="H593"/>
  <c r="H594" s="1"/>
  <c r="H595" s="1"/>
  <c r="B592"/>
  <c r="H589"/>
  <c r="H590" s="1"/>
  <c r="H591" s="1"/>
  <c r="B588"/>
  <c r="H585"/>
  <c r="H586" s="1"/>
  <c r="H587" s="1"/>
  <c r="B584"/>
  <c r="H581"/>
  <c r="H582" s="1"/>
  <c r="H583" s="1"/>
  <c r="B580"/>
  <c r="H577"/>
  <c r="H578" s="1"/>
  <c r="H579" s="1"/>
  <c r="B576"/>
  <c r="H573"/>
  <c r="H574" s="1"/>
  <c r="H575" s="1"/>
  <c r="B572"/>
  <c r="H569"/>
  <c r="H570" s="1"/>
  <c r="H571" s="1"/>
  <c r="B568"/>
  <c r="B564"/>
  <c r="B559"/>
  <c r="H556"/>
  <c r="H555"/>
  <c r="H554"/>
  <c r="B553"/>
  <c r="B552"/>
  <c r="H549"/>
  <c r="H548"/>
  <c r="H547"/>
  <c r="B546"/>
  <c r="H543"/>
  <c r="H542"/>
  <c r="H541"/>
  <c r="B540"/>
  <c r="H537"/>
  <c r="H538" s="1"/>
  <c r="H539" s="1"/>
  <c r="H533"/>
  <c r="H532"/>
  <c r="B531"/>
  <c r="H528"/>
  <c r="H527"/>
  <c r="B526"/>
  <c r="H523"/>
  <c r="H522"/>
  <c r="H521"/>
  <c r="B520"/>
  <c r="H517"/>
  <c r="H516"/>
  <c r="B515"/>
  <c r="H512"/>
  <c r="H511"/>
  <c r="B510"/>
  <c r="H507"/>
  <c r="H506"/>
  <c r="B505"/>
  <c r="H502"/>
  <c r="H501"/>
  <c r="B500"/>
  <c r="H497"/>
  <c r="H496"/>
  <c r="B495"/>
  <c r="H492"/>
  <c r="H491"/>
  <c r="H493" s="1"/>
  <c r="H494" s="1"/>
  <c r="B490"/>
  <c r="H487"/>
  <c r="H486"/>
  <c r="B485"/>
  <c r="H482"/>
  <c r="H481"/>
  <c r="B480"/>
  <c r="H477"/>
  <c r="H476"/>
  <c r="H475"/>
  <c r="H474"/>
  <c r="B473"/>
  <c r="B472"/>
  <c r="H469"/>
  <c r="H468"/>
  <c r="H464"/>
  <c r="H465" s="1"/>
  <c r="H466" s="1"/>
  <c r="B463"/>
  <c r="H460"/>
  <c r="H461" s="1"/>
  <c r="H462" s="1"/>
  <c r="B459"/>
  <c r="B458"/>
  <c r="H454"/>
  <c r="H453"/>
  <c r="B452"/>
  <c r="H448"/>
  <c r="H447"/>
  <c r="B446"/>
  <c r="B445"/>
  <c r="H442"/>
  <c r="H443" s="1"/>
  <c r="H444" s="1"/>
  <c r="B441"/>
  <c r="H438"/>
  <c r="H437"/>
  <c r="H435"/>
  <c r="B434"/>
  <c r="H430"/>
  <c r="H429"/>
  <c r="H428"/>
  <c r="H427"/>
  <c r="H426"/>
  <c r="H425"/>
  <c r="H424"/>
  <c r="H423"/>
  <c r="H422"/>
  <c r="H421"/>
  <c r="H419"/>
  <c r="H418"/>
  <c r="H417"/>
  <c r="H416"/>
  <c r="H415"/>
  <c r="H414"/>
  <c r="H413"/>
  <c r="H412"/>
  <c r="H410"/>
  <c r="H409"/>
  <c r="H408"/>
  <c r="H407"/>
  <c r="H406"/>
  <c r="H404"/>
  <c r="H403"/>
  <c r="H402"/>
  <c r="H401"/>
  <c r="H400"/>
  <c r="H398"/>
  <c r="H397"/>
  <c r="H396"/>
  <c r="H395"/>
  <c r="H394"/>
  <c r="H393"/>
  <c r="H392"/>
  <c r="H391"/>
  <c r="H390"/>
  <c r="B389"/>
  <c r="H386"/>
  <c r="H385"/>
  <c r="H383"/>
  <c r="B382"/>
  <c r="H379"/>
  <c r="H378"/>
  <c r="H377"/>
  <c r="H376"/>
  <c r="H375"/>
  <c r="H374"/>
  <c r="H373"/>
  <c r="H372"/>
  <c r="H371"/>
  <c r="H370"/>
  <c r="H369"/>
  <c r="H368"/>
  <c r="B367"/>
  <c r="H363"/>
  <c r="H362"/>
  <c r="H361"/>
  <c r="H360"/>
  <c r="H359"/>
  <c r="H357"/>
  <c r="H356"/>
  <c r="H355"/>
  <c r="H354"/>
  <c r="H353"/>
  <c r="H352"/>
  <c r="H351"/>
  <c r="H350"/>
  <c r="H349"/>
  <c r="H348"/>
  <c r="H347"/>
  <c r="H346"/>
  <c r="H344"/>
  <c r="H343"/>
  <c r="H342"/>
  <c r="H340"/>
  <c r="H339"/>
  <c r="H338"/>
  <c r="H337"/>
  <c r="H336"/>
  <c r="H335"/>
  <c r="H334"/>
  <c r="H333"/>
  <c r="H332"/>
  <c r="H331"/>
  <c r="H330"/>
  <c r="H329"/>
  <c r="H328"/>
  <c r="B326"/>
  <c r="H322"/>
  <c r="H321"/>
  <c r="H320"/>
  <c r="H319"/>
  <c r="H318"/>
  <c r="H317"/>
  <c r="H316"/>
  <c r="H315"/>
  <c r="H314"/>
  <c r="H313"/>
  <c r="H312"/>
  <c r="H311"/>
  <c r="H310"/>
  <c r="H309"/>
  <c r="H308"/>
  <c r="H307"/>
  <c r="H306"/>
  <c r="H305"/>
  <c r="H303"/>
  <c r="H302"/>
  <c r="H301"/>
  <c r="H300"/>
  <c r="H299"/>
  <c r="H298"/>
  <c r="H297"/>
  <c r="H296"/>
  <c r="H294"/>
  <c r="H293"/>
  <c r="H292"/>
  <c r="H291"/>
  <c r="H290"/>
  <c r="H288"/>
  <c r="H287"/>
  <c r="H286"/>
  <c r="H285"/>
  <c r="H284"/>
  <c r="H282"/>
  <c r="H281"/>
  <c r="H280"/>
  <c r="H279"/>
  <c r="H278"/>
  <c r="H277"/>
  <c r="H276"/>
  <c r="H275"/>
  <c r="H274"/>
  <c r="H273"/>
  <c r="H272"/>
  <c r="H271"/>
  <c r="H270"/>
  <c r="H268"/>
  <c r="H267"/>
  <c r="H266"/>
  <c r="H265"/>
  <c r="H264"/>
  <c r="H263"/>
  <c r="H262"/>
  <c r="H261"/>
  <c r="H259"/>
  <c r="H258"/>
  <c r="H257"/>
  <c r="H255"/>
  <c r="H254"/>
  <c r="H253"/>
  <c r="H251"/>
  <c r="H250"/>
  <c r="H249"/>
  <c r="H248"/>
  <c r="H247"/>
  <c r="H246"/>
  <c r="H245"/>
  <c r="H244"/>
  <c r="H243"/>
  <c r="H242"/>
  <c r="H241"/>
  <c r="H240"/>
  <c r="H239"/>
  <c r="H238"/>
  <c r="H233"/>
  <c r="H234" s="1"/>
  <c r="H235" s="1"/>
  <c r="B232"/>
  <c r="H229"/>
  <c r="H228"/>
  <c r="H226"/>
  <c r="H225"/>
  <c r="H224"/>
  <c r="H222"/>
  <c r="H221"/>
  <c r="H220"/>
  <c r="H218"/>
  <c r="H217"/>
  <c r="H216"/>
  <c r="H215"/>
  <c r="H214"/>
  <c r="H213"/>
  <c r="H212"/>
  <c r="H211"/>
  <c r="H210"/>
  <c r="H209"/>
  <c r="B207"/>
  <c r="B203"/>
  <c r="H200"/>
  <c r="H199"/>
  <c r="H198"/>
  <c r="H197"/>
  <c r="H196"/>
  <c r="H195"/>
  <c r="H194"/>
  <c r="H193"/>
  <c r="H192"/>
  <c r="H191"/>
  <c r="H190"/>
  <c r="H189"/>
  <c r="H188"/>
  <c r="H187"/>
  <c r="H186"/>
  <c r="B184"/>
  <c r="H181"/>
  <c r="H180"/>
  <c r="H179"/>
  <c r="H178"/>
  <c r="H177"/>
  <c r="H176"/>
  <c r="H175"/>
  <c r="H174"/>
  <c r="H173"/>
  <c r="B171"/>
  <c r="H168"/>
  <c r="H167"/>
  <c r="H166"/>
  <c r="H165"/>
  <c r="H163"/>
  <c r="H162"/>
  <c r="H161"/>
  <c r="H160"/>
  <c r="H159"/>
  <c r="H158"/>
  <c r="H157"/>
  <c r="H156"/>
  <c r="H155"/>
  <c r="B152"/>
  <c r="H149"/>
  <c r="H148"/>
  <c r="H147"/>
  <c r="H146"/>
  <c r="H145"/>
  <c r="H144"/>
  <c r="H143"/>
  <c r="H142"/>
  <c r="H141"/>
  <c r="H140"/>
  <c r="H139"/>
  <c r="H138"/>
  <c r="H137"/>
  <c r="H136"/>
  <c r="H135"/>
  <c r="H133"/>
  <c r="H132"/>
  <c r="H130"/>
  <c r="H129"/>
  <c r="H128"/>
  <c r="H126"/>
  <c r="H125"/>
  <c r="H124"/>
  <c r="H122"/>
  <c r="H121"/>
  <c r="H120"/>
  <c r="H119"/>
  <c r="H118"/>
  <c r="H117"/>
  <c r="H116"/>
  <c r="H115"/>
  <c r="H114"/>
  <c r="H113"/>
  <c r="B110"/>
  <c r="H107"/>
  <c r="H106"/>
  <c r="H105"/>
  <c r="H104"/>
  <c r="H103"/>
  <c r="H102"/>
  <c r="H101"/>
  <c r="H100"/>
  <c r="H99"/>
  <c r="H98"/>
  <c r="H97"/>
  <c r="H96"/>
  <c r="H95"/>
  <c r="H94"/>
  <c r="H93"/>
  <c r="H91"/>
  <c r="H90"/>
  <c r="H88"/>
  <c r="H87"/>
  <c r="H86"/>
  <c r="H84"/>
  <c r="H83"/>
  <c r="H82"/>
  <c r="H80"/>
  <c r="H79"/>
  <c r="H78"/>
  <c r="H77"/>
  <c r="H76"/>
  <c r="H75"/>
  <c r="H74"/>
  <c r="H73"/>
  <c r="H72"/>
  <c r="H71"/>
  <c r="H68"/>
  <c r="H67"/>
  <c r="H66"/>
  <c r="H65"/>
  <c r="H64"/>
  <c r="H63"/>
  <c r="H62"/>
  <c r="H61"/>
  <c r="H60"/>
  <c r="H59"/>
  <c r="H58"/>
  <c r="H57"/>
  <c r="H56"/>
  <c r="H51"/>
  <c r="H50"/>
  <c r="H49"/>
  <c r="H48"/>
  <c r="H43"/>
  <c r="H42"/>
  <c r="B41"/>
  <c r="H37"/>
  <c r="B36"/>
  <c r="H33"/>
  <c r="H34" s="1"/>
  <c r="H35" s="1"/>
  <c r="B32"/>
  <c r="H28"/>
  <c r="H27"/>
  <c r="B26"/>
  <c r="H22"/>
  <c r="H21"/>
  <c r="B16"/>
  <c r="A16"/>
  <c r="A20" s="1"/>
  <c r="A26" s="1"/>
  <c r="A32" s="1"/>
  <c r="A36" s="1"/>
  <c r="A41" s="1"/>
  <c r="A47" s="1"/>
  <c r="A54" s="1"/>
  <c r="A110" s="1"/>
  <c r="A152" s="1"/>
  <c r="A171" s="1"/>
  <c r="A184" s="1"/>
  <c r="A203" s="1"/>
  <c r="A207" s="1"/>
  <c r="A232" s="1"/>
  <c r="A236" s="1"/>
  <c r="A326" s="1"/>
  <c r="A367" s="1"/>
  <c r="A382" s="1"/>
  <c r="A389" s="1"/>
  <c r="A434" s="1"/>
  <c r="A441" s="1"/>
  <c r="A445" s="1"/>
  <c r="A458" s="1"/>
  <c r="A467" s="1"/>
  <c r="A472" s="1"/>
  <c r="A485" s="1"/>
  <c r="A490" s="1"/>
  <c r="A495" s="1"/>
  <c r="A500" s="1"/>
  <c r="A505" s="1"/>
  <c r="A510" s="1"/>
  <c r="A515" s="1"/>
  <c r="A520" s="1"/>
  <c r="A526" s="1"/>
  <c r="A531" s="1"/>
  <c r="A536" s="1"/>
  <c r="A540" s="1"/>
  <c r="A546" s="1"/>
  <c r="A552" s="1"/>
  <c r="A559" s="1"/>
  <c r="A564" s="1"/>
  <c r="A568" s="1"/>
  <c r="A572" s="1"/>
  <c r="A576" s="1"/>
  <c r="A580" s="1"/>
  <c r="A584" s="1"/>
  <c r="A588" s="1"/>
  <c r="A592" s="1"/>
  <c r="A596" s="1"/>
  <c r="A605" s="1"/>
  <c r="A614" s="1"/>
  <c r="A620" s="1"/>
  <c r="A628" s="1"/>
  <c r="A633" s="1"/>
  <c r="A637" s="1"/>
  <c r="A641" s="1"/>
  <c r="A645" s="1"/>
  <c r="A649" s="1"/>
  <c r="A653" s="1"/>
  <c r="A657" s="1"/>
  <c r="A663" s="1"/>
  <c r="A667" s="1"/>
  <c r="H13"/>
  <c r="H12"/>
  <c r="H11"/>
  <c r="H10"/>
  <c r="H9"/>
  <c r="H8"/>
  <c r="C76" i="71"/>
  <c r="B76"/>
  <c r="F76" s="1"/>
  <c r="F75"/>
  <c r="C74"/>
  <c r="B74"/>
  <c r="F74" s="1"/>
  <c r="C73"/>
  <c r="F73"/>
  <c r="C72"/>
  <c r="B72"/>
  <c r="F72" s="1"/>
  <c r="C71"/>
  <c r="B71"/>
  <c r="F71" s="1"/>
  <c r="C70"/>
  <c r="F70"/>
  <c r="C69"/>
  <c r="B69"/>
  <c r="F69" s="1"/>
  <c r="F68"/>
  <c r="C68"/>
  <c r="B68"/>
  <c r="C67"/>
  <c r="F66"/>
  <c r="C65"/>
  <c r="F65"/>
  <c r="C64"/>
  <c r="B64"/>
  <c r="F64" s="1"/>
  <c r="C63"/>
  <c r="B63"/>
  <c r="F63" s="1"/>
  <c r="F62"/>
  <c r="C62"/>
  <c r="C61"/>
  <c r="B61"/>
  <c r="F61" s="1"/>
  <c r="F60"/>
  <c r="C60"/>
  <c r="B60"/>
  <c r="C59"/>
  <c r="B59"/>
  <c r="F59" s="1"/>
  <c r="F58"/>
  <c r="C58"/>
  <c r="B58"/>
  <c r="C57"/>
  <c r="B57"/>
  <c r="F57" s="1"/>
  <c r="C56"/>
  <c r="B56"/>
  <c r="F56" s="1"/>
  <c r="C55"/>
  <c r="B55"/>
  <c r="F55" s="1"/>
  <c r="C54"/>
  <c r="B54"/>
  <c r="F54" s="1"/>
  <c r="C53"/>
  <c r="B53"/>
  <c r="F53" s="1"/>
  <c r="C51"/>
  <c r="B51"/>
  <c r="F51" s="1"/>
  <c r="C50"/>
  <c r="B50"/>
  <c r="F50" s="1"/>
  <c r="C49"/>
  <c r="B49"/>
  <c r="F49" s="1"/>
  <c r="D48"/>
  <c r="C48"/>
  <c r="B48"/>
  <c r="F48" s="1"/>
  <c r="C47"/>
  <c r="B47"/>
  <c r="F47" s="1"/>
  <c r="F46"/>
  <c r="C46"/>
  <c r="B46"/>
  <c r="C45"/>
  <c r="F45"/>
  <c r="C44"/>
  <c r="C43"/>
  <c r="B43"/>
  <c r="F43" s="1"/>
  <c r="F42"/>
  <c r="C42"/>
  <c r="B42"/>
  <c r="C41"/>
  <c r="F41"/>
  <c r="C40"/>
  <c r="F40"/>
  <c r="F39"/>
  <c r="C39"/>
  <c r="C38"/>
  <c r="B38"/>
  <c r="F38" s="1"/>
  <c r="F37"/>
  <c r="C37"/>
  <c r="B37"/>
  <c r="C36"/>
  <c r="C35"/>
  <c r="B35"/>
  <c r="F35" s="1"/>
  <c r="C34"/>
  <c r="B34"/>
  <c r="F34" s="1"/>
  <c r="C33"/>
  <c r="B33"/>
  <c r="F33" s="1"/>
  <c r="C32"/>
  <c r="C31"/>
  <c r="F31"/>
  <c r="C30"/>
  <c r="F30"/>
  <c r="C29"/>
  <c r="C28"/>
  <c r="B28"/>
  <c r="F28" s="1"/>
  <c r="C27"/>
  <c r="B27"/>
  <c r="F27" s="1"/>
  <c r="C26"/>
  <c r="B26"/>
  <c r="F26" s="1"/>
  <c r="C25"/>
  <c r="B25"/>
  <c r="F25" s="1"/>
  <c r="F24"/>
  <c r="C24"/>
  <c r="B24"/>
  <c r="C23"/>
  <c r="B23"/>
  <c r="C22"/>
  <c r="B22"/>
  <c r="F22" s="1"/>
  <c r="D21"/>
  <c r="C21"/>
  <c r="F20"/>
  <c r="C20"/>
  <c r="B20"/>
  <c r="C19"/>
  <c r="B19"/>
  <c r="F19" s="1"/>
  <c r="C18"/>
  <c r="B18"/>
  <c r="F18" s="1"/>
  <c r="F17"/>
  <c r="C17"/>
  <c r="B17"/>
  <c r="C16"/>
  <c r="B16"/>
  <c r="F16" s="1"/>
  <c r="F15"/>
  <c r="C15"/>
  <c r="B15"/>
  <c r="B14"/>
  <c r="F14" s="1"/>
  <c r="C13"/>
  <c r="B13"/>
  <c r="D12"/>
  <c r="C12"/>
  <c r="F12"/>
  <c r="C11"/>
  <c r="F11"/>
  <c r="C10"/>
  <c r="B10"/>
  <c r="C9"/>
  <c r="F9"/>
  <c r="F8"/>
  <c r="C7"/>
  <c r="B7"/>
  <c r="F7" s="1"/>
  <c r="A7"/>
  <c r="A8" s="1"/>
  <c r="A9" s="1"/>
  <c r="A10" s="1"/>
  <c r="A11" s="1"/>
  <c r="A12" s="1"/>
  <c r="A13" s="1"/>
  <c r="A14" s="1"/>
  <c r="A15" s="1"/>
  <c r="A16" s="1"/>
  <c r="A17" s="1"/>
  <c r="A18" s="1"/>
  <c r="A19" s="1"/>
  <c r="A20" s="1"/>
  <c r="A21" s="1"/>
  <c r="A22" s="1"/>
  <c r="A23" s="1"/>
  <c r="A24" s="1"/>
  <c r="A25" s="1"/>
  <c r="A26" s="1"/>
  <c r="A27" s="1"/>
  <c r="A28" s="1"/>
  <c r="A29" s="1"/>
  <c r="A32" s="1"/>
  <c r="A35" s="1"/>
  <c r="A36" s="1"/>
  <c r="A39" s="1"/>
  <c r="A40" s="1"/>
  <c r="A41" s="1"/>
  <c r="A42" s="1"/>
  <c r="A43" s="1"/>
  <c r="A44" s="1"/>
  <c r="A45" s="1"/>
  <c r="A46" s="1"/>
  <c r="A47" s="1"/>
  <c r="A48" s="1"/>
  <c r="A49" s="1"/>
  <c r="A50" s="1"/>
  <c r="A51" s="1"/>
  <c r="A52" s="1"/>
  <c r="A54" s="1"/>
  <c r="A55" s="1"/>
  <c r="A56" s="1"/>
  <c r="A57" s="1"/>
  <c r="A58" s="1"/>
  <c r="A59" s="1"/>
  <c r="A60" s="1"/>
  <c r="A61" s="1"/>
  <c r="A62" s="1"/>
  <c r="A63" s="1"/>
  <c r="A64" s="1"/>
  <c r="A65" s="1"/>
  <c r="A66" s="1"/>
  <c r="A67" s="1"/>
  <c r="A69" s="1"/>
  <c r="A70" s="1"/>
  <c r="A71" s="1"/>
  <c r="A72" s="1"/>
  <c r="A73" s="1"/>
  <c r="A74" s="1"/>
  <c r="A75" s="1"/>
  <c r="A76" s="1"/>
  <c r="B6"/>
  <c r="F6" s="1"/>
  <c r="A3"/>
  <c r="A2"/>
  <c r="A1"/>
  <c r="H45" i="72" l="1"/>
  <c r="H450"/>
  <c r="H439"/>
  <c r="H440" s="1"/>
  <c r="H30"/>
  <c r="H24"/>
  <c r="H25" s="1"/>
  <c r="H39"/>
  <c r="H40" s="1"/>
  <c r="H483"/>
  <c r="H484" s="1"/>
  <c r="H31"/>
  <c r="H508"/>
  <c r="H509" s="1"/>
  <c r="H503"/>
  <c r="H504" s="1"/>
  <c r="F419" i="73"/>
  <c r="F498"/>
  <c r="F499" s="1"/>
  <c r="F771"/>
  <c r="F560"/>
  <c r="F827"/>
  <c r="F21" i="71"/>
  <c r="F10"/>
  <c r="F13"/>
  <c r="H46" i="72"/>
  <c r="H169"/>
  <c r="H170" s="1"/>
  <c r="H201"/>
  <c r="H202" s="1"/>
  <c r="E204" s="1"/>
  <c r="H204" s="1"/>
  <c r="H205" s="1"/>
  <c r="H206" s="1"/>
  <c r="E323" s="1"/>
  <c r="H323" s="1"/>
  <c r="H324" s="1"/>
  <c r="H325" s="1"/>
  <c r="H451"/>
  <c r="H470"/>
  <c r="H471" s="1"/>
  <c r="H612"/>
  <c r="H613" s="1"/>
  <c r="H626"/>
  <c r="H627" s="1"/>
  <c r="H230"/>
  <c r="H231" s="1"/>
  <c r="E431" s="1"/>
  <c r="H431" s="1"/>
  <c r="H432" s="1"/>
  <c r="H433" s="1"/>
  <c r="H457"/>
  <c r="H478"/>
  <c r="H479" s="1"/>
  <c r="H488"/>
  <c r="H489" s="1"/>
  <c r="H513"/>
  <c r="H514" s="1"/>
  <c r="H380"/>
  <c r="H381" s="1"/>
  <c r="H544"/>
  <c r="H545" s="1"/>
  <c r="H550"/>
  <c r="H551" s="1"/>
  <c r="H14"/>
  <c r="H15" s="1"/>
  <c r="E17" s="1"/>
  <c r="H17" s="1"/>
  <c r="H18" s="1"/>
  <c r="H19" s="1"/>
  <c r="H52"/>
  <c r="H53" s="1"/>
  <c r="H108"/>
  <c r="H109" s="1"/>
  <c r="H150"/>
  <c r="H151" s="1"/>
  <c r="H182"/>
  <c r="H183" s="1"/>
  <c r="E364" s="1"/>
  <c r="H364" s="1"/>
  <c r="H365" s="1"/>
  <c r="H366" s="1"/>
  <c r="H387"/>
  <c r="H388" s="1"/>
  <c r="H524"/>
  <c r="H525" s="1"/>
  <c r="H529"/>
  <c r="H530" s="1"/>
  <c r="H534"/>
  <c r="H535" s="1"/>
  <c r="H557"/>
  <c r="H558" s="1"/>
  <c r="E560" s="1"/>
  <c r="H560" s="1"/>
  <c r="H561" s="1"/>
  <c r="H562" s="1"/>
  <c r="H563" s="1"/>
  <c r="E565" s="1"/>
  <c r="H565" s="1"/>
  <c r="H566" s="1"/>
  <c r="H567" s="1"/>
  <c r="H603"/>
  <c r="H604" s="1"/>
  <c r="H661"/>
  <c r="H662" s="1"/>
  <c r="H618"/>
  <c r="H619" s="1"/>
  <c r="H498"/>
  <c r="H499" s="1"/>
  <c r="F801" i="73"/>
  <c r="F760"/>
  <c r="F762" s="1"/>
  <c r="F632"/>
  <c r="F634" s="1"/>
  <c r="F431"/>
  <c r="F433" s="1"/>
  <c r="F411"/>
  <c r="F321"/>
  <c r="F323" s="1"/>
  <c r="F308"/>
  <c r="F309" s="1"/>
  <c r="F276"/>
  <c r="F278" s="1"/>
  <c r="D23" i="71" s="1"/>
  <c r="F23" s="1"/>
  <c r="F223" i="73"/>
  <c r="F224" s="1"/>
  <c r="F664"/>
  <c r="F666" s="1"/>
  <c r="D671" s="1"/>
  <c r="F671" s="1"/>
  <c r="F675" s="1"/>
  <c r="F677" s="1"/>
  <c r="F568"/>
  <c r="F570" s="1"/>
  <c r="F618"/>
  <c r="F620" s="1"/>
  <c r="F23"/>
  <c r="F174"/>
  <c r="F176" s="1"/>
  <c r="F390"/>
  <c r="F392" s="1"/>
  <c r="F542"/>
  <c r="F14"/>
  <c r="F49"/>
  <c r="F156"/>
  <c r="F40"/>
  <c r="F198"/>
  <c r="F200" s="1"/>
  <c r="F247"/>
  <c r="F249" s="1"/>
  <c r="F288"/>
  <c r="F290" s="1"/>
  <c r="F338"/>
  <c r="F341" s="1"/>
  <c r="F366"/>
  <c r="F368" s="1"/>
  <c r="F603"/>
  <c r="F605" s="1"/>
  <c r="F688"/>
  <c r="F690" s="1"/>
  <c r="F701"/>
  <c r="F703" s="1"/>
  <c r="F746"/>
  <c r="F77"/>
  <c r="F68"/>
  <c r="F58"/>
  <c r="H518" i="72"/>
  <c r="H519" s="1"/>
  <c r="F116" i="73"/>
  <c r="F118" s="1"/>
  <c r="F94"/>
  <c r="F96" s="1"/>
  <c r="F138"/>
  <c r="F259"/>
  <c r="F231"/>
  <c r="F260"/>
  <c r="F232"/>
  <c r="F782"/>
  <c r="F455"/>
  <c r="F456" s="1"/>
  <c r="F186"/>
  <c r="F188" s="1"/>
  <c r="F210"/>
  <c r="F212" s="1"/>
  <c r="F257"/>
  <c r="F229"/>
  <c r="F490"/>
  <c r="F491" s="1"/>
  <c r="F507"/>
  <c r="F555"/>
  <c r="F594"/>
  <c r="F258"/>
  <c r="F230"/>
  <c r="F299"/>
  <c r="F301" s="1"/>
  <c r="F549"/>
  <c r="F580"/>
  <c r="F582" s="1"/>
  <c r="F647"/>
  <c r="F649" s="1"/>
  <c r="F726"/>
  <c r="F728" s="1"/>
  <c r="F792"/>
  <c r="F793" s="1"/>
  <c r="F809"/>
  <c r="F810" s="1"/>
  <c r="F834"/>
  <c r="D512" l="1"/>
  <c r="D513" s="1"/>
  <c r="D514" s="1"/>
  <c r="E512"/>
  <c r="E513" s="1"/>
  <c r="E514" s="1"/>
  <c r="F235"/>
  <c r="F237" s="1"/>
  <c r="F264"/>
  <c r="F266" s="1"/>
  <c r="I730" i="11" l="1"/>
  <c r="C601" i="1"/>
  <c r="Y44"/>
  <c r="Y37"/>
  <c r="Y36"/>
  <c r="W23" l="1"/>
  <c r="W17"/>
  <c r="W46" s="1"/>
  <c r="W47" s="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9"/>
  <c r="F3439"/>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K3736" i="1" l="1"/>
  <c r="AB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Z3441" s="1"/>
  <c r="Y3442"/>
  <c r="Y3443"/>
  <c r="Y3444"/>
  <c r="Y3445"/>
  <c r="Y3446"/>
  <c r="Y3447"/>
  <c r="Y3448"/>
  <c r="Y3449"/>
  <c r="Z3449" s="1"/>
  <c r="Y3450"/>
  <c r="Y3451"/>
  <c r="Y3452"/>
  <c r="Y3453"/>
  <c r="Y3454"/>
  <c r="Y3455"/>
  <c r="Y3456"/>
  <c r="Y3457"/>
  <c r="Z3457" s="1"/>
  <c r="Y3458"/>
  <c r="Y3459"/>
  <c r="Y3460"/>
  <c r="Y3461"/>
  <c r="Y3462"/>
  <c r="Y3463"/>
  <c r="Y3464"/>
  <c r="Y3465"/>
  <c r="Z3465" s="1"/>
  <c r="Y3466"/>
  <c r="Y3467"/>
  <c r="Y3468"/>
  <c r="Y3469"/>
  <c r="Y3470"/>
  <c r="Y3471"/>
  <c r="Y3472"/>
  <c r="Y3473"/>
  <c r="Z3473" s="1"/>
  <c r="Y3474"/>
  <c r="Y3475"/>
  <c r="Y3476"/>
  <c r="Y3477"/>
  <c r="Y3478"/>
  <c r="Y3479"/>
  <c r="Y3480"/>
  <c r="Y3481"/>
  <c r="Z3481" s="1"/>
  <c r="Y3482"/>
  <c r="Y3483"/>
  <c r="Y3484"/>
  <c r="Y3485"/>
  <c r="Y3486"/>
  <c r="Y3487"/>
  <c r="Y3488"/>
  <c r="Y3489"/>
  <c r="Z3489" s="1"/>
  <c r="Y3490"/>
  <c r="Y3491"/>
  <c r="Y3492"/>
  <c r="Y3493"/>
  <c r="Y3494"/>
  <c r="Y3495"/>
  <c r="Y3496"/>
  <c r="Y3497"/>
  <c r="Z3497" s="1"/>
  <c r="Y3498"/>
  <c r="Y3499"/>
  <c r="Y3500"/>
  <c r="Y3501"/>
  <c r="Y3502"/>
  <c r="Y3503"/>
  <c r="Y3504"/>
  <c r="Y3505"/>
  <c r="Z3505" s="1"/>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Z4137" s="1"/>
  <c r="Y4138"/>
  <c r="Y4139"/>
  <c r="Y4140"/>
  <c r="Y4141"/>
  <c r="Y4142"/>
  <c r="Y4143"/>
  <c r="Y4144"/>
  <c r="Y4145"/>
  <c r="Y4146"/>
  <c r="Y4147"/>
  <c r="Y4148"/>
  <c r="Y4149"/>
  <c r="Y4150"/>
  <c r="Y4151"/>
  <c r="Y4152"/>
  <c r="Y4153"/>
  <c r="Z4153" s="1"/>
  <c r="Y4154"/>
  <c r="Y4155"/>
  <c r="Y4156"/>
  <c r="Y4157"/>
  <c r="Y4158"/>
  <c r="Y4159"/>
  <c r="Y4160"/>
  <c r="Y4161"/>
  <c r="Y4162"/>
  <c r="Y4163"/>
  <c r="Y4164"/>
  <c r="Y4165"/>
  <c r="Y4166"/>
  <c r="Y4167"/>
  <c r="Y4168"/>
  <c r="Y4169"/>
  <c r="Z4169" s="1"/>
  <c r="Y4170"/>
  <c r="Y4171"/>
  <c r="Y4172"/>
  <c r="Y4173"/>
  <c r="Y4174"/>
  <c r="Y4175"/>
  <c r="Y4176"/>
  <c r="Y4177"/>
  <c r="Y4178"/>
  <c r="Y4179"/>
  <c r="Y4180"/>
  <c r="Y4181"/>
  <c r="Z4181" s="1"/>
  <c r="Y4182"/>
  <c r="Y4183"/>
  <c r="Y4184"/>
  <c r="Y4185"/>
  <c r="Z4185" s="1"/>
  <c r="Y4186"/>
  <c r="Y4187"/>
  <c r="Y4188"/>
  <c r="Y4189"/>
  <c r="Y4190"/>
  <c r="Y4191"/>
  <c r="Y4192"/>
  <c r="Y4193"/>
  <c r="Y4194"/>
  <c r="Y4195"/>
  <c r="Y4196"/>
  <c r="Y4197"/>
  <c r="Z4197" s="1"/>
  <c r="Y4198"/>
  <c r="Y4199"/>
  <c r="Y4200"/>
  <c r="Y4201"/>
  <c r="Z4201" s="1"/>
  <c r="Y4202"/>
  <c r="Y4203"/>
  <c r="Y4204"/>
  <c r="Y4205"/>
  <c r="Y4206"/>
  <c r="Y4207"/>
  <c r="Y4208"/>
  <c r="Y4209"/>
  <c r="Y4210"/>
  <c r="Y4211"/>
  <c r="Y4212"/>
  <c r="Y4213"/>
  <c r="Z4213" s="1"/>
  <c r="Y4214"/>
  <c r="Y4215"/>
  <c r="Y4216"/>
  <c r="Y4217"/>
  <c r="Z4217" s="1"/>
  <c r="Y4218"/>
  <c r="Y4219"/>
  <c r="Y4220"/>
  <c r="Y4221"/>
  <c r="Y4222"/>
  <c r="Y4223"/>
  <c r="Y4224"/>
  <c r="Y4225"/>
  <c r="Y4226"/>
  <c r="Y4227"/>
  <c r="Y4228"/>
  <c r="Y4229"/>
  <c r="Z4229" s="1"/>
  <c r="Y4230"/>
  <c r="Y4231"/>
  <c r="Y4232"/>
  <c r="Y4233"/>
  <c r="Z4233" s="1"/>
  <c r="Y4234"/>
  <c r="Y4235"/>
  <c r="Y4236"/>
  <c r="Y4237"/>
  <c r="Y4238"/>
  <c r="Y4239"/>
  <c r="Y4240"/>
  <c r="Y4241"/>
  <c r="Y4242"/>
  <c r="Y4243"/>
  <c r="Y4244"/>
  <c r="Y4245"/>
  <c r="Z4245" s="1"/>
  <c r="Y4246"/>
  <c r="Y4247"/>
  <c r="Y4248"/>
  <c r="Y4249"/>
  <c r="Z4249" s="1"/>
  <c r="Y4250"/>
  <c r="Y4251"/>
  <c r="Y4252"/>
  <c r="Y4253"/>
  <c r="Y4254"/>
  <c r="Y4255"/>
  <c r="Y4256"/>
  <c r="Y4257"/>
  <c r="Y4258"/>
  <c r="Y4259"/>
  <c r="Y4260"/>
  <c r="Y4261"/>
  <c r="Z4261" s="1"/>
  <c r="Y4262"/>
  <c r="Y4263"/>
  <c r="Y4264"/>
  <c r="Y4265"/>
  <c r="Z4265" s="1"/>
  <c r="Y4266"/>
  <c r="Y4267"/>
  <c r="Y4268"/>
  <c r="Y4269"/>
  <c r="Y4270"/>
  <c r="Y4271"/>
  <c r="Y4272"/>
  <c r="Y4273"/>
  <c r="Y4274"/>
  <c r="Y4275"/>
  <c r="Y4276"/>
  <c r="Y4277"/>
  <c r="Z4277" s="1"/>
  <c r="Y4278"/>
  <c r="Y4279"/>
  <c r="Y4280"/>
  <c r="Y4281"/>
  <c r="Z4281" s="1"/>
  <c r="Y4282"/>
  <c r="Y4283"/>
  <c r="Y4284"/>
  <c r="Y4285"/>
  <c r="Y4286"/>
  <c r="Y4287"/>
  <c r="Y4288"/>
  <c r="Y4289"/>
  <c r="Y4290"/>
  <c r="Y4291"/>
  <c r="Y4292"/>
  <c r="Y4293"/>
  <c r="Z4293" s="1"/>
  <c r="Y4294"/>
  <c r="Y4295"/>
  <c r="Y4296"/>
  <c r="Y4297"/>
  <c r="Z4297" s="1"/>
  <c r="Y4298"/>
  <c r="Y4299"/>
  <c r="Y4300"/>
  <c r="Y4301"/>
  <c r="Y4302"/>
  <c r="Y4303"/>
  <c r="Y4304"/>
  <c r="Y4305"/>
  <c r="Y4306"/>
  <c r="Y4307"/>
  <c r="Y4308"/>
  <c r="Y4309"/>
  <c r="Z4309" s="1"/>
  <c r="Y4310"/>
  <c r="Y4311"/>
  <c r="Y4312"/>
  <c r="Y4313"/>
  <c r="Z4313" s="1"/>
  <c r="Y4314"/>
  <c r="Y4315"/>
  <c r="Y4316"/>
  <c r="Y4317"/>
  <c r="Y4318"/>
  <c r="Y4319"/>
  <c r="Y4320"/>
  <c r="Y4321"/>
  <c r="Y4322"/>
  <c r="Y4323"/>
  <c r="Y4324"/>
  <c r="Y4325"/>
  <c r="Z4325" s="1"/>
  <c r="Y4326"/>
  <c r="Y4327"/>
  <c r="Y4328"/>
  <c r="Y4329"/>
  <c r="Z4329" s="1"/>
  <c r="Y4330"/>
  <c r="Y4331"/>
  <c r="Y4332"/>
  <c r="Y4333"/>
  <c r="Y4334"/>
  <c r="Y4335"/>
  <c r="Y4336"/>
  <c r="Y4337"/>
  <c r="Y4338"/>
  <c r="Y4339"/>
  <c r="Y4340"/>
  <c r="Y4341"/>
  <c r="Z4341" s="1"/>
  <c r="Y4342"/>
  <c r="Y4343"/>
  <c r="Y4344"/>
  <c r="Y4345"/>
  <c r="Z4345" s="1"/>
  <c r="Y4346"/>
  <c r="Y4347"/>
  <c r="Y4348"/>
  <c r="Y4349"/>
  <c r="Y4350"/>
  <c r="Y4351"/>
  <c r="Y4352"/>
  <c r="Y4353"/>
  <c r="Y4354"/>
  <c r="Y4355"/>
  <c r="Y4356"/>
  <c r="Y4357"/>
  <c r="Z4357" s="1"/>
  <c r="Y4358"/>
  <c r="Y4359"/>
  <c r="Y4360"/>
  <c r="Y4361"/>
  <c r="Z4361" s="1"/>
  <c r="Y4362"/>
  <c r="Y4363"/>
  <c r="Y4364"/>
  <c r="Y4365"/>
  <c r="Y4366"/>
  <c r="Y4367"/>
  <c r="Y4368"/>
  <c r="Y4369"/>
  <c r="Y4370"/>
  <c r="Y4371"/>
  <c r="Y4372"/>
  <c r="Y4373"/>
  <c r="Z4373" s="1"/>
  <c r="Y4374"/>
  <c r="Y4375"/>
  <c r="Y4376"/>
  <c r="Y4377"/>
  <c r="Z4377" s="1"/>
  <c r="Y4378"/>
  <c r="Y4379"/>
  <c r="Y4380"/>
  <c r="Y4381"/>
  <c r="Y4382"/>
  <c r="Y4383"/>
  <c r="Y4384"/>
  <c r="Y4385"/>
  <c r="Y4386"/>
  <c r="Y4387"/>
  <c r="Y4388"/>
  <c r="Y4389"/>
  <c r="Z4389" s="1"/>
  <c r="Y4390"/>
  <c r="Y4391"/>
  <c r="Y4392"/>
  <c r="Y4393"/>
  <c r="Z4393" s="1"/>
  <c r="Y4394"/>
  <c r="Y4395"/>
  <c r="Y4396"/>
  <c r="Y4397"/>
  <c r="Y4398"/>
  <c r="Y4399"/>
  <c r="Y4400"/>
  <c r="Y4401"/>
  <c r="Y4402"/>
  <c r="Y4403"/>
  <c r="Y4404"/>
  <c r="Y4405"/>
  <c r="Z4405" s="1"/>
  <c r="Y4406"/>
  <c r="Y4407"/>
  <c r="Y4408"/>
  <c r="Y4409"/>
  <c r="Z4409" s="1"/>
  <c r="Y4410"/>
  <c r="Y4411"/>
  <c r="Y4412"/>
  <c r="Y4413"/>
  <c r="Y4414"/>
  <c r="Y4415"/>
  <c r="Y4416"/>
  <c r="Y4417"/>
  <c r="Y4418"/>
  <c r="Y4419"/>
  <c r="Y4420"/>
  <c r="Y4421"/>
  <c r="Z4421" s="1"/>
  <c r="Y4422"/>
  <c r="Y4423"/>
  <c r="Y4424"/>
  <c r="Y4425"/>
  <c r="Z4425" s="1"/>
  <c r="Y4426"/>
  <c r="Y4427"/>
  <c r="Y4428"/>
  <c r="Y4429"/>
  <c r="Y4430"/>
  <c r="Y4431"/>
  <c r="Y4432"/>
  <c r="Y4433"/>
  <c r="Y4434"/>
  <c r="Y4435"/>
  <c r="Y4436"/>
  <c r="Y4437"/>
  <c r="Z4437" s="1"/>
  <c r="Y4438"/>
  <c r="Y4439"/>
  <c r="Y4440"/>
  <c r="Y4441"/>
  <c r="Z4441" s="1"/>
  <c r="Y4442"/>
  <c r="Y4443"/>
  <c r="Y4444"/>
  <c r="Y4445"/>
  <c r="Y4446"/>
  <c r="Y4447"/>
  <c r="Y4448"/>
  <c r="Y4449"/>
  <c r="Y4450"/>
  <c r="Y4451"/>
  <c r="Y4452"/>
  <c r="Y4453"/>
  <c r="Z4453" s="1"/>
  <c r="Y4454"/>
  <c r="Y4455"/>
  <c r="Y4456"/>
  <c r="Y4457"/>
  <c r="Z4457" s="1"/>
  <c r="Y4458"/>
  <c r="Y4459"/>
  <c r="Y4460"/>
  <c r="Y4461"/>
  <c r="Y4462"/>
  <c r="Y4463"/>
  <c r="Y4464"/>
  <c r="Y4465"/>
  <c r="Y4466"/>
  <c r="Y4467"/>
  <c r="Y4468"/>
  <c r="Y4469"/>
  <c r="Z4469" s="1"/>
  <c r="Y4470"/>
  <c r="Y4471"/>
  <c r="Y4472"/>
  <c r="Y4473"/>
  <c r="Z4473" s="1"/>
  <c r="Y4474"/>
  <c r="Y4475"/>
  <c r="Y4476"/>
  <c r="Y4477"/>
  <c r="Y4478"/>
  <c r="Y4479"/>
  <c r="Y4480"/>
  <c r="Y4481"/>
  <c r="Y4482"/>
  <c r="Y4483"/>
  <c r="Y4484"/>
  <c r="Y4485"/>
  <c r="Z4485" s="1"/>
  <c r="Y4486"/>
  <c r="Y4487"/>
  <c r="Y4488"/>
  <c r="Y4489"/>
  <c r="Z4489" s="1"/>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Z5345" s="1"/>
  <c r="Y5346"/>
  <c r="Y5347"/>
  <c r="Y5348"/>
  <c r="Y5349"/>
  <c r="Z5349" s="1"/>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Z6301" s="1"/>
  <c r="Y6302"/>
  <c r="Y6303"/>
  <c r="Y6304"/>
  <c r="Y6305"/>
  <c r="Z6305" s="1"/>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Z6357" s="1"/>
  <c r="Y6358"/>
  <c r="Y6359"/>
  <c r="Y6360"/>
  <c r="Y6361"/>
  <c r="Z6361" s="1"/>
  <c r="Y6362"/>
  <c r="Y6363"/>
  <c r="Y6364"/>
  <c r="Y6365"/>
  <c r="Z6365" s="1"/>
  <c r="Y6366"/>
  <c r="Y6367"/>
  <c r="Y6368"/>
  <c r="Y6369"/>
  <c r="Z6369" s="1"/>
  <c r="Y6370"/>
  <c r="Y6371"/>
  <c r="Y6372"/>
  <c r="Y6373"/>
  <c r="Z6373" s="1"/>
  <c r="Y6374"/>
  <c r="Y6375"/>
  <c r="Y6376"/>
  <c r="Y6377"/>
  <c r="Y6378"/>
  <c r="Y6379"/>
  <c r="Y6380"/>
  <c r="Y6381"/>
  <c r="Z6381" s="1"/>
  <c r="Y6382"/>
  <c r="Y6383"/>
  <c r="Y6384"/>
  <c r="Y6385"/>
  <c r="Y6386"/>
  <c r="Y6387"/>
  <c r="Y6388"/>
  <c r="Y6389"/>
  <c r="Z6389" s="1"/>
  <c r="Y6390"/>
  <c r="Y6391"/>
  <c r="Y6392"/>
  <c r="Y6393"/>
  <c r="Z6393" s="1"/>
  <c r="Y6394"/>
  <c r="Y6395"/>
  <c r="Y6396"/>
  <c r="Y6397"/>
  <c r="Z6397" s="1"/>
  <c r="Y6398"/>
  <c r="Y6399"/>
  <c r="Y6400"/>
  <c r="Y6401"/>
  <c r="Z6401" s="1"/>
  <c r="Y6402"/>
  <c r="Y6403"/>
  <c r="Y6404"/>
  <c r="Y6405"/>
  <c r="Z6405" s="1"/>
  <c r="Y6406"/>
  <c r="Y6407"/>
  <c r="Y6408"/>
  <c r="Y6409"/>
  <c r="Y6410"/>
  <c r="Y6411"/>
  <c r="Y6412"/>
  <c r="Y6413"/>
  <c r="Z6413" s="1"/>
  <c r="Y6414"/>
  <c r="Y6415"/>
  <c r="Y6416"/>
  <c r="Y6417"/>
  <c r="Y6418"/>
  <c r="Y6419"/>
  <c r="Y6420"/>
  <c r="Y6421"/>
  <c r="Z6421" s="1"/>
  <c r="Y6422"/>
  <c r="Y6423"/>
  <c r="Y6424"/>
  <c r="Y6425"/>
  <c r="Z6425" s="1"/>
  <c r="Y6426"/>
  <c r="Y6427"/>
  <c r="Y6428"/>
  <c r="Y6429"/>
  <c r="Z6429" s="1"/>
  <c r="Y6430"/>
  <c r="Y6431"/>
  <c r="Y6432"/>
  <c r="Y6433"/>
  <c r="Z6433" s="1"/>
  <c r="Y6434"/>
  <c r="Y6435"/>
  <c r="Y6436"/>
  <c r="Y6437"/>
  <c r="Z6437" s="1"/>
  <c r="Y6438"/>
  <c r="Y6439"/>
  <c r="Y6440"/>
  <c r="Y6441"/>
  <c r="Y6442"/>
  <c r="Y6443"/>
  <c r="Y6444"/>
  <c r="Y6445"/>
  <c r="Z6445" s="1"/>
  <c r="Y6446"/>
  <c r="Y6447"/>
  <c r="Y6448"/>
  <c r="Y6449"/>
  <c r="Y6450"/>
  <c r="Y6451"/>
  <c r="Y6452"/>
  <c r="Y6453"/>
  <c r="Z6453" s="1"/>
  <c r="Y6454"/>
  <c r="Y6455"/>
  <c r="Y6456"/>
  <c r="Y6457"/>
  <c r="Z6457" s="1"/>
  <c r="Y6458"/>
  <c r="Y6459"/>
  <c r="Y6460"/>
  <c r="Y6461"/>
  <c r="Z6461" s="1"/>
  <c r="Y6462"/>
  <c r="Y6463"/>
  <c r="Y6464"/>
  <c r="Y6465"/>
  <c r="Z6465" s="1"/>
  <c r="Y6466"/>
  <c r="Y6467"/>
  <c r="Y6468"/>
  <c r="Y6469"/>
  <c r="Z6469" s="1"/>
  <c r="Y6470"/>
  <c r="Y6471"/>
  <c r="Y6472"/>
  <c r="Y6473"/>
  <c r="Y6474"/>
  <c r="Y6475"/>
  <c r="Y6476"/>
  <c r="Y6477"/>
  <c r="Z6477" s="1"/>
  <c r="Y6478"/>
  <c r="Y6479"/>
  <c r="Y6480"/>
  <c r="Y6481"/>
  <c r="Y6482"/>
  <c r="Y6483"/>
  <c r="Y6484"/>
  <c r="Y6485"/>
  <c r="Z6485" s="1"/>
  <c r="Y6486"/>
  <c r="Y6487"/>
  <c r="Y6488"/>
  <c r="Y6489"/>
  <c r="Z6489" s="1"/>
  <c r="Y6490"/>
  <c r="Y6491"/>
  <c r="Y6492"/>
  <c r="Y6493"/>
  <c r="Z6493" s="1"/>
  <c r="Y6494"/>
  <c r="Y6495"/>
  <c r="Y6496"/>
  <c r="Y6497"/>
  <c r="Z6497" s="1"/>
  <c r="Y6498"/>
  <c r="Y6499"/>
  <c r="Y6500"/>
  <c r="Y6501"/>
  <c r="Z6501" s="1"/>
  <c r="Y6502"/>
  <c r="Y6503"/>
  <c r="Y6504"/>
  <c r="Y6505"/>
  <c r="Y6506"/>
  <c r="Y6507"/>
  <c r="Y6508"/>
  <c r="Y6509"/>
  <c r="Z6509" s="1"/>
  <c r="Y6510"/>
  <c r="Y6511"/>
  <c r="Y6512"/>
  <c r="Y6513"/>
  <c r="Y6514"/>
  <c r="Y6515"/>
  <c r="Y6516"/>
  <c r="Y6517"/>
  <c r="Z6517" s="1"/>
  <c r="Y6518"/>
  <c r="Y6519"/>
  <c r="Y6520"/>
  <c r="Y6521"/>
  <c r="Z6521" s="1"/>
  <c r="Y6522"/>
  <c r="Y6523"/>
  <c r="Y6524"/>
  <c r="Y6525"/>
  <c r="Z6525" s="1"/>
  <c r="Y6526"/>
  <c r="Y6527"/>
  <c r="Y6528"/>
  <c r="Y6529"/>
  <c r="Z6529" s="1"/>
  <c r="Y6530"/>
  <c r="Y6531"/>
  <c r="Y6532"/>
  <c r="Y6533"/>
  <c r="Z6533" s="1"/>
  <c r="Y6534"/>
  <c r="Y6535"/>
  <c r="Y6536"/>
  <c r="Y6537"/>
  <c r="Y6538"/>
  <c r="Y6539"/>
  <c r="Y6540"/>
  <c r="Y6541"/>
  <c r="Z6541" s="1"/>
  <c r="Y6542"/>
  <c r="Y6543"/>
  <c r="Y6544"/>
  <c r="Y6545"/>
  <c r="Y6546"/>
  <c r="Y6547"/>
  <c r="Y6548"/>
  <c r="Y6549"/>
  <c r="Z6549" s="1"/>
  <c r="Y6550"/>
  <c r="Y6551"/>
  <c r="Y6552"/>
  <c r="Y6553"/>
  <c r="Z6553" s="1"/>
  <c r="Y6554"/>
  <c r="Y6555"/>
  <c r="Y6556"/>
  <c r="Y6557"/>
  <c r="Z6557" s="1"/>
  <c r="Y6558"/>
  <c r="Y6559"/>
  <c r="Y6560"/>
  <c r="Y6561"/>
  <c r="Z6561" s="1"/>
  <c r="Y6562"/>
  <c r="Y6563"/>
  <c r="Y6564"/>
  <c r="Y6565"/>
  <c r="Z6565" s="1"/>
  <c r="Y6566"/>
  <c r="Y6567"/>
  <c r="Y6568"/>
  <c r="Y6569"/>
  <c r="Y6570"/>
  <c r="Y6571"/>
  <c r="Y6572"/>
  <c r="Y6573"/>
  <c r="Z6573" s="1"/>
  <c r="Y6574"/>
  <c r="Y6575"/>
  <c r="Y6576"/>
  <c r="Y6577"/>
  <c r="Y6578"/>
  <c r="Y6579"/>
  <c r="Y6580"/>
  <c r="Y6581"/>
  <c r="Z6581" s="1"/>
  <c r="Y6582"/>
  <c r="Y6583"/>
  <c r="Y6584"/>
  <c r="Y6585"/>
  <c r="Z6585" s="1"/>
  <c r="Y6586"/>
  <c r="Y6587"/>
  <c r="Y6588"/>
  <c r="Y6589"/>
  <c r="Z6589" s="1"/>
  <c r="Y6590"/>
  <c r="Y6591"/>
  <c r="Y6592"/>
  <c r="Y6593"/>
  <c r="Z6593" s="1"/>
  <c r="Y6594"/>
  <c r="Y6595"/>
  <c r="Y6596"/>
  <c r="Y6597"/>
  <c r="Z6597" s="1"/>
  <c r="Y6598"/>
  <c r="Y6599"/>
  <c r="Y6600"/>
  <c r="Y6601"/>
  <c r="Y6602"/>
  <c r="Y6603"/>
  <c r="Y6604"/>
  <c r="Y6605"/>
  <c r="Z6605" s="1"/>
  <c r="Y6606"/>
  <c r="Y6607"/>
  <c r="Y6608"/>
  <c r="Y6609"/>
  <c r="Y6610"/>
  <c r="Y6611"/>
  <c r="Y6612"/>
  <c r="Y6613"/>
  <c r="Z6613" s="1"/>
  <c r="Y6614"/>
  <c r="Y6615"/>
  <c r="Y6616"/>
  <c r="Y6617"/>
  <c r="Z6617" s="1"/>
  <c r="Y6618"/>
  <c r="Y6619"/>
  <c r="Y6620"/>
  <c r="Y6621"/>
  <c r="Z6621" s="1"/>
  <c r="Y6622"/>
  <c r="Y6623"/>
  <c r="Y6624"/>
  <c r="Y6625"/>
  <c r="Z6625" s="1"/>
  <c r="Y6626"/>
  <c r="Y6627"/>
  <c r="Y6628"/>
  <c r="Y6629"/>
  <c r="Z6629" s="1"/>
  <c r="Y6630"/>
  <c r="Y6631"/>
  <c r="Y6632"/>
  <c r="Y6633"/>
  <c r="Y6634"/>
  <c r="Y6635"/>
  <c r="Y6636"/>
  <c r="Y6637"/>
  <c r="Z6637" s="1"/>
  <c r="Y6638"/>
  <c r="Y6639"/>
  <c r="Y6640"/>
  <c r="Y6641"/>
  <c r="Y6642"/>
  <c r="Y6643"/>
  <c r="Y6644"/>
  <c r="Y6645"/>
  <c r="Z6645" s="1"/>
  <c r="Y6646"/>
  <c r="Y6647"/>
  <c r="Y6648"/>
  <c r="Y6649"/>
  <c r="Z6649" s="1"/>
  <c r="Y6650"/>
  <c r="Y6651"/>
  <c r="Y6652"/>
  <c r="Y6653"/>
  <c r="Z6653" s="1"/>
  <c r="Y6654"/>
  <c r="Y6655"/>
  <c r="Y6656"/>
  <c r="Y6657"/>
  <c r="Z6657" s="1"/>
  <c r="Y6658"/>
  <c r="Y6659"/>
  <c r="Y6660"/>
  <c r="Y6661"/>
  <c r="Z6661" s="1"/>
  <c r="Y6662"/>
  <c r="Y6663"/>
  <c r="Y6664"/>
  <c r="Y6665"/>
  <c r="Y6666"/>
  <c r="Y6667"/>
  <c r="Y6668"/>
  <c r="Y6669"/>
  <c r="Z6669" s="1"/>
  <c r="Y6670"/>
  <c r="Y6671"/>
  <c r="Y6672"/>
  <c r="Y6673"/>
  <c r="Y6674"/>
  <c r="Y6675"/>
  <c r="Y6676"/>
  <c r="Y6677"/>
  <c r="Z6677" s="1"/>
  <c r="Y6678"/>
  <c r="Y6679"/>
  <c r="Y6680"/>
  <c r="Y6681"/>
  <c r="Z6681" s="1"/>
  <c r="Y6682"/>
  <c r="Y6683"/>
  <c r="Y6684"/>
  <c r="Y6685"/>
  <c r="Z6685" s="1"/>
  <c r="Y6686"/>
  <c r="Y6687"/>
  <c r="Y6688"/>
  <c r="Y6689"/>
  <c r="Z6689" s="1"/>
  <c r="Y6690"/>
  <c r="Y6691"/>
  <c r="Y6692"/>
  <c r="Y6693"/>
  <c r="Z6693" s="1"/>
  <c r="Y6694"/>
  <c r="Y6695"/>
  <c r="Y6696"/>
  <c r="Y6697"/>
  <c r="Y6698"/>
  <c r="Y6699"/>
  <c r="Y6700"/>
  <c r="Y6701"/>
  <c r="Z6701" s="1"/>
  <c r="Y6702"/>
  <c r="Y6703"/>
  <c r="Y6704"/>
  <c r="Y6705"/>
  <c r="Y6706"/>
  <c r="Y6707"/>
  <c r="Y6708"/>
  <c r="Y6709"/>
  <c r="Z6709" s="1"/>
  <c r="Y6710"/>
  <c r="Y6711"/>
  <c r="Y6712"/>
  <c r="Y6713"/>
  <c r="Z6713" s="1"/>
  <c r="Y6714"/>
  <c r="Y6715"/>
  <c r="Y6716"/>
  <c r="Y6717"/>
  <c r="Z6717" s="1"/>
  <c r="Y6718"/>
  <c r="Y6719"/>
  <c r="Y6720"/>
  <c r="Y6721"/>
  <c r="Z6721" s="1"/>
  <c r="Y6722"/>
  <c r="Y6723"/>
  <c r="Y6724"/>
  <c r="Y6725"/>
  <c r="Z6725" s="1"/>
  <c r="Y6726"/>
  <c r="Y6727"/>
  <c r="Y6728"/>
  <c r="Y6729"/>
  <c r="Y6730"/>
  <c r="Y6731"/>
  <c r="Y6732"/>
  <c r="Y6733"/>
  <c r="Z6733" s="1"/>
  <c r="Y6734"/>
  <c r="Y6735"/>
  <c r="Y6736"/>
  <c r="Y6737"/>
  <c r="Y6738"/>
  <c r="Y6739"/>
  <c r="Y6740"/>
  <c r="Y6741"/>
  <c r="Z6741" s="1"/>
  <c r="Y6742"/>
  <c r="Y6743"/>
  <c r="Y6744"/>
  <c r="Y6745"/>
  <c r="Z6745" s="1"/>
  <c r="Y6746"/>
  <c r="Y6747"/>
  <c r="Y6748"/>
  <c r="Y6749"/>
  <c r="Z6749" s="1"/>
  <c r="Y6750"/>
  <c r="Y6751"/>
  <c r="Y6752"/>
  <c r="Y6753"/>
  <c r="Z6753" s="1"/>
  <c r="Y6754"/>
  <c r="Y6755"/>
  <c r="Y6756"/>
  <c r="Y6757"/>
  <c r="Z6757" s="1"/>
  <c r="Y6758"/>
  <c r="Y6759"/>
  <c r="Y6760"/>
  <c r="Y6761"/>
  <c r="Y6762"/>
  <c r="Y6763"/>
  <c r="Y6764"/>
  <c r="Y6765"/>
  <c r="Z6765" s="1"/>
  <c r="Y6766"/>
  <c r="Y6767"/>
  <c r="Y6768"/>
  <c r="Y6769"/>
  <c r="Y6770"/>
  <c r="Y6771"/>
  <c r="Y6772"/>
  <c r="Y6773"/>
  <c r="Z6773" s="1"/>
  <c r="Y6774"/>
  <c r="Y6775"/>
  <c r="Y6776"/>
  <c r="Y6777"/>
  <c r="Z6777" s="1"/>
  <c r="Y6778"/>
  <c r="Y6779"/>
  <c r="Y6780"/>
  <c r="Y6781"/>
  <c r="Z6781" s="1"/>
  <c r="Y6782"/>
  <c r="Y6783"/>
  <c r="Y6784"/>
  <c r="Y6785"/>
  <c r="Z6785" s="1"/>
  <c r="Y6786"/>
  <c r="Y6787"/>
  <c r="Y6788"/>
  <c r="Y6789"/>
  <c r="Z6789" s="1"/>
  <c r="Y6790"/>
  <c r="Y6791"/>
  <c r="Y6792"/>
  <c r="Y6793"/>
  <c r="Y6794"/>
  <c r="Y6795"/>
  <c r="Y6796"/>
  <c r="Y6797"/>
  <c r="Z6797" s="1"/>
  <c r="Y6798"/>
  <c r="Y6799"/>
  <c r="Y6800"/>
  <c r="Y6801"/>
  <c r="Y6802"/>
  <c r="Y6803"/>
  <c r="Y6804"/>
  <c r="Y6805"/>
  <c r="Z6805" s="1"/>
  <c r="Y6806"/>
  <c r="Y6807"/>
  <c r="Y6808"/>
  <c r="Y6809"/>
  <c r="Z6809" s="1"/>
  <c r="Y6810"/>
  <c r="Y6811"/>
  <c r="Y6812"/>
  <c r="Y6813"/>
  <c r="Z6813" s="1"/>
  <c r="Y6814"/>
  <c r="Y6815"/>
  <c r="Y6816"/>
  <c r="Y6817"/>
  <c r="Z6817" s="1"/>
  <c r="Y6818"/>
  <c r="Y6819"/>
  <c r="Y6820"/>
  <c r="Y6821"/>
  <c r="Z6821" s="1"/>
  <c r="Y6822"/>
  <c r="Y6823"/>
  <c r="Y6824"/>
  <c r="Y6825"/>
  <c r="Y6826"/>
  <c r="Y6827"/>
  <c r="Y6828"/>
  <c r="Y6829"/>
  <c r="Z6829" s="1"/>
  <c r="Y6830"/>
  <c r="Y6831"/>
  <c r="Y6832"/>
  <c r="Y6833"/>
  <c r="Y6834"/>
  <c r="Y6835"/>
  <c r="Y6836"/>
  <c r="Y6837"/>
  <c r="Z6837" s="1"/>
  <c r="Y6838"/>
  <c r="Y6839"/>
  <c r="Y6840"/>
  <c r="Y6841"/>
  <c r="Z6841" s="1"/>
  <c r="Y6842"/>
  <c r="Y6843"/>
  <c r="Y6844"/>
  <c r="Y6845"/>
  <c r="Z6845" s="1"/>
  <c r="Y6846"/>
  <c r="Y6847"/>
  <c r="Y6848"/>
  <c r="Y6849"/>
  <c r="Z6849" s="1"/>
  <c r="Y6850"/>
  <c r="Y6851"/>
  <c r="Y6852"/>
  <c r="Y6853"/>
  <c r="Z6853" s="1"/>
  <c r="Y6854"/>
  <c r="Y6855"/>
  <c r="Y6856"/>
  <c r="Y6857"/>
  <c r="Y6858"/>
  <c r="Y6859"/>
  <c r="Y6860"/>
  <c r="Y6861"/>
  <c r="Z6861" s="1"/>
  <c r="Y6862"/>
  <c r="Y6863"/>
  <c r="Y6864"/>
  <c r="Y6865"/>
  <c r="Y6866"/>
  <c r="Y6867"/>
  <c r="Y6868"/>
  <c r="Y6869"/>
  <c r="Z6869" s="1"/>
  <c r="Y6870"/>
  <c r="Y6871"/>
  <c r="Y6872"/>
  <c r="Y6873"/>
  <c r="Z6873" s="1"/>
  <c r="Y6874"/>
  <c r="Y6875"/>
  <c r="Y6876"/>
  <c r="Y6877"/>
  <c r="Z6877" s="1"/>
  <c r="Y6878"/>
  <c r="Y6879"/>
  <c r="Y6880"/>
  <c r="Y6881"/>
  <c r="Z6881" s="1"/>
  <c r="Y6882"/>
  <c r="Y6883"/>
  <c r="Y6884"/>
  <c r="Y6885"/>
  <c r="Z6885" s="1"/>
  <c r="Y6886"/>
  <c r="Y6887"/>
  <c r="Y6888"/>
  <c r="Y6889"/>
  <c r="Y6890"/>
  <c r="Y6891"/>
  <c r="Y6892"/>
  <c r="Y6893"/>
  <c r="Z6893" s="1"/>
  <c r="Y6894"/>
  <c r="Y6895"/>
  <c r="Y6896"/>
  <c r="Y6897"/>
  <c r="Y6898"/>
  <c r="Y6899"/>
  <c r="Y6900"/>
  <c r="Y6901"/>
  <c r="Z6901" s="1"/>
  <c r="Y6902"/>
  <c r="Y6903"/>
  <c r="Y6904"/>
  <c r="Y6905"/>
  <c r="Z6905" s="1"/>
  <c r="Y6906"/>
  <c r="Y6907"/>
  <c r="Y6908"/>
  <c r="Y6909"/>
  <c r="Z6909" s="1"/>
  <c r="Y6910"/>
  <c r="Y6911"/>
  <c r="Y6912"/>
  <c r="Y6913"/>
  <c r="Z6913" s="1"/>
  <c r="Y6914"/>
  <c r="Y6915"/>
  <c r="Y6916"/>
  <c r="Y6917"/>
  <c r="Z6917" s="1"/>
  <c r="Y6918"/>
  <c r="Y6919"/>
  <c r="Y6920"/>
  <c r="Y6921"/>
  <c r="Y6922"/>
  <c r="Y6923"/>
  <c r="Y6924"/>
  <c r="Y6925"/>
  <c r="Z6925" s="1"/>
  <c r="Y6926"/>
  <c r="Y6927"/>
  <c r="Y6928"/>
  <c r="Y6929"/>
  <c r="Y6930"/>
  <c r="Y6931"/>
  <c r="Y6932"/>
  <c r="Y6933"/>
  <c r="Z6933" s="1"/>
  <c r="Y6934"/>
  <c r="Y6935"/>
  <c r="Y6936"/>
  <c r="Y6937"/>
  <c r="Z6937" s="1"/>
  <c r="Y6938"/>
  <c r="Y6939"/>
  <c r="Y6940"/>
  <c r="Y6941"/>
  <c r="Z6941" s="1"/>
  <c r="Y6942"/>
  <c r="Y6943"/>
  <c r="Y6944"/>
  <c r="Y6945"/>
  <c r="Z6945" s="1"/>
  <c r="Y6946"/>
  <c r="Y6947"/>
  <c r="Y6948"/>
  <c r="Y6949"/>
  <c r="Z6949" s="1"/>
  <c r="Y6950"/>
  <c r="Y6951"/>
  <c r="Y6952"/>
  <c r="Y6953"/>
  <c r="Y6954"/>
  <c r="Y6955"/>
  <c r="Y6956"/>
  <c r="Y6957"/>
  <c r="Z6957" s="1"/>
  <c r="Y6958"/>
  <c r="Y6959"/>
  <c r="Y6960"/>
  <c r="Y6961"/>
  <c r="Y6962"/>
  <c r="Y6963"/>
  <c r="Y6964"/>
  <c r="Y6965"/>
  <c r="Z6965" s="1"/>
  <c r="Y6966"/>
  <c r="Y6967"/>
  <c r="Y6968"/>
  <c r="Y6969"/>
  <c r="Z6969" s="1"/>
  <c r="Y6970"/>
  <c r="Y6971"/>
  <c r="Y6972"/>
  <c r="Y6973"/>
  <c r="Z6973" s="1"/>
  <c r="Y6974"/>
  <c r="Y6975"/>
  <c r="Y6976"/>
  <c r="Y6977"/>
  <c r="Z6977" s="1"/>
  <c r="Y6978"/>
  <c r="Y6979"/>
  <c r="Y6980"/>
  <c r="Y6981"/>
  <c r="Z6981" s="1"/>
  <c r="Y6982"/>
  <c r="Y6983"/>
  <c r="Y6984"/>
  <c r="Y6985"/>
  <c r="Y6986"/>
  <c r="Y6987"/>
  <c r="Y6988"/>
  <c r="Y6989"/>
  <c r="Z6989" s="1"/>
  <c r="Y6990"/>
  <c r="Y6991"/>
  <c r="Y6992"/>
  <c r="Y6993"/>
  <c r="Y6994"/>
  <c r="Y6995"/>
  <c r="Y6996"/>
  <c r="Y6997"/>
  <c r="Z6997" s="1"/>
  <c r="Y6998"/>
  <c r="Y6999"/>
  <c r="Y7000"/>
  <c r="Y7001"/>
  <c r="Z7001" s="1"/>
  <c r="Y7002"/>
  <c r="Y7003"/>
  <c r="Y7004"/>
  <c r="Y7005"/>
  <c r="Z7005" s="1"/>
  <c r="Y7006"/>
  <c r="Y7007"/>
  <c r="Y7008"/>
  <c r="Y7009"/>
  <c r="Z7009" s="1"/>
  <c r="Y7010"/>
  <c r="Y7011"/>
  <c r="Y7012"/>
  <c r="Y7013"/>
  <c r="Z7013" s="1"/>
  <c r="Y7014"/>
  <c r="Y7015"/>
  <c r="Y7016"/>
  <c r="Y7017"/>
  <c r="Y7018"/>
  <c r="Y7019"/>
  <c r="Y7020"/>
  <c r="Y7021"/>
  <c r="Z7021" s="1"/>
  <c r="Y7022"/>
  <c r="Y7023"/>
  <c r="Y7024"/>
  <c r="Y7025"/>
  <c r="Y7026"/>
  <c r="Y7027"/>
  <c r="Y7028"/>
  <c r="Y7029"/>
  <c r="Z7029" s="1"/>
  <c r="Y7030"/>
  <c r="Y7031"/>
  <c r="Y7032"/>
  <c r="Y7033"/>
  <c r="Z7033" s="1"/>
  <c r="Y7034"/>
  <c r="Y7035"/>
  <c r="Y7036"/>
  <c r="Y7037"/>
  <c r="Z7037" s="1"/>
  <c r="Y7038"/>
  <c r="Y7039"/>
  <c r="Y7040"/>
  <c r="Y7041"/>
  <c r="Z7041" s="1"/>
  <c r="Y7042"/>
  <c r="Y7043"/>
  <c r="Y7044"/>
  <c r="Y7045"/>
  <c r="Z7045" s="1"/>
  <c r="Y7046"/>
  <c r="Y7047"/>
  <c r="Y7048"/>
  <c r="Y7049"/>
  <c r="Y7050"/>
  <c r="Y7051"/>
  <c r="Y7052"/>
  <c r="Y7053"/>
  <c r="Z7053" s="1"/>
  <c r="Y7054"/>
  <c r="Y7055"/>
  <c r="Y7056"/>
  <c r="Y7057"/>
  <c r="Y7058"/>
  <c r="Y7059"/>
  <c r="Y7060"/>
  <c r="Y7061"/>
  <c r="Z7061" s="1"/>
  <c r="Y7062"/>
  <c r="Y7063"/>
  <c r="Y7064"/>
  <c r="Y7065"/>
  <c r="Z7065" s="1"/>
  <c r="Y7066"/>
  <c r="Y7067"/>
  <c r="Y7068"/>
  <c r="Y7069"/>
  <c r="Z7069" s="1"/>
  <c r="Y7070"/>
  <c r="Y7071"/>
  <c r="Y7072"/>
  <c r="Y7073"/>
  <c r="Z7073" s="1"/>
  <c r="Y7074"/>
  <c r="Y7075"/>
  <c r="Y7076"/>
  <c r="Y7077"/>
  <c r="Z7077" s="1"/>
  <c r="Y7078"/>
  <c r="Y7079"/>
  <c r="Y7080"/>
  <c r="Y7081"/>
  <c r="Y7082"/>
  <c r="Y7083"/>
  <c r="Y7084"/>
  <c r="Y7085"/>
  <c r="Z7085" s="1"/>
  <c r="Y7086"/>
  <c r="Y7087"/>
  <c r="Y7088"/>
  <c r="Y7089"/>
  <c r="Y7090"/>
  <c r="Y7091"/>
  <c r="Y7092"/>
  <c r="Y7093"/>
  <c r="Z7093" s="1"/>
  <c r="Y7094"/>
  <c r="Y7095"/>
  <c r="Y7096"/>
  <c r="Y7097"/>
  <c r="Z7097" s="1"/>
  <c r="Y7098"/>
  <c r="Y7099"/>
  <c r="Y7100"/>
  <c r="Y7101"/>
  <c r="Z7101" s="1"/>
  <c r="Y7102"/>
  <c r="Y7103"/>
  <c r="Y7104"/>
  <c r="Y7105"/>
  <c r="Z7105" s="1"/>
  <c r="Y7106"/>
  <c r="Y7107"/>
  <c r="Y7108"/>
  <c r="Y7109"/>
  <c r="Z7109" s="1"/>
  <c r="Y7110"/>
  <c r="Y7111"/>
  <c r="Y7112"/>
  <c r="Y7113"/>
  <c r="Y7114"/>
  <c r="Y7115"/>
  <c r="Y7116"/>
  <c r="Y7117"/>
  <c r="Z7117" s="1"/>
  <c r="Y7118"/>
  <c r="Y7119"/>
  <c r="Y7120"/>
  <c r="Y7121"/>
  <c r="Y7122"/>
  <c r="Y7123"/>
  <c r="Y7124"/>
  <c r="Y7125"/>
  <c r="Z7125" s="1"/>
  <c r="Y7126"/>
  <c r="Y7127"/>
  <c r="Y7128"/>
  <c r="Y7129"/>
  <c r="Z7129" s="1"/>
  <c r="Y7130"/>
  <c r="Y7131"/>
  <c r="Y7132"/>
  <c r="Y7133"/>
  <c r="Z7133" s="1"/>
  <c r="Y7134"/>
  <c r="Y7135"/>
  <c r="Y7136"/>
  <c r="Y7137"/>
  <c r="Z7137" s="1"/>
  <c r="Y7138"/>
  <c r="Y7139"/>
  <c r="Y7140"/>
  <c r="Y7141"/>
  <c r="Z7141" s="1"/>
  <c r="Y7142"/>
  <c r="Y7143"/>
  <c r="Y7144"/>
  <c r="Y7145"/>
  <c r="Y7146"/>
  <c r="Y7147"/>
  <c r="Y7148"/>
  <c r="Y7149"/>
  <c r="Z7149" s="1"/>
  <c r="Y7150"/>
  <c r="Y7151"/>
  <c r="Y7152"/>
  <c r="Y7153"/>
  <c r="Y7154"/>
  <c r="Y7155"/>
  <c r="Y7156"/>
  <c r="Y7157"/>
  <c r="Z7157" s="1"/>
  <c r="Y7158"/>
  <c r="Y7159"/>
  <c r="Y7160"/>
  <c r="Y7161"/>
  <c r="Z7161" s="1"/>
  <c r="Y7162"/>
  <c r="Y7163"/>
  <c r="Y7164"/>
  <c r="Y7165"/>
  <c r="Z7165" s="1"/>
  <c r="Y7166"/>
  <c r="Y7167"/>
  <c r="Y7168"/>
  <c r="Y7169"/>
  <c r="Z7169" s="1"/>
  <c r="Y7170"/>
  <c r="Y7171"/>
  <c r="Y7172"/>
  <c r="Y7173"/>
  <c r="Z7173" s="1"/>
  <c r="Y7174"/>
  <c r="Y7175"/>
  <c r="Y7176"/>
  <c r="Y7177"/>
  <c r="Y7178"/>
  <c r="Y7179"/>
  <c r="Y7180"/>
  <c r="Y7181"/>
  <c r="Z7181" s="1"/>
  <c r="Y7182"/>
  <c r="Y7183"/>
  <c r="Y7184"/>
  <c r="Y7185"/>
  <c r="Y7186"/>
  <c r="Y7187"/>
  <c r="Y7188"/>
  <c r="Y7189"/>
  <c r="Z7189" s="1"/>
  <c r="Y7190"/>
  <c r="Y7191"/>
  <c r="Y7192"/>
  <c r="Y7193"/>
  <c r="Z7193" s="1"/>
  <c r="Y7194"/>
  <c r="Y7195"/>
  <c r="Y7196"/>
  <c r="Y7197"/>
  <c r="Z7197" s="1"/>
  <c r="Y7198"/>
  <c r="Y7199"/>
  <c r="Y7200"/>
  <c r="Y7201"/>
  <c r="Z7201" s="1"/>
  <c r="Y7202"/>
  <c r="Y7203"/>
  <c r="Y7204"/>
  <c r="Y7205"/>
  <c r="Z7205" s="1"/>
  <c r="Y7206"/>
  <c r="Y7207"/>
  <c r="Y7208"/>
  <c r="Y7209"/>
  <c r="Y7210"/>
  <c r="Y7211"/>
  <c r="Y7212"/>
  <c r="Y7213"/>
  <c r="Z7213" s="1"/>
  <c r="Y7214"/>
  <c r="Y7215"/>
  <c r="Y7216"/>
  <c r="Y7217"/>
  <c r="Y7218"/>
  <c r="Y7219"/>
  <c r="Y7220"/>
  <c r="Y7221"/>
  <c r="Z7221" s="1"/>
  <c r="Y7222"/>
  <c r="Y7223"/>
  <c r="Y7224"/>
  <c r="Y7225"/>
  <c r="Z7225" s="1"/>
  <c r="Y7226"/>
  <c r="Y7227"/>
  <c r="Y7228"/>
  <c r="Y7229"/>
  <c r="Z7229" s="1"/>
  <c r="Y7230"/>
  <c r="Y7231"/>
  <c r="Y7232"/>
  <c r="Y7233"/>
  <c r="Z7233" s="1"/>
  <c r="Y7234"/>
  <c r="Y7235"/>
  <c r="Y7236"/>
  <c r="Y7237"/>
  <c r="Z7237" s="1"/>
  <c r="Y7238"/>
  <c r="Y7239"/>
  <c r="Y7240"/>
  <c r="Y7241"/>
  <c r="Y7242"/>
  <c r="Y7243"/>
  <c r="Y7244"/>
  <c r="Y7245"/>
  <c r="Z7245" s="1"/>
  <c r="Y7246"/>
  <c r="Y7247"/>
  <c r="Y7248"/>
  <c r="Y7249"/>
  <c r="Y7250"/>
  <c r="Y7251"/>
  <c r="Y7252"/>
  <c r="Y7253"/>
  <c r="Z7253" s="1"/>
  <c r="Y7254"/>
  <c r="Y7255"/>
  <c r="Y7256"/>
  <c r="Y7257"/>
  <c r="Z7257" s="1"/>
  <c r="Y7258"/>
  <c r="Y7259"/>
  <c r="Y7260"/>
  <c r="Y7261"/>
  <c r="Z7261" s="1"/>
  <c r="Y7262"/>
  <c r="Y7263"/>
  <c r="Y7264"/>
  <c r="Y7265"/>
  <c r="Z7265" s="1"/>
  <c r="Y7266"/>
  <c r="Y7267"/>
  <c r="Y7268"/>
  <c r="Y7269"/>
  <c r="Z7269" s="1"/>
  <c r="Y7270"/>
  <c r="Y7271"/>
  <c r="Y7272"/>
  <c r="Y7273"/>
  <c r="Y7274"/>
  <c r="Y7275"/>
  <c r="Y7276"/>
  <c r="Y7277"/>
  <c r="Z7277" s="1"/>
  <c r="Y7278"/>
  <c r="Y7279"/>
  <c r="Y7280"/>
  <c r="Y7281"/>
  <c r="Y7282"/>
  <c r="Y7283"/>
  <c r="Y7284"/>
  <c r="Y7285"/>
  <c r="Z7285" s="1"/>
  <c r="Y7286"/>
  <c r="Y7287"/>
  <c r="Y7288"/>
  <c r="Y7289"/>
  <c r="Z7289" s="1"/>
  <c r="Y7290"/>
  <c r="Y7291"/>
  <c r="Y7292"/>
  <c r="Y7293"/>
  <c r="Z7293" s="1"/>
  <c r="Y7294"/>
  <c r="Y7295"/>
  <c r="Y7296"/>
  <c r="Y7297"/>
  <c r="Z7297" s="1"/>
  <c r="Y7298"/>
  <c r="Y7299"/>
  <c r="Y7300"/>
  <c r="Y7301"/>
  <c r="Z7301" s="1"/>
  <c r="Y7302"/>
  <c r="Y7303"/>
  <c r="Y7304"/>
  <c r="Y7305"/>
  <c r="Y7306"/>
  <c r="Y7307"/>
  <c r="Y7308"/>
  <c r="Y7309"/>
  <c r="Z7309" s="1"/>
  <c r="Y7310"/>
  <c r="Y7311"/>
  <c r="Y7312"/>
  <c r="Y7313"/>
  <c r="Y7314"/>
  <c r="Y7315"/>
  <c r="Y7316"/>
  <c r="Y7317"/>
  <c r="Z7317" s="1"/>
  <c r="Y7318"/>
  <c r="Y7319"/>
  <c r="Y7320"/>
  <c r="Y7321"/>
  <c r="Z7321" s="1"/>
  <c r="Y7322"/>
  <c r="Y7323"/>
  <c r="Y7324"/>
  <c r="Y7325"/>
  <c r="Z7325" s="1"/>
  <c r="Y7326"/>
  <c r="Y7327"/>
  <c r="Y7328"/>
  <c r="Y7329"/>
  <c r="Z7329" s="1"/>
  <c r="Y7330"/>
  <c r="Y7331"/>
  <c r="Y7332"/>
  <c r="Y7333"/>
  <c r="Z7333" s="1"/>
  <c r="Y7334"/>
  <c r="Y7335"/>
  <c r="Y7336"/>
  <c r="Y7337"/>
  <c r="Y7338"/>
  <c r="Y7339"/>
  <c r="Y7340"/>
  <c r="Y7341"/>
  <c r="Z7341" s="1"/>
  <c r="Y7342"/>
  <c r="Y7343"/>
  <c r="Y7344"/>
  <c r="Y7345"/>
  <c r="Y7346"/>
  <c r="Y7347"/>
  <c r="Y7348"/>
  <c r="Y7349"/>
  <c r="Z7349" s="1"/>
  <c r="Y7350"/>
  <c r="Y7351"/>
  <c r="Y7352"/>
  <c r="Y7353"/>
  <c r="Z7353" s="1"/>
  <c r="Y7354"/>
  <c r="Y7355"/>
  <c r="Y7356"/>
  <c r="Y7357"/>
  <c r="Z7357" s="1"/>
  <c r="Y7358"/>
  <c r="Y7359"/>
  <c r="Y7360"/>
  <c r="Y7361"/>
  <c r="Z7361" s="1"/>
  <c r="Y7362"/>
  <c r="Y7363"/>
  <c r="Y7364"/>
  <c r="Y7365"/>
  <c r="Z7365" s="1"/>
  <c r="Y7366"/>
  <c r="Y7367"/>
  <c r="Y7368"/>
  <c r="Y7369"/>
  <c r="Y7370"/>
  <c r="Y7371"/>
  <c r="Y7372"/>
  <c r="Y7373"/>
  <c r="Z7373" s="1"/>
  <c r="Y7374"/>
  <c r="Y7375"/>
  <c r="Y7376"/>
  <c r="Y7377"/>
  <c r="Y7378"/>
  <c r="Y7379"/>
  <c r="Y7380"/>
  <c r="Y7381"/>
  <c r="Z7381" s="1"/>
  <c r="Y7382"/>
  <c r="Y7383"/>
  <c r="Y7384"/>
  <c r="Y7385"/>
  <c r="Z7385" s="1"/>
  <c r="Y7386"/>
  <c r="Y7387"/>
  <c r="Y7388"/>
  <c r="Y7389"/>
  <c r="Z7389" s="1"/>
  <c r="Y7390"/>
  <c r="Y7391"/>
  <c r="Y7392"/>
  <c r="Y7393"/>
  <c r="Z7393" s="1"/>
  <c r="Y7394"/>
  <c r="Y7395"/>
  <c r="Y7396"/>
  <c r="Y7397"/>
  <c r="Z7397" s="1"/>
  <c r="Y7398"/>
  <c r="Y7399"/>
  <c r="Y7400"/>
  <c r="Y7401"/>
  <c r="Y7402"/>
  <c r="Y7403"/>
  <c r="Y7404"/>
  <c r="Y7405"/>
  <c r="Z7405" s="1"/>
  <c r="Y7406"/>
  <c r="Y7407"/>
  <c r="Y7408"/>
  <c r="Y7409"/>
  <c r="Y7410"/>
  <c r="Y7411"/>
  <c r="Y7412"/>
  <c r="Y7413"/>
  <c r="Z7413" s="1"/>
  <c r="Y7414"/>
  <c r="Y7415"/>
  <c r="Y7416"/>
  <c r="Y7417"/>
  <c r="Z7417" s="1"/>
  <c r="Y7418"/>
  <c r="Y7419"/>
  <c r="Y7420"/>
  <c r="Y7421"/>
  <c r="Z7421" s="1"/>
  <c r="Y7422"/>
  <c r="Y7423"/>
  <c r="Y7424"/>
  <c r="Y7425"/>
  <c r="Z7425" s="1"/>
  <c r="Y7426"/>
  <c r="Y7427"/>
  <c r="Y7428"/>
  <c r="Y7429"/>
  <c r="Z7429" s="1"/>
  <c r="Y7430"/>
  <c r="Y7431"/>
  <c r="Y7432"/>
  <c r="Y7433"/>
  <c r="Y7434"/>
  <c r="Y7435"/>
  <c r="Y7436"/>
  <c r="Y7437"/>
  <c r="Z7437" s="1"/>
  <c r="Y7438"/>
  <c r="Y7439"/>
  <c r="Y7440"/>
  <c r="Y7441"/>
  <c r="Y7442"/>
  <c r="Y7443"/>
  <c r="Y7444"/>
  <c r="Y7445"/>
  <c r="Z7445" s="1"/>
  <c r="Y7446"/>
  <c r="Y7447"/>
  <c r="Y7448"/>
  <c r="Y7449"/>
  <c r="Z7449" s="1"/>
  <c r="Y7450"/>
  <c r="Y7451"/>
  <c r="Y7452"/>
  <c r="Y7453"/>
  <c r="Z7453" s="1"/>
  <c r="Y7454"/>
  <c r="Y7455"/>
  <c r="Y7456"/>
  <c r="Y7457"/>
  <c r="Z7457" s="1"/>
  <c r="Y7458"/>
  <c r="Y7459"/>
  <c r="Y7460"/>
  <c r="Y7461"/>
  <c r="Z7461" s="1"/>
  <c r="Y7462"/>
  <c r="Y7463"/>
  <c r="Y7464"/>
  <c r="Y7465"/>
  <c r="Y7466"/>
  <c r="Y7467"/>
  <c r="Y7468"/>
  <c r="Y7469"/>
  <c r="Z7469" s="1"/>
  <c r="Y7470"/>
  <c r="Y7471"/>
  <c r="Y7472"/>
  <c r="Y7473"/>
  <c r="Y7474"/>
  <c r="Y7475"/>
  <c r="Y7476"/>
  <c r="Z7476" s="1"/>
  <c r="Y7477"/>
  <c r="Y7478"/>
  <c r="Y7479"/>
  <c r="Y7480"/>
  <c r="Y7481"/>
  <c r="Y7482"/>
  <c r="Y7483"/>
  <c r="Y7484"/>
  <c r="Y7485"/>
  <c r="Y7486"/>
  <c r="Y7487"/>
  <c r="Y7488"/>
  <c r="Z7488" s="1"/>
  <c r="Y7489"/>
  <c r="Y7490"/>
  <c r="Y7491"/>
  <c r="Y7492"/>
  <c r="Y7493"/>
  <c r="Z7493" s="1"/>
  <c r="Y7494"/>
  <c r="Y7495"/>
  <c r="Y7496"/>
  <c r="Y7497"/>
  <c r="Y7498"/>
  <c r="Y7499"/>
  <c r="Y7500"/>
  <c r="Y7501"/>
  <c r="Y7502"/>
  <c r="Y7503"/>
  <c r="Y7504"/>
  <c r="Z7504" s="1"/>
  <c r="Y7505"/>
  <c r="Y7506"/>
  <c r="Y7507"/>
  <c r="Y7508"/>
  <c r="Y7509"/>
  <c r="Y7510"/>
  <c r="Y7511"/>
  <c r="Y7512"/>
  <c r="Y7513"/>
  <c r="Y7514"/>
  <c r="Y7515"/>
  <c r="Y7516"/>
  <c r="Y7517"/>
  <c r="Z7517" s="1"/>
  <c r="Y7518"/>
  <c r="Y7519"/>
  <c r="Y7520"/>
  <c r="Z7520" s="1"/>
  <c r="Y7521"/>
  <c r="Y7522"/>
  <c r="Y7523"/>
  <c r="Y7524"/>
  <c r="Y7525"/>
  <c r="Z7525" s="1"/>
  <c r="Y7526"/>
  <c r="Y7527"/>
  <c r="Y7528"/>
  <c r="Y7529"/>
  <c r="Y7530"/>
  <c r="Y7531"/>
  <c r="Y7532"/>
  <c r="Z7532" s="1"/>
  <c r="Y7533"/>
  <c r="Y7534"/>
  <c r="Y7535"/>
  <c r="Y7536"/>
  <c r="Y7537"/>
  <c r="Y7538"/>
  <c r="Y7539"/>
  <c r="Y7540"/>
  <c r="Y7541"/>
  <c r="Y7542"/>
  <c r="Y7543"/>
  <c r="Y7544"/>
  <c r="Y7545"/>
  <c r="Y7546"/>
  <c r="Y7547"/>
  <c r="Y7548"/>
  <c r="Z7548" s="1"/>
  <c r="Y7549"/>
  <c r="Y7550"/>
  <c r="Y7551"/>
  <c r="Y7552"/>
  <c r="Y7553"/>
  <c r="Y7554"/>
  <c r="Y7555"/>
  <c r="Y7556"/>
  <c r="Y7557"/>
  <c r="Y7558"/>
  <c r="Y7559"/>
  <c r="Y7560"/>
  <c r="Z7560" s="1"/>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Z7588" s="1"/>
  <c r="Y7589"/>
  <c r="Z7589" s="1"/>
  <c r="Y7590"/>
  <c r="Y7591"/>
  <c r="Y7592"/>
  <c r="Y7593"/>
  <c r="Y7594"/>
  <c r="Y7595"/>
  <c r="Y7596"/>
  <c r="Y7597"/>
  <c r="Y7598"/>
  <c r="Y7599"/>
  <c r="Y7600"/>
  <c r="Y7601"/>
  <c r="Y7602"/>
  <c r="Y7603"/>
  <c r="Y7604"/>
  <c r="Y7605"/>
  <c r="Y7606"/>
  <c r="Y7607"/>
  <c r="Y7608"/>
  <c r="Y7609"/>
  <c r="Y7610"/>
  <c r="Y7611"/>
  <c r="Y7612"/>
  <c r="Z7612" s="1"/>
  <c r="Y7613"/>
  <c r="Y7614"/>
  <c r="Y7615"/>
  <c r="Y7616"/>
  <c r="Y7617"/>
  <c r="Y7618"/>
  <c r="Y7619"/>
  <c r="Y7620"/>
  <c r="Y7621"/>
  <c r="Y7622"/>
  <c r="Y7623"/>
  <c r="Y7624"/>
  <c r="Y7625"/>
  <c r="Y7626"/>
  <c r="Y7627"/>
  <c r="Y7628"/>
  <c r="Y7629"/>
  <c r="Y7630"/>
  <c r="Y7631"/>
  <c r="Y7632"/>
  <c r="Y7633"/>
  <c r="Y7634"/>
  <c r="Y7635"/>
  <c r="Y7636"/>
  <c r="Z7636" s="1"/>
  <c r="Y7637"/>
  <c r="Y7638"/>
  <c r="Y7639"/>
  <c r="Y7640"/>
  <c r="Y7641"/>
  <c r="Z7641" s="1"/>
  <c r="Y7642"/>
  <c r="Y7643"/>
  <c r="Y7644"/>
  <c r="Y7645"/>
  <c r="Z7645" s="1"/>
  <c r="Y7646"/>
  <c r="Y7647"/>
  <c r="Y7648"/>
  <c r="Y7649"/>
  <c r="Y7650"/>
  <c r="Y7651"/>
  <c r="Y7652"/>
  <c r="Z7652" s="1"/>
  <c r="Y7653"/>
  <c r="Z7653" s="1"/>
  <c r="Y7654"/>
  <c r="Y7655"/>
  <c r="Y7656"/>
  <c r="Y7657"/>
  <c r="Y7658"/>
  <c r="Y7659"/>
  <c r="Y7660"/>
  <c r="Y7661"/>
  <c r="Y7662"/>
  <c r="Y7663"/>
  <c r="Y7664"/>
  <c r="Y7665"/>
  <c r="Y7666"/>
  <c r="Y7667"/>
  <c r="Y7668"/>
  <c r="Z7668" s="1"/>
  <c r="Y7669"/>
  <c r="Y7670"/>
  <c r="Y7671"/>
  <c r="Y7672"/>
  <c r="Y7673"/>
  <c r="Y7674"/>
  <c r="Y7675"/>
  <c r="Y7676"/>
  <c r="Y7677"/>
  <c r="Y7678"/>
  <c r="Y7679"/>
  <c r="Y7680"/>
  <c r="Y7681"/>
  <c r="Y7682"/>
  <c r="Y7683"/>
  <c r="Y7684"/>
  <c r="Y7685"/>
  <c r="Y7686"/>
  <c r="Y7687"/>
  <c r="Y7688"/>
  <c r="Y7689"/>
  <c r="Y7690"/>
  <c r="Y7691"/>
  <c r="Y7692"/>
  <c r="Z7692" s="1"/>
  <c r="Y7693"/>
  <c r="Y7694"/>
  <c r="Y7695"/>
  <c r="Y7696"/>
  <c r="Y7697"/>
  <c r="Y7698"/>
  <c r="Y7699"/>
  <c r="Y7700"/>
  <c r="Y7701"/>
  <c r="Y7702"/>
  <c r="Y7703"/>
  <c r="Y7704"/>
  <c r="Y7705"/>
  <c r="Y7706"/>
  <c r="Y7707"/>
  <c r="Y7708"/>
  <c r="Z7708" s="1"/>
  <c r="Y7709"/>
  <c r="Z7709" s="1"/>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Z7776" s="1"/>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Z7840" s="1"/>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Z7936" s="1"/>
  <c r="Y7937"/>
  <c r="Y7938"/>
  <c r="Y7939"/>
  <c r="Y7940"/>
  <c r="Y7941"/>
  <c r="Y7942"/>
  <c r="Y7943"/>
  <c r="Y7944"/>
  <c r="Y7945"/>
  <c r="Y7946"/>
  <c r="Y7947"/>
  <c r="Y7948"/>
  <c r="Y7949"/>
  <c r="Z7949" s="1"/>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Z8049" s="1"/>
  <c r="Y8050"/>
  <c r="Y8051"/>
  <c r="Y8052"/>
  <c r="Y8053"/>
  <c r="Y8054"/>
  <c r="Y8055"/>
  <c r="Y8056"/>
  <c r="Y8057"/>
  <c r="Z8057" s="1"/>
  <c r="Y8058"/>
  <c r="Y8059"/>
  <c r="Y8060"/>
  <c r="Y8061"/>
  <c r="Y8062"/>
  <c r="Y8063"/>
  <c r="Y8064"/>
  <c r="Y8065"/>
  <c r="Z8065" s="1"/>
  <c r="Y8066"/>
  <c r="Y8067"/>
  <c r="Y8068"/>
  <c r="Y8069"/>
  <c r="Y8070"/>
  <c r="Y8071"/>
  <c r="Y8072"/>
  <c r="Y8073"/>
  <c r="Z8073" s="1"/>
  <c r="Y8074"/>
  <c r="Y8075"/>
  <c r="Y8076"/>
  <c r="Y8077"/>
  <c r="Y8078"/>
  <c r="Y8079"/>
  <c r="Y8080"/>
  <c r="Y8081"/>
  <c r="Z8081" s="1"/>
  <c r="Y8082"/>
  <c r="Y8083"/>
  <c r="Y8084"/>
  <c r="Y8085"/>
  <c r="Y8086"/>
  <c r="Y8087"/>
  <c r="Y8088"/>
  <c r="Y8089"/>
  <c r="Z8089" s="1"/>
  <c r="Y8090"/>
  <c r="Y8091"/>
  <c r="Y8092"/>
  <c r="Y8093"/>
  <c r="Y8094"/>
  <c r="Y8095"/>
  <c r="Y8096"/>
  <c r="Y8097"/>
  <c r="Z8097" s="1"/>
  <c r="Y8098"/>
  <c r="Y8099"/>
  <c r="Y8100"/>
  <c r="Y8101"/>
  <c r="Y8102"/>
  <c r="Y8103"/>
  <c r="Y8104"/>
  <c r="Y8105"/>
  <c r="Z8105" s="1"/>
  <c r="Y8106"/>
  <c r="Y8107"/>
  <c r="Y8108"/>
  <c r="Y8109"/>
  <c r="Y8110"/>
  <c r="Y8111"/>
  <c r="Y8112"/>
  <c r="Y8113"/>
  <c r="Z8113" s="1"/>
  <c r="Y8114"/>
  <c r="Y8115"/>
  <c r="Y8116"/>
  <c r="Y8117"/>
  <c r="Y8118"/>
  <c r="Y8119"/>
  <c r="Y8120"/>
  <c r="Y8121"/>
  <c r="Z8121" s="1"/>
  <c r="Y8122"/>
  <c r="Y8123"/>
  <c r="Y8124"/>
  <c r="Y8125"/>
  <c r="Y8126"/>
  <c r="Y8127"/>
  <c r="Y8128"/>
  <c r="Y8129"/>
  <c r="Z8129" s="1"/>
  <c r="Y8130"/>
  <c r="Y8131"/>
  <c r="Y8132"/>
  <c r="Y8133"/>
  <c r="Y8134"/>
  <c r="Y8135"/>
  <c r="Y8136"/>
  <c r="Y8137"/>
  <c r="Z8137" s="1"/>
  <c r="Y8138"/>
  <c r="Y8139"/>
  <c r="Y8140"/>
  <c r="Y8141"/>
  <c r="Y8142"/>
  <c r="Y8143"/>
  <c r="Y8144"/>
  <c r="Y8145"/>
  <c r="Z8145" s="1"/>
  <c r="Y8146"/>
  <c r="Y8147"/>
  <c r="Y8148"/>
  <c r="Y8149"/>
  <c r="Y8150"/>
  <c r="Y8151"/>
  <c r="Y8152"/>
  <c r="Y8153"/>
  <c r="Z8153" s="1"/>
  <c r="Y8154"/>
  <c r="Y8155"/>
  <c r="Y8156"/>
  <c r="Y8157"/>
  <c r="Y8158"/>
  <c r="Y8159"/>
  <c r="Y8160"/>
  <c r="Y8161"/>
  <c r="Z8161" s="1"/>
  <c r="Y8162"/>
  <c r="Y8163"/>
  <c r="Y8164"/>
  <c r="Y8165"/>
  <c r="Y8166"/>
  <c r="Y8167"/>
  <c r="Y8168"/>
  <c r="Y8169"/>
  <c r="Z8169" s="1"/>
  <c r="Y8170"/>
  <c r="Y8171"/>
  <c r="Y8172"/>
  <c r="Y8173"/>
  <c r="Y8174"/>
  <c r="Y8175"/>
  <c r="Y8176"/>
  <c r="Y8177"/>
  <c r="Z8177" s="1"/>
  <c r="Y8178"/>
  <c r="Y8179"/>
  <c r="Y8180"/>
  <c r="Y8181"/>
  <c r="Y8182"/>
  <c r="Y8183"/>
  <c r="Y8184"/>
  <c r="Y8185"/>
  <c r="Z8185" s="1"/>
  <c r="Y8186"/>
  <c r="Y8187"/>
  <c r="Y8188"/>
  <c r="Y8189"/>
  <c r="Y8190"/>
  <c r="Y8191"/>
  <c r="Y8192"/>
  <c r="Y8193"/>
  <c r="Z8193" s="1"/>
  <c r="Y8194"/>
  <c r="Y8195"/>
  <c r="Y8196"/>
  <c r="Y8197"/>
  <c r="Y8198"/>
  <c r="Y8199"/>
  <c r="Y8200"/>
  <c r="Y8201"/>
  <c r="Z8201" s="1"/>
  <c r="Y8202"/>
  <c r="Y8203"/>
  <c r="Y8204"/>
  <c r="Y8205"/>
  <c r="Y8206"/>
  <c r="Y8207"/>
  <c r="Y8208"/>
  <c r="Y8209"/>
  <c r="Z8209" s="1"/>
  <c r="Y8210"/>
  <c r="Y8211"/>
  <c r="Y8212"/>
  <c r="Y8213"/>
  <c r="Y8214"/>
  <c r="Y8215"/>
  <c r="Y8216"/>
  <c r="Y8217"/>
  <c r="Z8217" s="1"/>
  <c r="Y8218"/>
  <c r="Y8219"/>
  <c r="Y8220"/>
  <c r="Y8221"/>
  <c r="Y8222"/>
  <c r="Y8223"/>
  <c r="Y8224"/>
  <c r="Y8225"/>
  <c r="Z8225" s="1"/>
  <c r="Y8226"/>
  <c r="Y8227"/>
  <c r="Y8228"/>
  <c r="Y8229"/>
  <c r="Y8230"/>
  <c r="Y8231"/>
  <c r="Y8232"/>
  <c r="Y8233"/>
  <c r="Z8233" s="1"/>
  <c r="Y8234"/>
  <c r="Y8235"/>
  <c r="Y8236"/>
  <c r="Y8237"/>
  <c r="Y8238"/>
  <c r="Y8239"/>
  <c r="Y8240"/>
  <c r="Y8241"/>
  <c r="Z8241" s="1"/>
  <c r="Y8242"/>
  <c r="Y8243"/>
  <c r="Y8244"/>
  <c r="Y8245"/>
  <c r="Y8246"/>
  <c r="Y8247"/>
  <c r="Y8248"/>
  <c r="Y8249"/>
  <c r="Z8249" s="1"/>
  <c r="Y8250"/>
  <c r="Y8251"/>
  <c r="Y8252"/>
  <c r="Y8253"/>
  <c r="Y8254"/>
  <c r="Y8255"/>
  <c r="Y8256"/>
  <c r="Y8257"/>
  <c r="Z8257" s="1"/>
  <c r="Y8258"/>
  <c r="Y8259"/>
  <c r="Y8260"/>
  <c r="Y8261"/>
  <c r="Y8262"/>
  <c r="Y8263"/>
  <c r="Y8264"/>
  <c r="Y8265"/>
  <c r="Z8265" s="1"/>
  <c r="Y8266"/>
  <c r="Y8267"/>
  <c r="Y8268"/>
  <c r="Y8269"/>
  <c r="Y8270"/>
  <c r="Y8271"/>
  <c r="Y8272"/>
  <c r="Y8273"/>
  <c r="Z8273" s="1"/>
  <c r="Y8274"/>
  <c r="Y8275"/>
  <c r="Y8276"/>
  <c r="Y8277"/>
  <c r="Y8278"/>
  <c r="Y8279"/>
  <c r="Y8280"/>
  <c r="Y8281"/>
  <c r="Z8281" s="1"/>
  <c r="Y8282"/>
  <c r="Y8283"/>
  <c r="Y8284"/>
  <c r="Y8285"/>
  <c r="Y8286"/>
  <c r="Y8287"/>
  <c r="Y8288"/>
  <c r="Y8289"/>
  <c r="Z8289" s="1"/>
  <c r="Y8290"/>
  <c r="Y8291"/>
  <c r="Y8292"/>
  <c r="Y8293"/>
  <c r="Y8294"/>
  <c r="Y8295"/>
  <c r="Y8296"/>
  <c r="Y8297"/>
  <c r="Z8297" s="1"/>
  <c r="Y8298"/>
  <c r="Y8299"/>
  <c r="Y8300"/>
  <c r="Y8301"/>
  <c r="Y8302"/>
  <c r="Y8303"/>
  <c r="Y8304"/>
  <c r="Y8305"/>
  <c r="Z8305" s="1"/>
  <c r="Y8306"/>
  <c r="Y8307"/>
  <c r="Y8308"/>
  <c r="Y8309"/>
  <c r="Z8309" s="1"/>
  <c r="Y8310"/>
  <c r="Y8311"/>
  <c r="Y8312"/>
  <c r="Y8313"/>
  <c r="Z8313" s="1"/>
  <c r="Y8314"/>
  <c r="Y8315"/>
  <c r="Y8316"/>
  <c r="Y8317"/>
  <c r="Y8318"/>
  <c r="Y8319"/>
  <c r="Y8320"/>
  <c r="Y8321"/>
  <c r="Z8321" s="1"/>
  <c r="Y8322"/>
  <c r="Y8323"/>
  <c r="Y8324"/>
  <c r="Y8325"/>
  <c r="Y8326"/>
  <c r="Y8327"/>
  <c r="Y8328"/>
  <c r="Y8329"/>
  <c r="Y8330"/>
  <c r="Y8331"/>
  <c r="Y8332"/>
  <c r="Y8333"/>
  <c r="Y8334"/>
  <c r="Y8335"/>
  <c r="Y8336"/>
  <c r="Y8337"/>
  <c r="Y8338"/>
  <c r="Y8339"/>
  <c r="Y8340"/>
  <c r="Y8341"/>
  <c r="Z8341" s="1"/>
  <c r="Y8342"/>
  <c r="Y8343"/>
  <c r="Y8344"/>
  <c r="Y8345"/>
  <c r="Y8346"/>
  <c r="Y8347"/>
  <c r="Y8348"/>
  <c r="Y8349"/>
  <c r="Z8349" s="1"/>
  <c r="Y8350"/>
  <c r="Y8351"/>
  <c r="Y8352"/>
  <c r="Y8353"/>
  <c r="Y8354"/>
  <c r="Y8355"/>
  <c r="Y8356"/>
  <c r="Y8357"/>
  <c r="Z8357" s="1"/>
  <c r="Y8358"/>
  <c r="Y8359"/>
  <c r="Y8360"/>
  <c r="Y8361"/>
  <c r="Y8362"/>
  <c r="Y8363"/>
  <c r="Y8364"/>
  <c r="Y8365"/>
  <c r="Z8365" s="1"/>
  <c r="Y8366"/>
  <c r="Y8367"/>
  <c r="Y8368"/>
  <c r="Y8369"/>
  <c r="Y8370"/>
  <c r="Y8371"/>
  <c r="Y8372"/>
  <c r="Y8373"/>
  <c r="Z8373" s="1"/>
  <c r="Y8374"/>
  <c r="Y8375"/>
  <c r="Y8376"/>
  <c r="Y8377"/>
  <c r="Y8378"/>
  <c r="Y8379"/>
  <c r="Y8380"/>
  <c r="Y8381"/>
  <c r="Z8381" s="1"/>
  <c r="Y8382"/>
  <c r="Y8383"/>
  <c r="Y8384"/>
  <c r="Y8385"/>
  <c r="Y8386"/>
  <c r="Y8387"/>
  <c r="Y8388"/>
  <c r="Y8389"/>
  <c r="Z8389" s="1"/>
  <c r="Y8390"/>
  <c r="Y8391"/>
  <c r="Y8392"/>
  <c r="Y8393"/>
  <c r="Y8394"/>
  <c r="Y8395"/>
  <c r="Y8396"/>
  <c r="Y8397"/>
  <c r="Z8397" s="1"/>
  <c r="Y8398"/>
  <c r="Y8399"/>
  <c r="Y8400"/>
  <c r="Y8401"/>
  <c r="Y8402"/>
  <c r="Y8403"/>
  <c r="Y8404"/>
  <c r="Y8405"/>
  <c r="Z8405" s="1"/>
  <c r="Y8406"/>
  <c r="Y8407"/>
  <c r="Y8408"/>
  <c r="Y8409"/>
  <c r="Y8410"/>
  <c r="Y8411"/>
  <c r="Y8412"/>
  <c r="Y8413"/>
  <c r="Z8413" s="1"/>
  <c r="Y8414"/>
  <c r="Y8415"/>
  <c r="Y8416"/>
  <c r="Y8417"/>
  <c r="Y8418"/>
  <c r="Y8419"/>
  <c r="Y8420"/>
  <c r="Y8421"/>
  <c r="Z8421" s="1"/>
  <c r="Y8422"/>
  <c r="Y8423"/>
  <c r="Y8424"/>
  <c r="Y8425"/>
  <c r="Y8426"/>
  <c r="Y8427"/>
  <c r="Y8428"/>
  <c r="Y8429"/>
  <c r="Z8429" s="1"/>
  <c r="Y8430"/>
  <c r="Y8431"/>
  <c r="Y8432"/>
  <c r="Y8433"/>
  <c r="Y8434"/>
  <c r="Y8435"/>
  <c r="Y8436"/>
  <c r="Y8437"/>
  <c r="Z8437" s="1"/>
  <c r="Y8438"/>
  <c r="Y8439"/>
  <c r="Y8440"/>
  <c r="Y8441"/>
  <c r="Y8442"/>
  <c r="Y8443"/>
  <c r="Y8444"/>
  <c r="Y8445"/>
  <c r="Z8445" s="1"/>
  <c r="Y8446"/>
  <c r="Y8447"/>
  <c r="Y8448"/>
  <c r="Y8449"/>
  <c r="Y8450"/>
  <c r="Y8451"/>
  <c r="Y8452"/>
  <c r="Y8453"/>
  <c r="Z8453" s="1"/>
  <c r="Y8454"/>
  <c r="Y8455"/>
  <c r="Y8456"/>
  <c r="Y8457"/>
  <c r="Y8458"/>
  <c r="Y8459"/>
  <c r="Y8460"/>
  <c r="Y8461"/>
  <c r="Z8461" s="1"/>
  <c r="Y8462"/>
  <c r="Y8463"/>
  <c r="Y8464"/>
  <c r="Y8465"/>
  <c r="Y8466"/>
  <c r="Y8467"/>
  <c r="Y8468"/>
  <c r="Y8469"/>
  <c r="Z8469" s="1"/>
  <c r="Y8470"/>
  <c r="Y8471"/>
  <c r="Y8472"/>
  <c r="Y8473"/>
  <c r="Y8474"/>
  <c r="Y8475"/>
  <c r="Y8476"/>
  <c r="Y8477"/>
  <c r="Z8477" s="1"/>
  <c r="Y8478"/>
  <c r="Y8479"/>
  <c r="Y8480"/>
  <c r="Y8481"/>
  <c r="Y8482"/>
  <c r="Y8483"/>
  <c r="Y8484"/>
  <c r="Y8485"/>
  <c r="Z8485" s="1"/>
  <c r="Y8486"/>
  <c r="Y8487"/>
  <c r="Y8488"/>
  <c r="Y8489"/>
  <c r="Y8490"/>
  <c r="Y8491"/>
  <c r="Y8492"/>
  <c r="Y8493"/>
  <c r="Z8493" s="1"/>
  <c r="Y8494"/>
  <c r="Y8495"/>
  <c r="Y8496"/>
  <c r="Y8497"/>
  <c r="Y8498"/>
  <c r="Y8499"/>
  <c r="Y8500"/>
  <c r="Y8501"/>
  <c r="Z8501" s="1"/>
  <c r="Y8502"/>
  <c r="Y8503"/>
  <c r="Y8504"/>
  <c r="Y8505"/>
  <c r="Y8506"/>
  <c r="Y8507"/>
  <c r="Y8508"/>
  <c r="Y8509"/>
  <c r="Z8509" s="1"/>
  <c r="Y8510"/>
  <c r="Y8511"/>
  <c r="Y8512"/>
  <c r="Y8513"/>
  <c r="Y8514"/>
  <c r="Y8515"/>
  <c r="Y8516"/>
  <c r="Y8517"/>
  <c r="Z8517" s="1"/>
  <c r="Y8518"/>
  <c r="Y8519"/>
  <c r="Y8520"/>
  <c r="Y8521"/>
  <c r="Y8522"/>
  <c r="Y8523"/>
  <c r="Y8524"/>
  <c r="Y8525"/>
  <c r="Z8525" s="1"/>
  <c r="Y8526"/>
  <c r="Y8527"/>
  <c r="Y8528"/>
  <c r="Y8529"/>
  <c r="Y8530"/>
  <c r="Y8531"/>
  <c r="Y8532"/>
  <c r="Y8533"/>
  <c r="Z8533" s="1"/>
  <c r="Y8534"/>
  <c r="Y8535"/>
  <c r="Y8536"/>
  <c r="Y8537"/>
  <c r="Y8538"/>
  <c r="Y8539"/>
  <c r="Y8540"/>
  <c r="Y8541"/>
  <c r="Z8541" s="1"/>
  <c r="Y8542"/>
  <c r="Y8543"/>
  <c r="Y8544"/>
  <c r="Y8545"/>
  <c r="Y8546"/>
  <c r="Y8547"/>
  <c r="Y8548"/>
  <c r="Y8549"/>
  <c r="Z8549" s="1"/>
  <c r="Y8550"/>
  <c r="Y8551"/>
  <c r="Y8552"/>
  <c r="Y8553"/>
  <c r="Y8554"/>
  <c r="Y8555"/>
  <c r="Y8556"/>
  <c r="Y8557"/>
  <c r="Z8557" s="1"/>
  <c r="Y8558"/>
  <c r="Y8559"/>
  <c r="Y8560"/>
  <c r="Y8561"/>
  <c r="Y8562"/>
  <c r="Y8563"/>
  <c r="Y8564"/>
  <c r="Y8565"/>
  <c r="Z8565" s="1"/>
  <c r="Y8566"/>
  <c r="Y8567"/>
  <c r="Y8568"/>
  <c r="Y8569"/>
  <c r="Y8570"/>
  <c r="Y8571"/>
  <c r="Y8572"/>
  <c r="Y8573"/>
  <c r="Z8573" s="1"/>
  <c r="Y8574"/>
  <c r="Y8575"/>
  <c r="Y8576"/>
  <c r="Y8577"/>
  <c r="Y8578"/>
  <c r="Y8579"/>
  <c r="Y8580"/>
  <c r="Y8581"/>
  <c r="Z8581" s="1"/>
  <c r="Y8582"/>
  <c r="Y8583"/>
  <c r="Y8584"/>
  <c r="Y8585"/>
  <c r="Y8586"/>
  <c r="Y8587"/>
  <c r="Y8588"/>
  <c r="Y8589"/>
  <c r="Z8589" s="1"/>
  <c r="Y8590"/>
  <c r="Y8591"/>
  <c r="Y8592"/>
  <c r="Y8593"/>
  <c r="Y8594"/>
  <c r="Y8595"/>
  <c r="Y8596"/>
  <c r="Y8597"/>
  <c r="Z8597" s="1"/>
  <c r="Y8598"/>
  <c r="Y8599"/>
  <c r="Y8600"/>
  <c r="Y8601"/>
  <c r="Y8602"/>
  <c r="Y8603"/>
  <c r="Y8604"/>
  <c r="Y8605"/>
  <c r="Z8605" s="1"/>
  <c r="Y8606"/>
  <c r="Y8607"/>
  <c r="Y8608"/>
  <c r="Y8609"/>
  <c r="Y8610"/>
  <c r="Y8611"/>
  <c r="Y8612"/>
  <c r="Y8613"/>
  <c r="Z8613" s="1"/>
  <c r="Y8614"/>
  <c r="Y8615"/>
  <c r="Y8616"/>
  <c r="Y8617"/>
  <c r="Y8618"/>
  <c r="Y8619"/>
  <c r="Y8620"/>
  <c r="Y8621"/>
  <c r="Z8621" s="1"/>
  <c r="Y8622"/>
  <c r="Y8623"/>
  <c r="Y8624"/>
  <c r="Y8625"/>
  <c r="Y8626"/>
  <c r="Y8627"/>
  <c r="Y8628"/>
  <c r="Y8629"/>
  <c r="Z8629" s="1"/>
  <c r="Y8630"/>
  <c r="Y8631"/>
  <c r="Y8632"/>
  <c r="Y8633"/>
  <c r="Y8634"/>
  <c r="Y8635"/>
  <c r="Y8636"/>
  <c r="Y8637"/>
  <c r="Z8637" s="1"/>
  <c r="Y8638"/>
  <c r="Y8639"/>
  <c r="Y8640"/>
  <c r="Y8641"/>
  <c r="Y8642"/>
  <c r="Y8643"/>
  <c r="Y8644"/>
  <c r="Y8645"/>
  <c r="Z8645" s="1"/>
  <c r="Y8646"/>
  <c r="Y8647"/>
  <c r="Y8648"/>
  <c r="Y8649"/>
  <c r="Y8650"/>
  <c r="Y8651"/>
  <c r="Y8652"/>
  <c r="Y8653"/>
  <c r="Z8653" s="1"/>
  <c r="Y8654"/>
  <c r="Y8655"/>
  <c r="Y8656"/>
  <c r="Y8657"/>
  <c r="Y8658"/>
  <c r="Y8659"/>
  <c r="Y8660"/>
  <c r="Y8661"/>
  <c r="Z8661" s="1"/>
  <c r="Y8662"/>
  <c r="Y8663"/>
  <c r="Y8664"/>
  <c r="Y8665"/>
  <c r="Y8666"/>
  <c r="Y8667"/>
  <c r="Y8668"/>
  <c r="Y8669"/>
  <c r="Z8669" s="1"/>
  <c r="Y8670"/>
  <c r="Y8671"/>
  <c r="Y8672"/>
  <c r="Y8673"/>
  <c r="Y8674"/>
  <c r="Y8675"/>
  <c r="Y8676"/>
  <c r="Y8677"/>
  <c r="Z8677" s="1"/>
  <c r="Y8678"/>
  <c r="Y8679"/>
  <c r="Y8680"/>
  <c r="Y8681"/>
  <c r="Y8682"/>
  <c r="Y8683"/>
  <c r="Y8684"/>
  <c r="Y8685"/>
  <c r="Z8685" s="1"/>
  <c r="Y8686"/>
  <c r="Y8687"/>
  <c r="Y8688"/>
  <c r="Y8689"/>
  <c r="Z8689" s="1"/>
  <c r="Y8690"/>
  <c r="Y8691"/>
  <c r="Y8692"/>
  <c r="Y8693"/>
  <c r="Z8693" s="1"/>
  <c r="Y8694"/>
  <c r="Y8695"/>
  <c r="Y8696"/>
  <c r="Y8697"/>
  <c r="Y8698"/>
  <c r="Y8699"/>
  <c r="Y8700"/>
  <c r="Y8701"/>
  <c r="Z8701" s="1"/>
  <c r="Y8702"/>
  <c r="Y8703"/>
  <c r="Y8704"/>
  <c r="Y8705"/>
  <c r="Z8705" s="1"/>
  <c r="Y8706"/>
  <c r="Y8707"/>
  <c r="Y8708"/>
  <c r="Y8709"/>
  <c r="Z8709" s="1"/>
  <c r="Y8710"/>
  <c r="Y8711"/>
  <c r="Y8712"/>
  <c r="Y8713"/>
  <c r="Y8714"/>
  <c r="Y8715"/>
  <c r="Y8716"/>
  <c r="Y8717"/>
  <c r="Z8717" s="1"/>
  <c r="Y8718"/>
  <c r="Y8719"/>
  <c r="Y8720"/>
  <c r="Y8721"/>
  <c r="Z8721" s="1"/>
  <c r="Y8722"/>
  <c r="Y8723"/>
  <c r="Y8724"/>
  <c r="Y8725"/>
  <c r="Z8725" s="1"/>
  <c r="Y8726"/>
  <c r="Y8727"/>
  <c r="Y8728"/>
  <c r="Y8729"/>
  <c r="Y8730"/>
  <c r="Y8731"/>
  <c r="Y8732"/>
  <c r="Y8733"/>
  <c r="Z8733" s="1"/>
  <c r="Y8734"/>
  <c r="Y8735"/>
  <c r="Y8736"/>
  <c r="Y8737"/>
  <c r="Z8737" s="1"/>
  <c r="Y8738"/>
  <c r="Y8739"/>
  <c r="Y8740"/>
  <c r="Y8741"/>
  <c r="Z8741" s="1"/>
  <c r="Y8742"/>
  <c r="Y8743"/>
  <c r="Y8744"/>
  <c r="Y8745"/>
  <c r="Y8746"/>
  <c r="Y8747"/>
  <c r="Y8748"/>
  <c r="Y8749"/>
  <c r="Z8749" s="1"/>
  <c r="Y8750"/>
  <c r="Y8751"/>
  <c r="Y8752"/>
  <c r="Y8753"/>
  <c r="Z8753" s="1"/>
  <c r="Y8754"/>
  <c r="Y8755"/>
  <c r="Y8756"/>
  <c r="Y8757"/>
  <c r="Z8757" s="1"/>
  <c r="Y8758"/>
  <c r="Y8759"/>
  <c r="Y8760"/>
  <c r="Y8761"/>
  <c r="Y8762"/>
  <c r="Y8763"/>
  <c r="Y8764"/>
  <c r="Y8765"/>
  <c r="Z8765" s="1"/>
  <c r="Y8766"/>
  <c r="Y8767"/>
  <c r="Y8768"/>
  <c r="Y8769"/>
  <c r="Y8770"/>
  <c r="Y8771"/>
  <c r="Y8772"/>
  <c r="Y8773"/>
  <c r="Y8774"/>
  <c r="Y8775"/>
  <c r="Y8776"/>
  <c r="Y8777"/>
  <c r="Z8777" s="1"/>
  <c r="Y8778"/>
  <c r="Y8779"/>
  <c r="Y8780"/>
  <c r="Y8781"/>
  <c r="Y8782"/>
  <c r="Y8783"/>
  <c r="Y8784"/>
  <c r="Y8785"/>
  <c r="Y8786"/>
  <c r="Y8787"/>
  <c r="Y8788"/>
  <c r="Y8789"/>
  <c r="Y8790"/>
  <c r="Y8791"/>
  <c r="Y8792"/>
  <c r="Y8793"/>
  <c r="Y8794"/>
  <c r="Y8795"/>
  <c r="Y8796"/>
  <c r="Y8797"/>
  <c r="Z8797" s="1"/>
  <c r="Y8798"/>
  <c r="Y8799"/>
  <c r="Y8800"/>
  <c r="Y8801"/>
  <c r="Y8802"/>
  <c r="Y8803"/>
  <c r="Y8804"/>
  <c r="Y8805"/>
  <c r="Z8805" s="1"/>
  <c r="Y8806"/>
  <c r="Y8807"/>
  <c r="Y8808"/>
  <c r="Y8809"/>
  <c r="Y8810"/>
  <c r="Y8811"/>
  <c r="Y8812"/>
  <c r="Y8813"/>
  <c r="Z8813" s="1"/>
  <c r="Y8814"/>
  <c r="Y8815"/>
  <c r="Y8816"/>
  <c r="Y8817"/>
  <c r="Z8817" s="1"/>
  <c r="Y8818"/>
  <c r="Y8819"/>
  <c r="Y8820"/>
  <c r="Y8821"/>
  <c r="Y8822"/>
  <c r="Y8823"/>
  <c r="Y8824"/>
  <c r="Y8825"/>
  <c r="Y8826"/>
  <c r="Y8827"/>
  <c r="Y8828"/>
  <c r="Y8829"/>
  <c r="Z8829" s="1"/>
  <c r="Y8830"/>
  <c r="Y8831"/>
  <c r="Y8832"/>
  <c r="Y8833"/>
  <c r="Z8833" s="1"/>
  <c r="Y8834"/>
  <c r="Y8835"/>
  <c r="Y8836"/>
  <c r="Y8837"/>
  <c r="Z8837" s="1"/>
  <c r="Y8838"/>
  <c r="Y8839"/>
  <c r="Y8840"/>
  <c r="Y8841"/>
  <c r="Y8842"/>
  <c r="Y8843"/>
  <c r="Y8844"/>
  <c r="Y8845"/>
  <c r="Z8845" s="1"/>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Z8873" s="1"/>
  <c r="Y8874"/>
  <c r="Y8875"/>
  <c r="Y8876"/>
  <c r="Y8877"/>
  <c r="Y8878"/>
  <c r="Y8879"/>
  <c r="Y8880"/>
  <c r="Y8881"/>
  <c r="Z8881" s="1"/>
  <c r="Y8882"/>
  <c r="Y8883"/>
  <c r="Y8884"/>
  <c r="Y8885"/>
  <c r="Y8886"/>
  <c r="Y8887"/>
  <c r="Y8888"/>
  <c r="Y8889"/>
  <c r="Y8890"/>
  <c r="Y8891"/>
  <c r="Y8892"/>
  <c r="Y8893"/>
  <c r="Z8893" s="1"/>
  <c r="Y8894"/>
  <c r="Y8895"/>
  <c r="Y8896"/>
  <c r="Y8897"/>
  <c r="Y8898"/>
  <c r="Y8899"/>
  <c r="Y8900"/>
  <c r="Y8901"/>
  <c r="Z8901" s="1"/>
  <c r="Y8902"/>
  <c r="Y8903"/>
  <c r="Y8904"/>
  <c r="Y8905"/>
  <c r="Y8906"/>
  <c r="Y8907"/>
  <c r="Y8908"/>
  <c r="Y8909"/>
  <c r="Z8909" s="1"/>
  <c r="Y8910"/>
  <c r="Y8911"/>
  <c r="Y8912"/>
  <c r="Y8913"/>
  <c r="Y8914"/>
  <c r="Y8915"/>
  <c r="Y8916"/>
  <c r="Y8917"/>
  <c r="Z8917" s="1"/>
  <c r="Y8918"/>
  <c r="Y8919"/>
  <c r="Y8920"/>
  <c r="Y8921"/>
  <c r="Y8922"/>
  <c r="Y8923"/>
  <c r="Y8924"/>
  <c r="Y8925"/>
  <c r="Z8925" s="1"/>
  <c r="Y8926"/>
  <c r="Y8927"/>
  <c r="Y8928"/>
  <c r="Y8929"/>
  <c r="Y8930"/>
  <c r="Y8931"/>
  <c r="Y8932"/>
  <c r="Y8933"/>
  <c r="Z8933" s="1"/>
  <c r="Y8934"/>
  <c r="Y8935"/>
  <c r="Y8936"/>
  <c r="Y8937"/>
  <c r="Y8938"/>
  <c r="Y8939"/>
  <c r="Y8940"/>
  <c r="Y8941"/>
  <c r="Y8942"/>
  <c r="Y8943"/>
  <c r="Y8944"/>
  <c r="Y8945"/>
  <c r="Z8945" s="1"/>
  <c r="Y8946"/>
  <c r="Y8947"/>
  <c r="Y8948"/>
  <c r="Y8949"/>
  <c r="Z8949" s="1"/>
  <c r="Y8950"/>
  <c r="Y8951"/>
  <c r="Y8952"/>
  <c r="Y8953"/>
  <c r="Y8954"/>
  <c r="Y8955"/>
  <c r="Y8956"/>
  <c r="Y8957"/>
  <c r="Z8957" s="1"/>
  <c r="Y8958"/>
  <c r="Y8959"/>
  <c r="Y8960"/>
  <c r="Y8961"/>
  <c r="Y8962"/>
  <c r="Y8963"/>
  <c r="Y8964"/>
  <c r="Y8965"/>
  <c r="Y8966"/>
  <c r="Y8967"/>
  <c r="Y8968"/>
  <c r="Y8969"/>
  <c r="Y8970"/>
  <c r="Y8971"/>
  <c r="Y8972"/>
  <c r="Y8973"/>
  <c r="Z8973" s="1"/>
  <c r="Y8974"/>
  <c r="Y8975"/>
  <c r="Y8976"/>
  <c r="Y8977"/>
  <c r="Y8978"/>
  <c r="Y8979"/>
  <c r="Y8980"/>
  <c r="Y8981"/>
  <c r="Z8981" s="1"/>
  <c r="Y8982"/>
  <c r="Y8983"/>
  <c r="Y8984"/>
  <c r="Y8985"/>
  <c r="Y8986"/>
  <c r="Y8987"/>
  <c r="Y8988"/>
  <c r="Y8989"/>
  <c r="Z8989" s="1"/>
  <c r="Y8990"/>
  <c r="Y8991"/>
  <c r="Y8992"/>
  <c r="Y8993"/>
  <c r="Y8994"/>
  <c r="Y8995"/>
  <c r="Y8996"/>
  <c r="Y8997"/>
  <c r="Y8998"/>
  <c r="Y8999"/>
  <c r="Y9000"/>
  <c r="Y9001"/>
  <c r="Y9002"/>
  <c r="Y9003"/>
  <c r="Y9004"/>
  <c r="Y9005"/>
  <c r="Z9005" s="1"/>
  <c r="Y9006"/>
  <c r="Y9007"/>
  <c r="Y9008"/>
  <c r="Y9009"/>
  <c r="Y9010"/>
  <c r="Y9011"/>
  <c r="Y9012"/>
  <c r="Y9013"/>
  <c r="Z9013" s="1"/>
  <c r="Y9014"/>
  <c r="Y9015"/>
  <c r="Y9016"/>
  <c r="Y9017"/>
  <c r="Y9018"/>
  <c r="Y9019"/>
  <c r="Y9020"/>
  <c r="Y9021"/>
  <c r="Z9021" s="1"/>
  <c r="Y9022"/>
  <c r="Y9023"/>
  <c r="Y9024"/>
  <c r="Y9025"/>
  <c r="Y9026"/>
  <c r="Y9027"/>
  <c r="Y9028"/>
  <c r="Y9029"/>
  <c r="Y9030"/>
  <c r="Y9031"/>
  <c r="Y9032"/>
  <c r="Y9033"/>
  <c r="Y9034"/>
  <c r="Y9035"/>
  <c r="Y9036"/>
  <c r="Y9037"/>
  <c r="Z9037" s="1"/>
  <c r="Y9038"/>
  <c r="Y9039"/>
  <c r="Y9040"/>
  <c r="Y9041"/>
  <c r="Y9042"/>
  <c r="Y9043"/>
  <c r="Y9044"/>
  <c r="Y9045"/>
  <c r="Z9045" s="1"/>
  <c r="Y9046"/>
  <c r="Y9047"/>
  <c r="Y9048"/>
  <c r="Y9049"/>
  <c r="Y9050"/>
  <c r="Y9051"/>
  <c r="Y9052"/>
  <c r="Y9053"/>
  <c r="Z9053" s="1"/>
  <c r="Y9054"/>
  <c r="Y9055"/>
  <c r="Y9056"/>
  <c r="Y9057"/>
  <c r="Y9058"/>
  <c r="Y9059"/>
  <c r="Y9060"/>
  <c r="Y9061"/>
  <c r="Z9061" s="1"/>
  <c r="Y9062"/>
  <c r="Y9063"/>
  <c r="Y9064"/>
  <c r="Y9065"/>
  <c r="Y9066"/>
  <c r="Y9067"/>
  <c r="Y9068"/>
  <c r="Y9069"/>
  <c r="Y9070"/>
  <c r="Y9071"/>
  <c r="Y9072"/>
  <c r="Y9073"/>
  <c r="Y9074"/>
  <c r="Y9075"/>
  <c r="Y9076"/>
  <c r="Y9077"/>
  <c r="Z9077" s="1"/>
  <c r="Y9078"/>
  <c r="Y9079"/>
  <c r="Y9080"/>
  <c r="Y9081"/>
  <c r="Y9082"/>
  <c r="Y9083"/>
  <c r="Y9084"/>
  <c r="Y9085"/>
  <c r="Z9085" s="1"/>
  <c r="Y9086"/>
  <c r="Y9087"/>
  <c r="Y9088"/>
  <c r="Y9089"/>
  <c r="Y9090"/>
  <c r="Y9091"/>
  <c r="Y9092"/>
  <c r="Y9093"/>
  <c r="Z9093" s="1"/>
  <c r="Y9094"/>
  <c r="Y9095"/>
  <c r="Y9096"/>
  <c r="Y9097"/>
  <c r="Y9098"/>
  <c r="Y9099"/>
  <c r="Y9100"/>
  <c r="Y9101"/>
  <c r="Z9101" s="1"/>
  <c r="Y9102"/>
  <c r="Y9103"/>
  <c r="Y9104"/>
  <c r="Y9105"/>
  <c r="Y9106"/>
  <c r="Y9107"/>
  <c r="Y9108"/>
  <c r="Y9109"/>
  <c r="Z9109" s="1"/>
  <c r="Y9110"/>
  <c r="Y9111"/>
  <c r="Y9112"/>
  <c r="Y9113"/>
  <c r="Y9114"/>
  <c r="Y9115"/>
  <c r="Y9116"/>
  <c r="Y9117"/>
  <c r="Z9117" s="1"/>
  <c r="Y9118"/>
  <c r="Y9119"/>
  <c r="Y9120"/>
  <c r="Y9121"/>
  <c r="Y9122"/>
  <c r="Y9123"/>
  <c r="Y9124"/>
  <c r="Y9125"/>
  <c r="Y9126"/>
  <c r="Y9127"/>
  <c r="Y9128"/>
  <c r="Y9129"/>
  <c r="Y9130"/>
  <c r="Y9131"/>
  <c r="Y9132"/>
  <c r="Y9133"/>
  <c r="Z9133" s="1"/>
  <c r="Y9134"/>
  <c r="Y9135"/>
  <c r="Y9136"/>
  <c r="Y9137"/>
  <c r="Y9138"/>
  <c r="Y9139"/>
  <c r="Y9140"/>
  <c r="Y9141"/>
  <c r="Z9141" s="1"/>
  <c r="Y9142"/>
  <c r="Y9143"/>
  <c r="Y9144"/>
  <c r="Y9145"/>
  <c r="Y9146"/>
  <c r="Y9147"/>
  <c r="Y9148"/>
  <c r="Y9149"/>
  <c r="Z9149" s="1"/>
  <c r="Y9150"/>
  <c r="Y9151"/>
  <c r="Y9152"/>
  <c r="Y9153"/>
  <c r="Y9154"/>
  <c r="Y9155"/>
  <c r="Y9156"/>
  <c r="Y9157"/>
  <c r="Y9158"/>
  <c r="Y9159"/>
  <c r="Y9160"/>
  <c r="Y9161"/>
  <c r="Y9162"/>
  <c r="Y9163"/>
  <c r="Y9164"/>
  <c r="Y9165"/>
  <c r="Z9165" s="1"/>
  <c r="Y9166"/>
  <c r="Y9167"/>
  <c r="Y9168"/>
  <c r="Y9169"/>
  <c r="Y9170"/>
  <c r="Y9171"/>
  <c r="Y9172"/>
  <c r="Y9173"/>
  <c r="Z9173" s="1"/>
  <c r="Y9174"/>
  <c r="Y9175"/>
  <c r="Y9176"/>
  <c r="Y9177"/>
  <c r="Y9178"/>
  <c r="Y9179"/>
  <c r="Y9180"/>
  <c r="Y9181"/>
  <c r="Z9181" s="1"/>
  <c r="Y9182"/>
  <c r="Y9183"/>
  <c r="Y9184"/>
  <c r="Y9185"/>
  <c r="Y9186"/>
  <c r="Y9187"/>
  <c r="Y9188"/>
  <c r="Y9189"/>
  <c r="Y9190"/>
  <c r="Y9191"/>
  <c r="Y9192"/>
  <c r="Y9193"/>
  <c r="Y9194"/>
  <c r="Y9195"/>
  <c r="Y9196"/>
  <c r="Y9197"/>
  <c r="Z9197" s="1"/>
  <c r="Y9198"/>
  <c r="Y9199"/>
  <c r="Y9200"/>
  <c r="Y9201"/>
  <c r="Y9202"/>
  <c r="Y9203"/>
  <c r="Y9204"/>
  <c r="Y9205"/>
  <c r="Y9206"/>
  <c r="Y9207"/>
  <c r="Y9208"/>
  <c r="Y9209"/>
  <c r="Y9210"/>
  <c r="Y9211"/>
  <c r="Y9212"/>
  <c r="Y9213"/>
  <c r="Z9213" s="1"/>
  <c r="Y9214"/>
  <c r="Y9215"/>
  <c r="Y9216"/>
  <c r="Y9217"/>
  <c r="Y9218"/>
  <c r="Y9219"/>
  <c r="Y9220"/>
  <c r="Y9221"/>
  <c r="Z9221" s="1"/>
  <c r="Y9222"/>
  <c r="Y9223"/>
  <c r="Y9224"/>
  <c r="Y9225"/>
  <c r="Y9226"/>
  <c r="Y9227"/>
  <c r="Y9228"/>
  <c r="Y9229"/>
  <c r="Y9230"/>
  <c r="Y9231"/>
  <c r="Y9232"/>
  <c r="Y9233"/>
  <c r="Y9234"/>
  <c r="Y9235"/>
  <c r="Y9236"/>
  <c r="Y9237"/>
  <c r="Z9237" s="1"/>
  <c r="Y9238"/>
  <c r="Y9239"/>
  <c r="Y9240"/>
  <c r="Y9241"/>
  <c r="Y9242"/>
  <c r="Y9243"/>
  <c r="Y9244"/>
  <c r="Y9245"/>
  <c r="Z9245" s="1"/>
  <c r="Y9246"/>
  <c r="Y9247"/>
  <c r="Y9248"/>
  <c r="Y9249"/>
  <c r="Y9250"/>
  <c r="Y9251"/>
  <c r="Y9252"/>
  <c r="Y9253"/>
  <c r="Z9253" s="1"/>
  <c r="Y9254"/>
  <c r="Y9255"/>
  <c r="Y9256"/>
  <c r="Y9257"/>
  <c r="Y9258"/>
  <c r="Y9259"/>
  <c r="Y9260"/>
  <c r="Y9261"/>
  <c r="Y9262"/>
  <c r="Y9263"/>
  <c r="Y9264"/>
  <c r="Y9265"/>
  <c r="Y9266"/>
  <c r="Y9267"/>
  <c r="Y9268"/>
  <c r="Y9269"/>
  <c r="Z9269" s="1"/>
  <c r="Y9270"/>
  <c r="Y9271"/>
  <c r="Y9272"/>
  <c r="Y9273"/>
  <c r="Y9274"/>
  <c r="Y9275"/>
  <c r="Y9276"/>
  <c r="Y9277"/>
  <c r="Z9277" s="1"/>
  <c r="Y9278"/>
  <c r="Y9279"/>
  <c r="Y9280"/>
  <c r="Y9281"/>
  <c r="Y9282"/>
  <c r="Y9283"/>
  <c r="Y9284"/>
  <c r="Y9285"/>
  <c r="Z9285" s="1"/>
  <c r="Y9286"/>
  <c r="Y9287"/>
  <c r="Y9288"/>
  <c r="Y9289"/>
  <c r="Y9290"/>
  <c r="Y9291"/>
  <c r="Y9292"/>
  <c r="Y9293"/>
  <c r="Y9294"/>
  <c r="Y9295"/>
  <c r="Y9296"/>
  <c r="Y9297"/>
  <c r="Y9298"/>
  <c r="Y9299"/>
  <c r="Y9300"/>
  <c r="Y9301"/>
  <c r="Z9301" s="1"/>
  <c r="Y9302"/>
  <c r="Y9303"/>
  <c r="Y9304"/>
  <c r="Y9305"/>
  <c r="Y9306"/>
  <c r="Y9307"/>
  <c r="Y9308"/>
  <c r="Y9309"/>
  <c r="Z9309" s="1"/>
  <c r="Y9310"/>
  <c r="Y9311"/>
  <c r="Y9312"/>
  <c r="Y9313"/>
  <c r="Y9314"/>
  <c r="Y9315"/>
  <c r="Y9316"/>
  <c r="Y9317"/>
  <c r="Z9317" s="1"/>
  <c r="Y9318"/>
  <c r="Y9319"/>
  <c r="Y9320"/>
  <c r="Y9321"/>
  <c r="Y9322"/>
  <c r="Y9323"/>
  <c r="Y9324"/>
  <c r="Y9325"/>
  <c r="Y9326"/>
  <c r="Y9327"/>
  <c r="Y9328"/>
  <c r="Y9329"/>
  <c r="Y9330"/>
  <c r="Y9331"/>
  <c r="Y9332"/>
  <c r="Y9333"/>
  <c r="Z9333" s="1"/>
  <c r="Y9334"/>
  <c r="Y9335"/>
  <c r="Y9336"/>
  <c r="Y9337"/>
  <c r="Y9338"/>
  <c r="Y9339"/>
  <c r="Y9340"/>
  <c r="Y9341"/>
  <c r="Z9341" s="1"/>
  <c r="Y9342"/>
  <c r="Y9343"/>
  <c r="Y9344"/>
  <c r="Y9345"/>
  <c r="Y9346"/>
  <c r="Y9347"/>
  <c r="Y9348"/>
  <c r="Y9349"/>
  <c r="Z9349" s="1"/>
  <c r="Y9350"/>
  <c r="Y9351"/>
  <c r="Y9352"/>
  <c r="Y9353"/>
  <c r="Y9354"/>
  <c r="Y9355"/>
  <c r="Y9356"/>
  <c r="Y9357"/>
  <c r="Y9358"/>
  <c r="Y9359"/>
  <c r="Y9360"/>
  <c r="Y9361"/>
  <c r="Y9362"/>
  <c r="Y9363"/>
  <c r="Y9364"/>
  <c r="Y9365"/>
  <c r="Z9365" s="1"/>
  <c r="Y9366"/>
  <c r="Y9367"/>
  <c r="Y9368"/>
  <c r="Y9369"/>
  <c r="Y9370"/>
  <c r="Y9371"/>
  <c r="Y9372"/>
  <c r="Y9373"/>
  <c r="Z9373" s="1"/>
  <c r="Y9374"/>
  <c r="Y9375"/>
  <c r="Y9376"/>
  <c r="Y9377"/>
  <c r="Y9378"/>
  <c r="Y9379"/>
  <c r="Y9380"/>
  <c r="Y9381"/>
  <c r="Z9381" s="1"/>
  <c r="Y9382"/>
  <c r="Y9383"/>
  <c r="Y9384"/>
  <c r="Y9385"/>
  <c r="Y9386"/>
  <c r="Y9387"/>
  <c r="Y9388"/>
  <c r="Y9389"/>
  <c r="Y9390"/>
  <c r="Y9391"/>
  <c r="Y9392"/>
  <c r="Y9393"/>
  <c r="Y9394"/>
  <c r="Y9395"/>
  <c r="Y9396"/>
  <c r="Y9397"/>
  <c r="Z9397" s="1"/>
  <c r="Y9398"/>
  <c r="Y9399"/>
  <c r="Y9400"/>
  <c r="Y9401"/>
  <c r="Y9402"/>
  <c r="Y9403"/>
  <c r="Y9404"/>
  <c r="Y9405"/>
  <c r="Z9405" s="1"/>
  <c r="Y9406"/>
  <c r="Y9407"/>
  <c r="Y9408"/>
  <c r="Y9409"/>
  <c r="Y9410"/>
  <c r="Y9411"/>
  <c r="Y9412"/>
  <c r="Y9413"/>
  <c r="Z9413" s="1"/>
  <c r="Y9414"/>
  <c r="Y9415"/>
  <c r="Y9416"/>
  <c r="Y9417"/>
  <c r="Y9418"/>
  <c r="Y9419"/>
  <c r="Y9420"/>
  <c r="Y9421"/>
  <c r="Z9421" s="1"/>
  <c r="Y9422"/>
  <c r="Y9423"/>
  <c r="Y9424"/>
  <c r="Y9425"/>
  <c r="Y9426"/>
  <c r="Y9427"/>
  <c r="Y9428"/>
  <c r="Y9429"/>
  <c r="Z9429" s="1"/>
  <c r="Y9430"/>
  <c r="Y9431"/>
  <c r="Y9432"/>
  <c r="Y9433"/>
  <c r="Y9434"/>
  <c r="Y9435"/>
  <c r="Y9436"/>
  <c r="Y9437"/>
  <c r="Z9437" s="1"/>
  <c r="Y9438"/>
  <c r="Y9439"/>
  <c r="Y9440"/>
  <c r="Y9441"/>
  <c r="Y9442"/>
  <c r="Y9443"/>
  <c r="Y9444"/>
  <c r="Y9445"/>
  <c r="Z9445" s="1"/>
  <c r="Y9446"/>
  <c r="Y9447"/>
  <c r="Y9448"/>
  <c r="Y9449"/>
  <c r="Y9450"/>
  <c r="Y9451"/>
  <c r="Y9452"/>
  <c r="Y9453"/>
  <c r="Y9454"/>
  <c r="Y9455"/>
  <c r="Y9456"/>
  <c r="Y9457"/>
  <c r="Z9457" s="1"/>
  <c r="Y9458"/>
  <c r="Y9459"/>
  <c r="Y9460"/>
  <c r="Y9461"/>
  <c r="Z9461" s="1"/>
  <c r="Y9462"/>
  <c r="Y9463"/>
  <c r="Y9464"/>
  <c r="Y9465"/>
  <c r="Y9466"/>
  <c r="Y9467"/>
  <c r="Y9468"/>
  <c r="Y9469"/>
  <c r="Y9470"/>
  <c r="Y9471"/>
  <c r="Y9472"/>
  <c r="Y9473"/>
  <c r="Y9474"/>
  <c r="Y9475"/>
  <c r="Y9476"/>
  <c r="Y9477"/>
  <c r="Z9477" s="1"/>
  <c r="Y9478"/>
  <c r="Y9479"/>
  <c r="Y9480"/>
  <c r="Y9481"/>
  <c r="Y9482"/>
  <c r="Y9483"/>
  <c r="Y9484"/>
  <c r="Y9485"/>
  <c r="Z9485" s="1"/>
  <c r="Y9486"/>
  <c r="Y9487"/>
  <c r="Y9488"/>
  <c r="Y9489"/>
  <c r="Y9490"/>
  <c r="Y9491"/>
  <c r="Y9492"/>
  <c r="Y9493"/>
  <c r="Y9494"/>
  <c r="Y9495"/>
  <c r="Y9496"/>
  <c r="Y9497"/>
  <c r="Y9498"/>
  <c r="Y9499"/>
  <c r="Y9500"/>
  <c r="Y9501"/>
  <c r="Z9501" s="1"/>
  <c r="Y9502"/>
  <c r="Y9503"/>
  <c r="Y9504"/>
  <c r="Y9505"/>
  <c r="Y9506"/>
  <c r="Y9507"/>
  <c r="Y9508"/>
  <c r="Y9509"/>
  <c r="Z9509" s="1"/>
  <c r="Y9510"/>
  <c r="Y9511"/>
  <c r="Y9512"/>
  <c r="Y9513"/>
  <c r="Y9514"/>
  <c r="Y9515"/>
  <c r="Y9516"/>
  <c r="Y9517"/>
  <c r="Z9517" s="1"/>
  <c r="Y9518"/>
  <c r="Y9519"/>
  <c r="Y9520"/>
  <c r="Y9521"/>
  <c r="Y9522"/>
  <c r="Y9523"/>
  <c r="Y9524"/>
  <c r="Y9525"/>
  <c r="Z9525" s="1"/>
  <c r="Y9526"/>
  <c r="Y9527"/>
  <c r="Y9528"/>
  <c r="Y9529"/>
  <c r="Z9529" s="1"/>
  <c r="Y9530"/>
  <c r="Y9531"/>
  <c r="Y9532"/>
  <c r="Y9533"/>
  <c r="Z9533" s="1"/>
  <c r="Y9534"/>
  <c r="Y9535"/>
  <c r="Y9536"/>
  <c r="Y9537"/>
  <c r="Y9538"/>
  <c r="Y9539"/>
  <c r="Y9540"/>
  <c r="Y9541"/>
  <c r="Z9541" s="1"/>
  <c r="Y9542"/>
  <c r="Y9543"/>
  <c r="Y9544"/>
  <c r="Y9545"/>
  <c r="Z9545" s="1"/>
  <c r="Y9546"/>
  <c r="Y9547"/>
  <c r="Y9548"/>
  <c r="Y9549"/>
  <c r="Y9550"/>
  <c r="Y9551"/>
  <c r="Y9552"/>
  <c r="Y9553"/>
  <c r="Y9554"/>
  <c r="Y9555"/>
  <c r="Y9556"/>
  <c r="Y9557"/>
  <c r="Z9557" s="1"/>
  <c r="Y9558"/>
  <c r="Y9559"/>
  <c r="Y9560"/>
  <c r="Y9561"/>
  <c r="Y9562"/>
  <c r="Y9563"/>
  <c r="Y9564"/>
  <c r="Y9565"/>
  <c r="Z9565" s="1"/>
  <c r="Y9566"/>
  <c r="Y9567"/>
  <c r="Y9568"/>
  <c r="Y9569"/>
  <c r="Y9570"/>
  <c r="Y9571"/>
  <c r="Y9572"/>
  <c r="Y9573"/>
  <c r="Y9574"/>
  <c r="Y9575"/>
  <c r="Y9576"/>
  <c r="Y9577"/>
  <c r="Y9578"/>
  <c r="Y9579"/>
  <c r="Y9580"/>
  <c r="Y9581"/>
  <c r="Z9581" s="1"/>
  <c r="Y9582"/>
  <c r="Y9583"/>
  <c r="Y9584"/>
  <c r="Y9585"/>
  <c r="Y9586"/>
  <c r="Y9587"/>
  <c r="Y9588"/>
  <c r="Y9589"/>
  <c r="Z9589" s="1"/>
  <c r="Y9590"/>
  <c r="Y9591"/>
  <c r="Y9592"/>
  <c r="Y9593"/>
  <c r="Y9594"/>
  <c r="Y9595"/>
  <c r="Y9596"/>
  <c r="Y9597"/>
  <c r="Z9597" s="1"/>
  <c r="Y9598"/>
  <c r="Y9599"/>
  <c r="Y9600"/>
  <c r="Y9601"/>
  <c r="Y9602"/>
  <c r="Y9603"/>
  <c r="Y9604"/>
  <c r="Y9605"/>
  <c r="Z9605" s="1"/>
  <c r="Y9606"/>
  <c r="Y9607"/>
  <c r="Y9608"/>
  <c r="Y9609"/>
  <c r="Y9610"/>
  <c r="Y9611"/>
  <c r="Y9612"/>
  <c r="Y9613"/>
  <c r="Z9613" s="1"/>
  <c r="Y9614"/>
  <c r="Y9615"/>
  <c r="Y9616"/>
  <c r="Y9617"/>
  <c r="Y9618"/>
  <c r="Y9619"/>
  <c r="Y9620"/>
  <c r="Y9621"/>
  <c r="Y9622"/>
  <c r="Y9623"/>
  <c r="Y9624"/>
  <c r="Y9625"/>
  <c r="Y9626"/>
  <c r="Y9627"/>
  <c r="Y9628"/>
  <c r="Y9629"/>
  <c r="Z9629" s="1"/>
  <c r="Y9630"/>
  <c r="Y9631"/>
  <c r="Y9632"/>
  <c r="Y9633"/>
  <c r="Y9634"/>
  <c r="Y9635"/>
  <c r="Y9636"/>
  <c r="Y9637"/>
  <c r="Z9637" s="1"/>
  <c r="Y9638"/>
  <c r="Y9639"/>
  <c r="Y9640"/>
  <c r="Y9641"/>
  <c r="Y9642"/>
  <c r="Y9643"/>
  <c r="Y9644"/>
  <c r="Y9645"/>
  <c r="Z9645" s="1"/>
  <c r="Y9646"/>
  <c r="Y9647"/>
  <c r="Y9648"/>
  <c r="Y9649"/>
  <c r="Y9650"/>
  <c r="Y9651"/>
  <c r="Y9652"/>
  <c r="Y9653"/>
  <c r="Z9653" s="1"/>
  <c r="Y9654"/>
  <c r="Y9655"/>
  <c r="Y9656"/>
  <c r="Y9657"/>
  <c r="Y9658"/>
  <c r="Y9659"/>
  <c r="Y9660"/>
  <c r="Y9661"/>
  <c r="Z9661" s="1"/>
  <c r="Y9662"/>
  <c r="Y9663"/>
  <c r="Y9664"/>
  <c r="Y9665"/>
  <c r="Y9666"/>
  <c r="Y9667"/>
  <c r="Y9668"/>
  <c r="Y9669"/>
  <c r="Z9669" s="1"/>
  <c r="Y9670"/>
  <c r="Y9671"/>
  <c r="Y9672"/>
  <c r="Y9673"/>
  <c r="Y9674"/>
  <c r="Y9675"/>
  <c r="Y9676"/>
  <c r="Y9677"/>
  <c r="Z9677" s="1"/>
  <c r="Y9678"/>
  <c r="Y9679"/>
  <c r="Y9680"/>
  <c r="Y9681"/>
  <c r="Y9682"/>
  <c r="Y9683"/>
  <c r="Y9684"/>
  <c r="Y9685"/>
  <c r="Z9685" s="1"/>
  <c r="Y9686"/>
  <c r="Y9687"/>
  <c r="Y9688"/>
  <c r="Y9689"/>
  <c r="Y9690"/>
  <c r="Y9691"/>
  <c r="Y9692"/>
  <c r="Y9693"/>
  <c r="Z9693" s="1"/>
  <c r="Y9694"/>
  <c r="Y9695"/>
  <c r="Y9696"/>
  <c r="Y9697"/>
  <c r="Y9698"/>
  <c r="Y9699"/>
  <c r="Y9700"/>
  <c r="Y9701"/>
  <c r="Z9701" s="1"/>
  <c r="Y9702"/>
  <c r="Y9703"/>
  <c r="Y9704"/>
  <c r="Y9705"/>
  <c r="Y9706"/>
  <c r="Y9707"/>
  <c r="Y9708"/>
  <c r="Y9709"/>
  <c r="Z9709" s="1"/>
  <c r="Y9710"/>
  <c r="Y9711"/>
  <c r="Y9712"/>
  <c r="Y9713"/>
  <c r="Y9714"/>
  <c r="Y9715"/>
  <c r="Y9716"/>
  <c r="Y9717"/>
  <c r="Z9717" s="1"/>
  <c r="Y9718"/>
  <c r="Y9719"/>
  <c r="Y9720"/>
  <c r="Y9721"/>
  <c r="Y9722"/>
  <c r="Y9723"/>
  <c r="Y9724"/>
  <c r="Y9725"/>
  <c r="Z9725" s="1"/>
  <c r="Y9726"/>
  <c r="Y9727"/>
  <c r="Y9728"/>
  <c r="Y9729"/>
  <c r="Y9730"/>
  <c r="Y9731"/>
  <c r="Y9732"/>
  <c r="Y9733"/>
  <c r="Z9733" s="1"/>
  <c r="Y9734"/>
  <c r="Y9735"/>
  <c r="Y9736"/>
  <c r="Y9737"/>
  <c r="Y9738"/>
  <c r="Y9739"/>
  <c r="Y9740"/>
  <c r="Y9741"/>
  <c r="Z9741" s="1"/>
  <c r="Y9742"/>
  <c r="Y9743"/>
  <c r="Y9744"/>
  <c r="Y9745"/>
  <c r="Y9746"/>
  <c r="Y9747"/>
  <c r="Y9748"/>
  <c r="Y9749"/>
  <c r="Z9749" s="1"/>
  <c r="Y9750"/>
  <c r="Y9751"/>
  <c r="Y9752"/>
  <c r="Y9753"/>
  <c r="Y9754"/>
  <c r="Y9755"/>
  <c r="Y9756"/>
  <c r="Y9757"/>
  <c r="Z9757" s="1"/>
  <c r="Y9758"/>
  <c r="Y9759"/>
  <c r="Y9760"/>
  <c r="Y9761"/>
  <c r="Y9762"/>
  <c r="Y9763"/>
  <c r="Y9764"/>
  <c r="Y9765"/>
  <c r="Z9765" s="1"/>
  <c r="Y9766"/>
  <c r="Y9767"/>
  <c r="Y9768"/>
  <c r="Y9769"/>
  <c r="Y9770"/>
  <c r="Y9771"/>
  <c r="Y9772"/>
  <c r="Y9773"/>
  <c r="Z9773" s="1"/>
  <c r="Y9774"/>
  <c r="Y9775"/>
  <c r="Y9776"/>
  <c r="Y9777"/>
  <c r="Y9778"/>
  <c r="Y9779"/>
  <c r="Y9780"/>
  <c r="Y9781"/>
  <c r="Z9781" s="1"/>
  <c r="Y9782"/>
  <c r="Y9783"/>
  <c r="Y9784"/>
  <c r="Y9785"/>
  <c r="Y9786"/>
  <c r="Y9787"/>
  <c r="Y9788"/>
  <c r="Y9789"/>
  <c r="Z9789" s="1"/>
  <c r="Y9790"/>
  <c r="Y9791"/>
  <c r="Y9792"/>
  <c r="Y9793"/>
  <c r="Y9794"/>
  <c r="Y9795"/>
  <c r="Y9796"/>
  <c r="Y9797"/>
  <c r="Z9797" s="1"/>
  <c r="Y9798"/>
  <c r="Y9799"/>
  <c r="Y9800"/>
  <c r="Y9801"/>
  <c r="Y9802"/>
  <c r="Y9803"/>
  <c r="Y9804"/>
  <c r="Y9805"/>
  <c r="Z9805" s="1"/>
  <c r="Y9806"/>
  <c r="Y9807"/>
  <c r="Y9808"/>
  <c r="Y9809"/>
  <c r="Y9810"/>
  <c r="Y9811"/>
  <c r="Y9812"/>
  <c r="Y9813"/>
  <c r="Z9813" s="1"/>
  <c r="Y9814"/>
  <c r="Y9815"/>
  <c r="Y9816"/>
  <c r="Y9817"/>
  <c r="Y9818"/>
  <c r="Y9819"/>
  <c r="Y9820"/>
  <c r="Y9821"/>
  <c r="Z9821" s="1"/>
  <c r="Y9822"/>
  <c r="Y9823"/>
  <c r="Y9824"/>
  <c r="Y9825"/>
  <c r="Y9826"/>
  <c r="Y9827"/>
  <c r="Y9828"/>
  <c r="Y9829"/>
  <c r="Z9829" s="1"/>
  <c r="Y9830"/>
  <c r="Y9831"/>
  <c r="Y9832"/>
  <c r="Y9833"/>
  <c r="Y9834"/>
  <c r="Y9835"/>
  <c r="Y9836"/>
  <c r="Y9837"/>
  <c r="Z9837" s="1"/>
  <c r="Y9838"/>
  <c r="Y9839"/>
  <c r="Y9840"/>
  <c r="Y9841"/>
  <c r="Y9842"/>
  <c r="Y9843"/>
  <c r="Y9844"/>
  <c r="Y9845"/>
  <c r="Z9845" s="1"/>
  <c r="Y9846"/>
  <c r="Y9847"/>
  <c r="Y9848"/>
  <c r="Y9849"/>
  <c r="Y9850"/>
  <c r="Y9851"/>
  <c r="Y9852"/>
  <c r="Y9853"/>
  <c r="Z9853" s="1"/>
  <c r="Y9854"/>
  <c r="Y9855"/>
  <c r="Y9856"/>
  <c r="Y9857"/>
  <c r="Y9858"/>
  <c r="Y9859"/>
  <c r="Y9860"/>
  <c r="Y9861"/>
  <c r="Z9861" s="1"/>
  <c r="Y9862"/>
  <c r="Y9863"/>
  <c r="Y9864"/>
  <c r="Y9865"/>
  <c r="Y9866"/>
  <c r="Y9867"/>
  <c r="Y9868"/>
  <c r="Y9869"/>
  <c r="Z9869" s="1"/>
  <c r="Y9870"/>
  <c r="Y9871"/>
  <c r="Y9872"/>
  <c r="Y9873"/>
  <c r="Y9874"/>
  <c r="Y9875"/>
  <c r="Y9876"/>
  <c r="Y9877"/>
  <c r="Z9877" s="1"/>
  <c r="Y9878"/>
  <c r="Y9879"/>
  <c r="Y9880"/>
  <c r="Y9881"/>
  <c r="Y9882"/>
  <c r="Y9883"/>
  <c r="Y9884"/>
  <c r="Y9885"/>
  <c r="Z9885" s="1"/>
  <c r="Y9886"/>
  <c r="Y9887"/>
  <c r="Y9888"/>
  <c r="Y9889"/>
  <c r="Y9890"/>
  <c r="Y9891"/>
  <c r="Y9892"/>
  <c r="Y9893"/>
  <c r="Z9893" s="1"/>
  <c r="Y9894"/>
  <c r="Y9895"/>
  <c r="Y9896"/>
  <c r="Y9897"/>
  <c r="Y9898"/>
  <c r="Y9899"/>
  <c r="Y9900"/>
  <c r="Y9901"/>
  <c r="Z9901" s="1"/>
  <c r="Y9902"/>
  <c r="Y9903"/>
  <c r="Y9904"/>
  <c r="Y9905"/>
  <c r="Y9906"/>
  <c r="Y9907"/>
  <c r="Y9908"/>
  <c r="Y9909"/>
  <c r="Z9909" s="1"/>
  <c r="Y9910"/>
  <c r="Y9911"/>
  <c r="Y9912"/>
  <c r="Y9913"/>
  <c r="Y9914"/>
  <c r="Y9915"/>
  <c r="Y9916"/>
  <c r="Y9917"/>
  <c r="Z9917" s="1"/>
  <c r="Y9918"/>
  <c r="Y9919"/>
  <c r="Y9920"/>
  <c r="Y9921"/>
  <c r="Y9922"/>
  <c r="Y9923"/>
  <c r="Y9924"/>
  <c r="Y9925"/>
  <c r="Z9925" s="1"/>
  <c r="Y9926"/>
  <c r="Y9927"/>
  <c r="Y9928"/>
  <c r="Y9929"/>
  <c r="Y9930"/>
  <c r="Y9931"/>
  <c r="Y9932"/>
  <c r="Z9932" s="1"/>
  <c r="Y9933"/>
  <c r="Z9933" s="1"/>
  <c r="Y9934"/>
  <c r="Y9935"/>
  <c r="Y9936"/>
  <c r="Y9937"/>
  <c r="Y9938"/>
  <c r="Y9939"/>
  <c r="Y9940"/>
  <c r="Y9941"/>
  <c r="Z9941" s="1"/>
  <c r="Y9942"/>
  <c r="Y9943"/>
  <c r="Y9944"/>
  <c r="Y9945"/>
  <c r="Y9946"/>
  <c r="Y9947"/>
  <c r="Y9948"/>
  <c r="Y9949"/>
  <c r="Z9949" s="1"/>
  <c r="Y9950"/>
  <c r="Y9951"/>
  <c r="Y9952"/>
  <c r="Y9953"/>
  <c r="Y9954"/>
  <c r="Y9955"/>
  <c r="Y9956"/>
  <c r="Y9957"/>
  <c r="Z9957" s="1"/>
  <c r="Y9958"/>
  <c r="Y9959"/>
  <c r="Y9960"/>
  <c r="Y9961"/>
  <c r="Y9962"/>
  <c r="Y9963"/>
  <c r="Y9964"/>
  <c r="Y9965"/>
  <c r="Z9965" s="1"/>
  <c r="Y9966"/>
  <c r="Y9967"/>
  <c r="Y9968"/>
  <c r="Y9969"/>
  <c r="Y9970"/>
  <c r="Y9971"/>
  <c r="Y9972"/>
  <c r="Y9973"/>
  <c r="Z9973" s="1"/>
  <c r="Y9974"/>
  <c r="Y9975"/>
  <c r="Y9976"/>
  <c r="Y9977"/>
  <c r="Y9978"/>
  <c r="Y9979"/>
  <c r="Y9980"/>
  <c r="Y9981"/>
  <c r="Z9981" s="1"/>
  <c r="Y9982"/>
  <c r="Y9983"/>
  <c r="Y9984"/>
  <c r="Y9985"/>
  <c r="Y9986"/>
  <c r="Y9987"/>
  <c r="Y9988"/>
  <c r="Y9989"/>
  <c r="Z9989" s="1"/>
  <c r="Y9990"/>
  <c r="Y9991"/>
  <c r="Y9992"/>
  <c r="Y9993"/>
  <c r="Y9994"/>
  <c r="Y9995"/>
  <c r="Y9996"/>
  <c r="Y9997"/>
  <c r="Z9997" s="1"/>
  <c r="Y9998"/>
  <c r="Y9999"/>
  <c r="Y10000"/>
  <c r="Y10001"/>
  <c r="Y10002"/>
  <c r="Y10003"/>
  <c r="Y10004"/>
  <c r="Y10005"/>
  <c r="Z10005" s="1"/>
  <c r="Y10006"/>
  <c r="Y10007"/>
  <c r="Y10008"/>
  <c r="Y10009"/>
  <c r="Y10010"/>
  <c r="Y10011"/>
  <c r="Y10012"/>
  <c r="Y10013"/>
  <c r="Z10013" s="1"/>
  <c r="Y10014"/>
  <c r="Y10015"/>
  <c r="Y10016"/>
  <c r="Y10017"/>
  <c r="Y10018"/>
  <c r="Y10019"/>
  <c r="Y10020"/>
  <c r="Y10021"/>
  <c r="Z10021" s="1"/>
  <c r="Y10022"/>
  <c r="Y10023"/>
  <c r="Y10024"/>
  <c r="Y10025"/>
  <c r="Y10026"/>
  <c r="Y10027"/>
  <c r="Y10028"/>
  <c r="Y10029"/>
  <c r="Z10029" s="1"/>
  <c r="Y10030"/>
  <c r="Y10031"/>
  <c r="Y10032"/>
  <c r="Y10033"/>
  <c r="Y10034"/>
  <c r="Y10035"/>
  <c r="Y10036"/>
  <c r="Y10037"/>
  <c r="Z10037" s="1"/>
  <c r="Y10038"/>
  <c r="Y10039"/>
  <c r="Y10040"/>
  <c r="Y10041"/>
  <c r="Y10042"/>
  <c r="Y10043"/>
  <c r="Y10044"/>
  <c r="Y10045"/>
  <c r="Z10045" s="1"/>
  <c r="Y10046"/>
  <c r="Y10047"/>
  <c r="Y10048"/>
  <c r="Y10049"/>
  <c r="Y10050"/>
  <c r="Y10051"/>
  <c r="Y10052"/>
  <c r="Y10053"/>
  <c r="Z10053" s="1"/>
  <c r="Y10054"/>
  <c r="Y10055"/>
  <c r="Y10056"/>
  <c r="Y10057"/>
  <c r="Y10058"/>
  <c r="Y10059"/>
  <c r="Y10060"/>
  <c r="Y10061"/>
  <c r="Z10061" s="1"/>
  <c r="Y10062"/>
  <c r="Y10063"/>
  <c r="Y10064"/>
  <c r="Y10065"/>
  <c r="Y10066"/>
  <c r="Y10067"/>
  <c r="Y10068"/>
  <c r="Y10069"/>
  <c r="Z10069" s="1"/>
  <c r="Y10070"/>
  <c r="Y10071"/>
  <c r="Y10072"/>
  <c r="Y10073"/>
  <c r="Y10074"/>
  <c r="Y10075"/>
  <c r="Y10076"/>
  <c r="Y10077"/>
  <c r="Z10077" s="1"/>
  <c r="Y10078"/>
  <c r="Y10079"/>
  <c r="Y10080"/>
  <c r="Y10081"/>
  <c r="Y10082"/>
  <c r="Y10083"/>
  <c r="Y10084"/>
  <c r="Y10085"/>
  <c r="Z10085" s="1"/>
  <c r="Y10086"/>
  <c r="Y10087"/>
  <c r="Y10088"/>
  <c r="Y10089"/>
  <c r="Y10090"/>
  <c r="Y10091"/>
  <c r="Y10092"/>
  <c r="Y10093"/>
  <c r="Z10093" s="1"/>
  <c r="Y10094"/>
  <c r="Y10095"/>
  <c r="Y10096"/>
  <c r="Y10097"/>
  <c r="Y10098"/>
  <c r="Y10099"/>
  <c r="Y10100"/>
  <c r="Y10101"/>
  <c r="Z10101" s="1"/>
  <c r="Y10102"/>
  <c r="Y10103"/>
  <c r="Y10104"/>
  <c r="Y10105"/>
  <c r="Y10106"/>
  <c r="Y10107"/>
  <c r="Y10108"/>
  <c r="Y10109"/>
  <c r="Z10109" s="1"/>
  <c r="Y10110"/>
  <c r="Y10111"/>
  <c r="Y10112"/>
  <c r="Y10113"/>
  <c r="Y10114"/>
  <c r="Y10115"/>
  <c r="Y10116"/>
  <c r="Y10117"/>
  <c r="Z10117" s="1"/>
  <c r="Y10118"/>
  <c r="Y10119"/>
  <c r="Y10120"/>
  <c r="Y10121"/>
  <c r="Y10122"/>
  <c r="Y10123"/>
  <c r="Y10124"/>
  <c r="Y10125"/>
  <c r="Z10125" s="1"/>
  <c r="Y10126"/>
  <c r="Y10127"/>
  <c r="Y10128"/>
  <c r="Y10129"/>
  <c r="Y10130"/>
  <c r="Y10131"/>
  <c r="Y10132"/>
  <c r="Y10133"/>
  <c r="Z10133" s="1"/>
  <c r="Y10134"/>
  <c r="Y10135"/>
  <c r="Y10136"/>
  <c r="Y10137"/>
  <c r="Y10138"/>
  <c r="Y10139"/>
  <c r="Y10140"/>
  <c r="Y10141"/>
  <c r="Z10141" s="1"/>
  <c r="Y10142"/>
  <c r="Y10143"/>
  <c r="Y10144"/>
  <c r="Y10145"/>
  <c r="Y10146"/>
  <c r="Y10147"/>
  <c r="Y10148"/>
  <c r="Y10149"/>
  <c r="Z10149" s="1"/>
  <c r="Y10150"/>
  <c r="Y10151"/>
  <c r="Y10152"/>
  <c r="Y10153"/>
  <c r="Y10154"/>
  <c r="Y10155"/>
  <c r="Y10156"/>
  <c r="Y10157"/>
  <c r="Z10157" s="1"/>
  <c r="Y10158"/>
  <c r="Y10159"/>
  <c r="Y10160"/>
  <c r="Y10161"/>
  <c r="Y10162"/>
  <c r="Y10163"/>
  <c r="Y10164"/>
  <c r="Y10165"/>
  <c r="Z10165" s="1"/>
  <c r="Y10166"/>
  <c r="Y10167"/>
  <c r="Y10168"/>
  <c r="Y10169"/>
  <c r="Y10170"/>
  <c r="Y10171"/>
  <c r="Y10172"/>
  <c r="Y10173"/>
  <c r="Z10173" s="1"/>
  <c r="Y10174"/>
  <c r="Y10175"/>
  <c r="Y10176"/>
  <c r="Y10177"/>
  <c r="Y10178"/>
  <c r="Y10179"/>
  <c r="Y10180"/>
  <c r="Y10181"/>
  <c r="Z10181" s="1"/>
  <c r="Y10182"/>
  <c r="Y10183"/>
  <c r="Y10184"/>
  <c r="Y10185"/>
  <c r="Y10186"/>
  <c r="Y10187"/>
  <c r="Y10188"/>
  <c r="Y10189"/>
  <c r="Z10189" s="1"/>
  <c r="Y10190"/>
  <c r="Y10191"/>
  <c r="Y10192"/>
  <c r="Y10193"/>
  <c r="Y10194"/>
  <c r="Y10195"/>
  <c r="Y10196"/>
  <c r="Y10197"/>
  <c r="Z10197" s="1"/>
  <c r="Y10198"/>
  <c r="Y10199"/>
  <c r="Y10200"/>
  <c r="Y10201"/>
  <c r="Y10202"/>
  <c r="Y10203"/>
  <c r="Y10204"/>
  <c r="Y10205"/>
  <c r="Z10205" s="1"/>
  <c r="Y10206"/>
  <c r="Y10207"/>
  <c r="Y10208"/>
  <c r="Z10208" s="1"/>
  <c r="Y10209"/>
  <c r="Z10209" s="1"/>
  <c r="Y10210"/>
  <c r="Y10211"/>
  <c r="Y10212"/>
  <c r="Y10213"/>
  <c r="Y10214"/>
  <c r="Y10215"/>
  <c r="Y10216"/>
  <c r="Z10216" s="1"/>
  <c r="Y10217"/>
  <c r="Y10218"/>
  <c r="Y10219"/>
  <c r="Y10220"/>
  <c r="Y10221"/>
  <c r="Y10222"/>
  <c r="Y10223"/>
  <c r="Y10224"/>
  <c r="Y10225"/>
  <c r="Z10225" s="1"/>
  <c r="Y10226"/>
  <c r="Y10227"/>
  <c r="Y10228"/>
  <c r="Y10229"/>
  <c r="Z10229" s="1"/>
  <c r="Y10230"/>
  <c r="Y10231"/>
  <c r="Y10232"/>
  <c r="Y10233"/>
  <c r="Z10233" s="1"/>
  <c r="Y10234"/>
  <c r="Y10235"/>
  <c r="Y10236"/>
  <c r="Y10237"/>
  <c r="Z10237" s="1"/>
  <c r="Y10238"/>
  <c r="Y10239"/>
  <c r="Y10240"/>
  <c r="Z10240" s="1"/>
  <c r="Y10241"/>
  <c r="Z10241" s="1"/>
  <c r="Y10242"/>
  <c r="Y10243"/>
  <c r="Y10244"/>
  <c r="Y10245"/>
  <c r="Z10245" s="1"/>
  <c r="Y10246"/>
  <c r="Y10247"/>
  <c r="Y10248"/>
  <c r="Z10248" s="1"/>
  <c r="Y10249"/>
  <c r="Z10249" s="1"/>
  <c r="Y10250"/>
  <c r="Y10251"/>
  <c r="Y10252"/>
  <c r="Y10253"/>
  <c r="Z10253" s="1"/>
  <c r="Y10254"/>
  <c r="Y10255"/>
  <c r="Y10256"/>
  <c r="Y10257"/>
  <c r="Z10257" s="1"/>
  <c r="Y10258"/>
  <c r="Y10259"/>
  <c r="Y10260"/>
  <c r="Y10261"/>
  <c r="Y10262"/>
  <c r="Y10263"/>
  <c r="Y10264"/>
  <c r="Y10265"/>
  <c r="Y10266"/>
  <c r="Y10267"/>
  <c r="Y10268"/>
  <c r="Y10269"/>
  <c r="Z10269" s="1"/>
  <c r="Y10270"/>
  <c r="Y10271"/>
  <c r="Y10272"/>
  <c r="Y10273"/>
  <c r="Z10273" s="1"/>
  <c r="Y10274"/>
  <c r="Y10275"/>
  <c r="Y10276"/>
  <c r="Z10276" s="1"/>
  <c r="Y10277"/>
  <c r="Z10277" s="1"/>
  <c r="Y10278"/>
  <c r="Y10279"/>
  <c r="Y10280"/>
  <c r="Y10281"/>
  <c r="Z10281" s="1"/>
  <c r="Y10282"/>
  <c r="Y10283"/>
  <c r="Y10284"/>
  <c r="Y10285"/>
  <c r="Z10285" s="1"/>
  <c r="Y10286"/>
  <c r="Y10287"/>
  <c r="Y10288"/>
  <c r="Y10289"/>
  <c r="Z10289" s="1"/>
  <c r="Y10290"/>
  <c r="Y10291"/>
  <c r="Y10292"/>
  <c r="Y10293"/>
  <c r="Z10293" s="1"/>
  <c r="Y10294"/>
  <c r="Y10295"/>
  <c r="Y10296"/>
  <c r="Y10297"/>
  <c r="Z10297" s="1"/>
  <c r="Y10298"/>
  <c r="Y10299"/>
  <c r="Y10300"/>
  <c r="Y10301"/>
  <c r="Z10301" s="1"/>
  <c r="Y10302"/>
  <c r="Y10303"/>
  <c r="Y10304"/>
  <c r="Y10305"/>
  <c r="Z10305" s="1"/>
  <c r="Y10306"/>
  <c r="Y10307"/>
  <c r="Y10308"/>
  <c r="Y10309"/>
  <c r="Y10310"/>
  <c r="Y10311"/>
  <c r="Y10312"/>
  <c r="Y10313"/>
  <c r="Z10313" s="1"/>
  <c r="Y10314"/>
  <c r="Y10315"/>
  <c r="Y10316"/>
  <c r="Y10317"/>
  <c r="Y10318"/>
  <c r="Y10319"/>
  <c r="Y10320"/>
  <c r="Y10321"/>
  <c r="Z10321" s="1"/>
  <c r="Y10322"/>
  <c r="Y10323"/>
  <c r="Y10324"/>
  <c r="Z10324" s="1"/>
  <c r="Y10325"/>
  <c r="Y10326"/>
  <c r="Y10327"/>
  <c r="Y10328"/>
  <c r="Y10329"/>
  <c r="Z10329" s="1"/>
  <c r="Y10330"/>
  <c r="Y10331"/>
  <c r="Y10332"/>
  <c r="Y10333"/>
  <c r="Y10334"/>
  <c r="Y10335"/>
  <c r="Y10336"/>
  <c r="Z10336" s="1"/>
  <c r="Y10337"/>
  <c r="Z10337" s="1"/>
  <c r="Y10338"/>
  <c r="Y10339"/>
  <c r="Y10340"/>
  <c r="Y10341"/>
  <c r="Z10341" s="1"/>
  <c r="Y10342"/>
  <c r="Y10343"/>
  <c r="Y10344"/>
  <c r="Y10345"/>
  <c r="Y10346"/>
  <c r="Y10347"/>
  <c r="Y10348"/>
  <c r="Y10349"/>
  <c r="Z10349" s="1"/>
  <c r="Y10350"/>
  <c r="Y10351"/>
  <c r="Y10352"/>
  <c r="Y10353"/>
  <c r="Y10354"/>
  <c r="Y10355"/>
  <c r="Y10356"/>
  <c r="Y10357"/>
  <c r="Y10358"/>
  <c r="Y10359"/>
  <c r="Y10360"/>
  <c r="Y10361"/>
  <c r="Z10361" s="1"/>
  <c r="Y10362"/>
  <c r="Y10363"/>
  <c r="Y10364"/>
  <c r="Y10365"/>
  <c r="Y10366"/>
  <c r="Y10367"/>
  <c r="Y10368"/>
  <c r="Y10369"/>
  <c r="Z10369" s="1"/>
  <c r="Y10370"/>
  <c r="Y10371"/>
  <c r="Y10372"/>
  <c r="Y10373"/>
  <c r="Z10373" s="1"/>
  <c r="Y10374"/>
  <c r="Y10375"/>
  <c r="Y10376"/>
  <c r="Y10377"/>
  <c r="Y10378"/>
  <c r="Y10379"/>
  <c r="Y10380"/>
  <c r="Y10381"/>
  <c r="Z10381" s="1"/>
  <c r="Y10382"/>
  <c r="Y10383"/>
  <c r="Y10384"/>
  <c r="Z10384" s="1"/>
  <c r="Y10385"/>
  <c r="Y10386"/>
  <c r="Y10387"/>
  <c r="Y10388"/>
  <c r="Y10389"/>
  <c r="Y10390"/>
  <c r="Y10391"/>
  <c r="Y10392"/>
  <c r="Y10393"/>
  <c r="Z10393" s="1"/>
  <c r="Y10394"/>
  <c r="Y10395"/>
  <c r="Y10396"/>
  <c r="Z10396" s="1"/>
  <c r="Y10397"/>
  <c r="Z10397" s="1"/>
  <c r="Y10398"/>
  <c r="Y10399"/>
  <c r="Y10400"/>
  <c r="Y10401"/>
  <c r="Y10402"/>
  <c r="Y10403"/>
  <c r="Y10404"/>
  <c r="Y10405"/>
  <c r="Z10405" s="1"/>
  <c r="Y10406"/>
  <c r="Y10407"/>
  <c r="Y10408"/>
  <c r="Y10409"/>
  <c r="Z10409" s="1"/>
  <c r="Y10410"/>
  <c r="Y10411"/>
  <c r="Y10412"/>
  <c r="Y10413"/>
  <c r="Y10414"/>
  <c r="Y10415"/>
  <c r="Y10416"/>
  <c r="Y10417"/>
  <c r="Z10417" s="1"/>
  <c r="Y10418"/>
  <c r="Y10419"/>
  <c r="Y10420"/>
  <c r="Y10421"/>
  <c r="Z10421" s="1"/>
  <c r="Y10422"/>
  <c r="Y10423"/>
  <c r="Y10424"/>
  <c r="Y10425"/>
  <c r="Y10426"/>
  <c r="Y10427"/>
  <c r="Y10428"/>
  <c r="Y10429"/>
  <c r="Z10429" s="1"/>
  <c r="Y10430"/>
  <c r="Y10431"/>
  <c r="Y10432"/>
  <c r="Y10433"/>
  <c r="Z10433" s="1"/>
  <c r="Y10434"/>
  <c r="Y10435"/>
  <c r="Y10436"/>
  <c r="Y10437"/>
  <c r="Z10437" s="1"/>
  <c r="Y10438"/>
  <c r="Y10439"/>
  <c r="Y10440"/>
  <c r="Y10441"/>
  <c r="Y10442"/>
  <c r="Y10443"/>
  <c r="Y10444"/>
  <c r="Y10445"/>
  <c r="Z10445" s="1"/>
  <c r="Y10446"/>
  <c r="Y10447"/>
  <c r="Y10448"/>
  <c r="Y10449"/>
  <c r="Z10449" s="1"/>
  <c r="Y10450"/>
  <c r="Y10451"/>
  <c r="Y10452"/>
  <c r="Y10453"/>
  <c r="Z10453" s="1"/>
  <c r="Y10454"/>
  <c r="Y10455"/>
  <c r="Y10456"/>
  <c r="Y10457"/>
  <c r="Y10458"/>
  <c r="Y10459"/>
  <c r="Y10460"/>
  <c r="Y10461"/>
  <c r="Z10461" s="1"/>
  <c r="Y10462"/>
  <c r="Y10463"/>
  <c r="Y10464"/>
  <c r="Y10465"/>
  <c r="Z10465" s="1"/>
  <c r="Y10466"/>
  <c r="Y10467"/>
  <c r="Y10468"/>
  <c r="Z10468" s="1"/>
  <c r="Y10469"/>
  <c r="Z10469" s="1"/>
  <c r="Y10470"/>
  <c r="Y10471"/>
  <c r="Y10472"/>
  <c r="Y10473"/>
  <c r="Z10473" s="1"/>
  <c r="Y10474"/>
  <c r="Y10475"/>
  <c r="Y10476"/>
  <c r="Y10477"/>
  <c r="Z10477" s="1"/>
  <c r="Y10478"/>
  <c r="Y10479"/>
  <c r="Y10480"/>
  <c r="Z10480" s="1"/>
  <c r="Y10481"/>
  <c r="Z10481" s="1"/>
  <c r="Y10482"/>
  <c r="Y10483"/>
  <c r="Y10484"/>
  <c r="Y10485"/>
  <c r="Z10485" s="1"/>
  <c r="Y10486"/>
  <c r="Y10487"/>
  <c r="Y10488"/>
  <c r="Y10489"/>
  <c r="Z10489" s="1"/>
  <c r="Y10490"/>
  <c r="Y10491"/>
  <c r="Y10492"/>
  <c r="Y10493"/>
  <c r="Y10494"/>
  <c r="Y10495"/>
  <c r="Y10496"/>
  <c r="Z10496" s="1"/>
  <c r="Y10497"/>
  <c r="Z10497" s="1"/>
  <c r="Y10498"/>
  <c r="Y10499"/>
  <c r="Y10500"/>
  <c r="Y10501"/>
  <c r="Z10501" s="1"/>
  <c r="Y10502"/>
  <c r="Y10503"/>
  <c r="Y10504"/>
  <c r="Y10505"/>
  <c r="Y10506"/>
  <c r="Y10507"/>
  <c r="Y10508"/>
  <c r="Z10508" s="1"/>
  <c r="Y10509"/>
  <c r="Z10509" s="1"/>
  <c r="Y10510"/>
  <c r="Y10511"/>
  <c r="Y10512"/>
  <c r="Z10512" s="1"/>
  <c r="Y10513"/>
  <c r="Z10513" s="1"/>
  <c r="Y10514"/>
  <c r="Y10515"/>
  <c r="Y10516"/>
  <c r="Y10517"/>
  <c r="Z10517" s="1"/>
  <c r="Y10518"/>
  <c r="Y10519"/>
  <c r="Y10520"/>
  <c r="Y10521"/>
  <c r="Z10521" s="1"/>
  <c r="Y10522"/>
  <c r="Y10523"/>
  <c r="Y10524"/>
  <c r="Y10525"/>
  <c r="Z10525" s="1"/>
  <c r="Y10526"/>
  <c r="Y10527"/>
  <c r="Y10528"/>
  <c r="Y10529"/>
  <c r="Y10530"/>
  <c r="Y10531"/>
  <c r="Y10532"/>
  <c r="Y10533"/>
  <c r="Y10534"/>
  <c r="Y10535"/>
  <c r="Y10536"/>
  <c r="Y10537"/>
  <c r="Z10537" s="1"/>
  <c r="Y10538"/>
  <c r="Y10539"/>
  <c r="Y10540"/>
  <c r="Y10541"/>
  <c r="Z10541" s="1"/>
  <c r="Y10542"/>
  <c r="Y10543"/>
  <c r="Y10544"/>
  <c r="Y10545"/>
  <c r="Z10545" s="1"/>
  <c r="Y10546"/>
  <c r="Y10547"/>
  <c r="Y10548"/>
  <c r="Z10548" s="1"/>
  <c r="Y10549"/>
  <c r="Z10549" s="1"/>
  <c r="Y10550"/>
  <c r="Y10551"/>
  <c r="Y10552"/>
  <c r="Y10553"/>
  <c r="Z10553" s="1"/>
  <c r="Y10554"/>
  <c r="Y10555"/>
  <c r="Y10556"/>
  <c r="Y10557"/>
  <c r="Z10557" s="1"/>
  <c r="Y10558"/>
  <c r="Y10559"/>
  <c r="Y10560"/>
  <c r="Y10561"/>
  <c r="Z10561" s="1"/>
  <c r="Y10562"/>
  <c r="Y10563"/>
  <c r="Y10564"/>
  <c r="Z10564" s="1"/>
  <c r="Y10565"/>
  <c r="Y10566"/>
  <c r="Y10567"/>
  <c r="Y10568"/>
  <c r="Y10569"/>
  <c r="Z10569" s="1"/>
  <c r="Y10570"/>
  <c r="Y10571"/>
  <c r="Y10572"/>
  <c r="Y10573"/>
  <c r="Y10574"/>
  <c r="Y10575"/>
  <c r="Y10576"/>
  <c r="Y10577"/>
  <c r="Z10577" s="1"/>
  <c r="Y10578"/>
  <c r="Y10579"/>
  <c r="Y10580"/>
  <c r="Z10580" s="1"/>
  <c r="Y10581"/>
  <c r="Y10582"/>
  <c r="Y10583"/>
  <c r="Y10584"/>
  <c r="Y10585"/>
  <c r="Z10585" s="1"/>
  <c r="Y10586"/>
  <c r="Y10587"/>
  <c r="Y10588"/>
  <c r="Y10589"/>
  <c r="Y10590"/>
  <c r="Y10591"/>
  <c r="Y10592"/>
  <c r="Z10592" s="1"/>
  <c r="Y10593"/>
  <c r="Z10593" s="1"/>
  <c r="Y10594"/>
  <c r="Y10595"/>
  <c r="Y10596"/>
  <c r="Y10597"/>
  <c r="Z10597" s="1"/>
  <c r="Y10598"/>
  <c r="Y10599"/>
  <c r="Y10600"/>
  <c r="Y10601"/>
  <c r="Z10601" s="1"/>
  <c r="Y10602"/>
  <c r="Y10603"/>
  <c r="Y10604"/>
  <c r="Z10604" s="1"/>
  <c r="Y10605"/>
  <c r="Z10605" s="1"/>
  <c r="Y10606"/>
  <c r="Y10607"/>
  <c r="Y10608"/>
  <c r="Y10609"/>
  <c r="Y10610"/>
  <c r="Y10611"/>
  <c r="Y10612"/>
  <c r="Y10613"/>
  <c r="Y10614"/>
  <c r="Y10615"/>
  <c r="Y10616"/>
  <c r="Y10617"/>
  <c r="Z10617" s="1"/>
  <c r="Y10618"/>
  <c r="Y10619"/>
  <c r="Y10620"/>
  <c r="Z10620" s="1"/>
  <c r="Y10621"/>
  <c r="Y10622"/>
  <c r="Y10623"/>
  <c r="Y10624"/>
  <c r="Z10624" s="1"/>
  <c r="Y10625"/>
  <c r="Y10626"/>
  <c r="Y10627"/>
  <c r="Y10628"/>
  <c r="Y10629"/>
  <c r="Z10629" s="1"/>
  <c r="Y10630"/>
  <c r="Y10631"/>
  <c r="Y10632"/>
  <c r="Y10633"/>
  <c r="Y10634"/>
  <c r="Y10635"/>
  <c r="Y10636"/>
  <c r="Y10637"/>
  <c r="Y10638"/>
  <c r="Y10639"/>
  <c r="Y10640"/>
  <c r="Y10641"/>
  <c r="Y10642"/>
  <c r="Y10643"/>
  <c r="Y10644"/>
  <c r="Y10645"/>
  <c r="Z10645" s="1"/>
  <c r="Y10646"/>
  <c r="Y10647"/>
  <c r="Y10648"/>
  <c r="Y10649"/>
  <c r="Z10649" s="1"/>
  <c r="Y10650"/>
  <c r="Y10651"/>
  <c r="Y10652"/>
  <c r="Z10652" s="1"/>
  <c r="Y10653"/>
  <c r="Y10654"/>
  <c r="Y10655"/>
  <c r="Y10656"/>
  <c r="Z10656" s="1"/>
  <c r="Y10657"/>
  <c r="Z10657" s="1"/>
  <c r="Y10658"/>
  <c r="Y10659"/>
  <c r="Y10660"/>
  <c r="Y10661"/>
  <c r="Y10662"/>
  <c r="Y10663"/>
  <c r="Y10664"/>
  <c r="Y10665"/>
  <c r="Z10665" s="1"/>
  <c r="Y10666"/>
  <c r="Y10667"/>
  <c r="Y10668"/>
  <c r="Z10668" s="1"/>
  <c r="Y10669"/>
  <c r="Z10669" s="1"/>
  <c r="Y10670"/>
  <c r="Y10671"/>
  <c r="Y10672"/>
  <c r="Y10673"/>
  <c r="Y10674"/>
  <c r="Y10675"/>
  <c r="Y10676"/>
  <c r="Z10676" s="1"/>
  <c r="Y10677"/>
  <c r="Z10677" s="1"/>
  <c r="Y10678"/>
  <c r="Y10679"/>
  <c r="Y10680"/>
  <c r="Y10681"/>
  <c r="Z10681" s="1"/>
  <c r="Y10682"/>
  <c r="Y10683"/>
  <c r="Y10684"/>
  <c r="Y10685"/>
  <c r="Y10686"/>
  <c r="Y10687"/>
  <c r="Y10688"/>
  <c r="Z10688" s="1"/>
  <c r="Y10689"/>
  <c r="Z10689" s="1"/>
  <c r="Y10690"/>
  <c r="Y10691"/>
  <c r="Y10692"/>
  <c r="Y10693"/>
  <c r="Z10693" s="1"/>
  <c r="Y10694"/>
  <c r="Y10695"/>
  <c r="Y10696"/>
  <c r="Y10697"/>
  <c r="Z10697" s="1"/>
  <c r="Y10698"/>
  <c r="Y10699"/>
  <c r="Y10700"/>
  <c r="Y10701"/>
  <c r="Z10701" s="1"/>
  <c r="Y10702"/>
  <c r="Y10703"/>
  <c r="Y10704"/>
  <c r="Y10705"/>
  <c r="Z10705" s="1"/>
  <c r="Y10706"/>
  <c r="Y10707"/>
  <c r="Y10708"/>
  <c r="Z10708" s="1"/>
  <c r="Y10709"/>
  <c r="Z10709" s="1"/>
  <c r="Y10710"/>
  <c r="Y10711"/>
  <c r="Y10712"/>
  <c r="Y10713"/>
  <c r="Z10713" s="1"/>
  <c r="Y10714"/>
  <c r="Y10715"/>
  <c r="Y10716"/>
  <c r="Y10717"/>
  <c r="Z10717" s="1"/>
  <c r="Y10718"/>
  <c r="Y10719"/>
  <c r="Y10720"/>
  <c r="Z10720" s="1"/>
  <c r="Y10721"/>
  <c r="Y10722"/>
  <c r="Y10723"/>
  <c r="Y10724"/>
  <c r="Y10725"/>
  <c r="Y10726"/>
  <c r="Y10727"/>
  <c r="Y10728"/>
  <c r="Y10729"/>
  <c r="Z10729" s="1"/>
  <c r="Y10730"/>
  <c r="Y10731"/>
  <c r="Y10732"/>
  <c r="Y10733"/>
  <c r="Z10733" s="1"/>
  <c r="Y10734"/>
  <c r="Y10735"/>
  <c r="Y10736"/>
  <c r="Z10736" s="1"/>
  <c r="Y10737"/>
  <c r="Z10737" s="1"/>
  <c r="Y10738"/>
  <c r="Y10739"/>
  <c r="Y10740"/>
  <c r="Y10741"/>
  <c r="Z10741" s="1"/>
  <c r="Y10742"/>
  <c r="Y10743"/>
  <c r="Y10744"/>
  <c r="Y10745"/>
  <c r="Y10746"/>
  <c r="Y10747"/>
  <c r="Y10748"/>
  <c r="Z10748" s="1"/>
  <c r="Y10749"/>
  <c r="Z10749" s="1"/>
  <c r="Y10750"/>
  <c r="Y10751"/>
  <c r="Y10752"/>
  <c r="Y10753"/>
  <c r="Z10753" s="1"/>
  <c r="Y10754"/>
  <c r="Y10755"/>
  <c r="Y10756"/>
  <c r="Y10757"/>
  <c r="Z10757" s="1"/>
  <c r="Y10758"/>
  <c r="Y10759"/>
  <c r="Y10760"/>
  <c r="Z10760" s="1"/>
  <c r="Y10761"/>
  <c r="Z10761" s="1"/>
  <c r="Y10762"/>
  <c r="Y10763"/>
  <c r="Y10764"/>
  <c r="Y10765"/>
  <c r="Z10765" s="1"/>
  <c r="Y10766"/>
  <c r="Y10767"/>
  <c r="Y10768"/>
  <c r="Z10768" s="1"/>
  <c r="Y10769"/>
  <c r="Z10769" s="1"/>
  <c r="Y10770"/>
  <c r="Y10771"/>
  <c r="Y10772"/>
  <c r="Y10773"/>
  <c r="Z10773" s="1"/>
  <c r="Y10774"/>
  <c r="Y10775"/>
  <c r="Y10776"/>
  <c r="Y10777"/>
  <c r="Y10778"/>
  <c r="Y10779"/>
  <c r="Y10780"/>
  <c r="Y10781"/>
  <c r="Z10781" s="1"/>
  <c r="Y10782"/>
  <c r="Y10783"/>
  <c r="Y10784"/>
  <c r="Y10785"/>
  <c r="Z10785" s="1"/>
  <c r="Y10786"/>
  <c r="Y10787"/>
  <c r="Y10788"/>
  <c r="Z10788" s="1"/>
  <c r="Y10789"/>
  <c r="Z10789" s="1"/>
  <c r="Y10790"/>
  <c r="Y10791"/>
  <c r="Y10792"/>
  <c r="Y10793"/>
  <c r="Z10793" s="1"/>
  <c r="Y10794"/>
  <c r="Y10795"/>
  <c r="Y10796"/>
  <c r="Y10797"/>
  <c r="Z10797" s="1"/>
  <c r="Y10798"/>
  <c r="Y10799"/>
  <c r="Y10800"/>
  <c r="Y10801"/>
  <c r="Z10801" s="1"/>
  <c r="Y10802"/>
  <c r="Y10803"/>
  <c r="Y10804"/>
  <c r="Y10805"/>
  <c r="Z10805" s="1"/>
  <c r="Y10806"/>
  <c r="Y10807"/>
  <c r="Y10808"/>
  <c r="Y10809"/>
  <c r="Z10809" s="1"/>
  <c r="Y10810"/>
  <c r="Y10811"/>
  <c r="Y10812"/>
  <c r="Y10813"/>
  <c r="Z10813" s="1"/>
  <c r="Y10814"/>
  <c r="Y10815"/>
  <c r="Y10816"/>
  <c r="Y10817"/>
  <c r="Z10817" s="1"/>
  <c r="Y10818"/>
  <c r="Y10819"/>
  <c r="Y10820"/>
  <c r="Z10820" s="1"/>
  <c r="Y10821"/>
  <c r="Y10822"/>
  <c r="Y10823"/>
  <c r="Y10824"/>
  <c r="Z10824" s="1"/>
  <c r="Y10825"/>
  <c r="Y10826"/>
  <c r="Y10827"/>
  <c r="Y10828"/>
  <c r="Y10829"/>
  <c r="Y10830"/>
  <c r="Y10831"/>
  <c r="Y10832"/>
  <c r="Y10833"/>
  <c r="Z10833" s="1"/>
  <c r="Y10834"/>
  <c r="Y10835"/>
  <c r="Y10836"/>
  <c r="Y10837"/>
  <c r="Y10838"/>
  <c r="Y10839"/>
  <c r="Y10840"/>
  <c r="Y10841"/>
  <c r="Y10842"/>
  <c r="Y10843"/>
  <c r="Y10844"/>
  <c r="Y10845"/>
  <c r="Y10846"/>
  <c r="Y10847"/>
  <c r="Y10848"/>
  <c r="Z10848" s="1"/>
  <c r="Y10849"/>
  <c r="Z10849" s="1"/>
  <c r="Y10850"/>
  <c r="Y10851"/>
  <c r="Y10852"/>
  <c r="Y10853"/>
  <c r="Z10853" s="1"/>
  <c r="Y10854"/>
  <c r="Y10855"/>
  <c r="Y10856"/>
  <c r="Z10856" s="1"/>
  <c r="Y10857"/>
  <c r="Y10858"/>
  <c r="Y10859"/>
  <c r="Y10860"/>
  <c r="Y10861"/>
  <c r="Z10861" s="1"/>
  <c r="Y10862"/>
  <c r="Y10863"/>
  <c r="Y10864"/>
  <c r="Y10865"/>
  <c r="Y10866"/>
  <c r="Y10867"/>
  <c r="Y10868"/>
  <c r="Z10868" s="1"/>
  <c r="Y10869"/>
  <c r="Y10870"/>
  <c r="Y10871"/>
  <c r="Y10872"/>
  <c r="Y10873"/>
  <c r="Z10873" s="1"/>
  <c r="Y10874"/>
  <c r="Y10875"/>
  <c r="Y10876"/>
  <c r="Y10877"/>
  <c r="Z10877" s="1"/>
  <c r="Y10878"/>
  <c r="Y10879"/>
  <c r="Y10880"/>
  <c r="Y10881"/>
  <c r="Z10881" s="1"/>
  <c r="Y10882"/>
  <c r="Y10883"/>
  <c r="Y10884"/>
  <c r="Z10884" s="1"/>
  <c r="Y10885"/>
  <c r="Z10885" s="1"/>
  <c r="Y10886"/>
  <c r="Y10887"/>
  <c r="Y10888"/>
  <c r="Y10889"/>
  <c r="Y10890"/>
  <c r="Y10891"/>
  <c r="Y10892"/>
  <c r="Y10893"/>
  <c r="Y10894"/>
  <c r="Y10895"/>
  <c r="Y10896"/>
  <c r="Y10897"/>
  <c r="Y10898"/>
  <c r="Y10899"/>
  <c r="Y10900"/>
  <c r="Z10900" s="1"/>
  <c r="Y10901"/>
  <c r="Y10902"/>
  <c r="Y10903"/>
  <c r="Y10904"/>
  <c r="Y10905"/>
  <c r="Y10906"/>
  <c r="Y10907"/>
  <c r="Y10908"/>
  <c r="Y10909"/>
  <c r="Y10910"/>
  <c r="Y10911"/>
  <c r="Y10912"/>
  <c r="Y10913"/>
  <c r="Y10914"/>
  <c r="Y10915"/>
  <c r="Y10916"/>
  <c r="Z10916" s="1"/>
  <c r="Y10917"/>
  <c r="Y10918"/>
  <c r="Y10919"/>
  <c r="Y10920"/>
  <c r="Z10920" s="1"/>
  <c r="Y10921"/>
  <c r="Y10922"/>
  <c r="Y10923"/>
  <c r="Y10924"/>
  <c r="Y10925"/>
  <c r="Y10926"/>
  <c r="Y10927"/>
  <c r="Y10928"/>
  <c r="Y10929"/>
  <c r="Y10930"/>
  <c r="Y10931"/>
  <c r="Y10932"/>
  <c r="Y10933"/>
  <c r="Y10934"/>
  <c r="Y10935"/>
  <c r="Y10936"/>
  <c r="Z10936" s="1"/>
  <c r="Y10937"/>
  <c r="Y10938"/>
  <c r="Y10939"/>
  <c r="Y10940"/>
  <c r="Z10940" s="1"/>
  <c r="Y10941"/>
  <c r="Y10942"/>
  <c r="Y10943"/>
  <c r="Y10944"/>
  <c r="Y10945"/>
  <c r="Y10946"/>
  <c r="Y10947"/>
  <c r="Y10948"/>
  <c r="Y10949"/>
  <c r="Y10950"/>
  <c r="Y10951"/>
  <c r="Y10952"/>
  <c r="Z10952" s="1"/>
  <c r="Y10953"/>
  <c r="Y10954"/>
  <c r="Y10955"/>
  <c r="Y10956"/>
  <c r="Y10957"/>
  <c r="Z10957" s="1"/>
  <c r="Y10958"/>
  <c r="Y10959"/>
  <c r="Y10960"/>
  <c r="Y10961"/>
  <c r="Z10961" s="1"/>
  <c r="Y10962"/>
  <c r="Y10963"/>
  <c r="Y10964"/>
  <c r="Y10965"/>
  <c r="Z10965" s="1"/>
  <c r="Y10966"/>
  <c r="Y10967"/>
  <c r="Y10968"/>
  <c r="Z10968" s="1"/>
  <c r="Y10969"/>
  <c r="Z10969" s="1"/>
  <c r="Y10970"/>
  <c r="Y10971"/>
  <c r="Y10972"/>
  <c r="Y10973"/>
  <c r="Z10973" s="1"/>
  <c r="Y10974"/>
  <c r="Y10975"/>
  <c r="Y10976"/>
  <c r="Y10977"/>
  <c r="Z10977" s="1"/>
  <c r="Y10978"/>
  <c r="Y10979"/>
  <c r="Y10980"/>
  <c r="Y10981"/>
  <c r="Z10981" s="1"/>
  <c r="Y10982"/>
  <c r="Y10983"/>
  <c r="Y10984"/>
  <c r="Z10984" s="1"/>
  <c r="Y10985"/>
  <c r="Z10985" s="1"/>
  <c r="Y10986"/>
  <c r="Y10987"/>
  <c r="Y10988"/>
  <c r="Y10989"/>
  <c r="Z10989" s="1"/>
  <c r="Y10990"/>
  <c r="Y10991"/>
  <c r="Y10992"/>
  <c r="Y10993"/>
  <c r="Z10993" s="1"/>
  <c r="Y10994"/>
  <c r="Y10995"/>
  <c r="Y10996"/>
  <c r="Y10997"/>
  <c r="Z10997" s="1"/>
  <c r="Y10998"/>
  <c r="Y10999"/>
  <c r="Y11000"/>
  <c r="Y11001"/>
  <c r="Z11001" s="1"/>
  <c r="Y11002"/>
  <c r="Y11003"/>
  <c r="Y11004"/>
  <c r="Y11005"/>
  <c r="Z11005" s="1"/>
  <c r="Y11006"/>
  <c r="Y11007"/>
  <c r="Y11008"/>
  <c r="Z11008" s="1"/>
  <c r="Y11009"/>
  <c r="Z11009" s="1"/>
  <c r="Y11010"/>
  <c r="Y11011"/>
  <c r="Y11012"/>
  <c r="Y11013"/>
  <c r="Z11013" s="1"/>
  <c r="Y11014"/>
  <c r="Y11015"/>
  <c r="Y11016"/>
  <c r="Z11016" s="1"/>
  <c r="Y11017"/>
  <c r="Z11017" s="1"/>
  <c r="Y11018"/>
  <c r="Y11019"/>
  <c r="Y11020"/>
  <c r="Y11021"/>
  <c r="Z11021" s="1"/>
  <c r="Y11022"/>
  <c r="Y11023"/>
  <c r="Y11024"/>
  <c r="Y11025"/>
  <c r="Z11025" s="1"/>
  <c r="Y11026"/>
  <c r="Y11027"/>
  <c r="Y11028"/>
  <c r="Y11029"/>
  <c r="Z11029" s="1"/>
  <c r="Y11030"/>
  <c r="Y11031"/>
  <c r="Y11032"/>
  <c r="Y11033"/>
  <c r="Z11033" s="1"/>
  <c r="Y11034"/>
  <c r="Y11035"/>
  <c r="Y11036"/>
  <c r="Y11037"/>
  <c r="Z11037" s="1"/>
  <c r="Y11038"/>
  <c r="Y11039"/>
  <c r="Y11040"/>
  <c r="Y11041"/>
  <c r="Z11041" s="1"/>
  <c r="Y11042"/>
  <c r="Y11043"/>
  <c r="Y11044"/>
  <c r="Y11045"/>
  <c r="Z11045" s="1"/>
  <c r="Y11046"/>
  <c r="Y11047"/>
  <c r="Y11048"/>
  <c r="Z11048" s="1"/>
  <c r="Y11049"/>
  <c r="Z11049" s="1"/>
  <c r="Y11050"/>
  <c r="Y11051"/>
  <c r="Y11052"/>
  <c r="Y11053"/>
  <c r="Z11053" s="1"/>
  <c r="Y11054"/>
  <c r="Y11055"/>
  <c r="Y11056"/>
  <c r="Z11056" s="1"/>
  <c r="Y11057"/>
  <c r="Z11057" s="1"/>
  <c r="Y11058"/>
  <c r="Y11059"/>
  <c r="Y11060"/>
  <c r="Y11061"/>
  <c r="Z11061" s="1"/>
  <c r="Y11062"/>
  <c r="Y11063"/>
  <c r="Y11064"/>
  <c r="Y11065"/>
  <c r="Z11065" s="1"/>
  <c r="Y11066"/>
  <c r="Y11067"/>
  <c r="Y11068"/>
  <c r="Y11069"/>
  <c r="Z11069" s="1"/>
  <c r="Y11070"/>
  <c r="Y11071"/>
  <c r="Y11072"/>
  <c r="Y11073"/>
  <c r="Z11073" s="1"/>
  <c r="Y11074"/>
  <c r="Y11075"/>
  <c r="Y11076"/>
  <c r="Y11077"/>
  <c r="Z11077" s="1"/>
  <c r="Y11078"/>
  <c r="Y11079"/>
  <c r="Y11080"/>
  <c r="Z11080" s="1"/>
  <c r="Y11081"/>
  <c r="Z11081" s="1"/>
  <c r="Y11082"/>
  <c r="Y11083"/>
  <c r="Y11084"/>
  <c r="Y11085"/>
  <c r="Z11085" s="1"/>
  <c r="Y11086"/>
  <c r="Y11087"/>
  <c r="Y11088"/>
  <c r="Y11089"/>
  <c r="Z11089" s="1"/>
  <c r="Y11090"/>
  <c r="Y11091"/>
  <c r="Y11092"/>
  <c r="Y11093"/>
  <c r="Z11093" s="1"/>
  <c r="Y11094"/>
  <c r="Y11095"/>
  <c r="Y11096"/>
  <c r="Z11096" s="1"/>
  <c r="Y11097"/>
  <c r="Z11097" s="1"/>
  <c r="Y11098"/>
  <c r="Y11099"/>
  <c r="Y11100"/>
  <c r="Y11101"/>
  <c r="Z11101" s="1"/>
  <c r="Y11102"/>
  <c r="Y11103"/>
  <c r="Y11104"/>
  <c r="Y11105"/>
  <c r="Z11105" s="1"/>
  <c r="Y11106"/>
  <c r="Y11107"/>
  <c r="Y11108"/>
  <c r="Y11109"/>
  <c r="Z11109" s="1"/>
  <c r="Y11110"/>
  <c r="Y11111"/>
  <c r="Y11112"/>
  <c r="Z11112" s="1"/>
  <c r="Y11113"/>
  <c r="Z11113" s="1"/>
  <c r="Y11114"/>
  <c r="Y11115"/>
  <c r="Y11116"/>
  <c r="Y11117"/>
  <c r="Z11117" s="1"/>
  <c r="Y11118"/>
  <c r="Y11119"/>
  <c r="Y11120"/>
  <c r="Y11121"/>
  <c r="Z11121" s="1"/>
  <c r="Y11122"/>
  <c r="Y11123"/>
  <c r="Y11124"/>
  <c r="Y11125"/>
  <c r="Z11125" s="1"/>
  <c r="Y11126"/>
  <c r="Y11127"/>
  <c r="Y11128"/>
  <c r="Y11129"/>
  <c r="Z11129" s="1"/>
  <c r="Y11130"/>
  <c r="Y11131"/>
  <c r="Y11132"/>
  <c r="Y11133"/>
  <c r="Z11133" s="1"/>
  <c r="Y11134"/>
  <c r="Y11135"/>
  <c r="Y11136"/>
  <c r="Z11136" s="1"/>
  <c r="Y11137"/>
  <c r="Z11137" s="1"/>
  <c r="Y11138"/>
  <c r="Y11139"/>
  <c r="Y11140"/>
  <c r="Y11141"/>
  <c r="Z11141" s="1"/>
  <c r="Y11142"/>
  <c r="Y11143"/>
  <c r="Y11144"/>
  <c r="Z11144" s="1"/>
  <c r="Y11145"/>
  <c r="Z11145" s="1"/>
  <c r="Y11146"/>
  <c r="Y11147"/>
  <c r="Y11148"/>
  <c r="Y11149"/>
  <c r="Z11149" s="1"/>
  <c r="Y11150"/>
  <c r="Y11151"/>
  <c r="Y11152"/>
  <c r="Y11153"/>
  <c r="Z11153" s="1"/>
  <c r="Y11154"/>
  <c r="Y11155"/>
  <c r="Y11156"/>
  <c r="Y11157"/>
  <c r="Z11157" s="1"/>
  <c r="Y11158"/>
  <c r="Y11159"/>
  <c r="Y11160"/>
  <c r="Y11161"/>
  <c r="Z11161" s="1"/>
  <c r="Y11162"/>
  <c r="Y11163"/>
  <c r="Y11164"/>
  <c r="Y11165"/>
  <c r="Y11166"/>
  <c r="Y11167"/>
  <c r="Y11168"/>
  <c r="Y11169"/>
  <c r="Z11169" s="1"/>
  <c r="Y11170"/>
  <c r="Y11171"/>
  <c r="Y11172"/>
  <c r="Y11173"/>
  <c r="Z11173" s="1"/>
  <c r="Y11174"/>
  <c r="Y11175"/>
  <c r="Y11176"/>
  <c r="Z11176" s="1"/>
  <c r="Y11177"/>
  <c r="Z11177" s="1"/>
  <c r="Y11178"/>
  <c r="Y11179"/>
  <c r="Y11180"/>
  <c r="Y11181"/>
  <c r="Z11181" s="1"/>
  <c r="Y11182"/>
  <c r="Y11183"/>
  <c r="Y11184"/>
  <c r="Z11184" s="1"/>
  <c r="Y11185"/>
  <c r="Z11185" s="1"/>
  <c r="Y11186"/>
  <c r="Y11187"/>
  <c r="Y11188"/>
  <c r="Y11189"/>
  <c r="Z11189" s="1"/>
  <c r="Y11190"/>
  <c r="Y11191"/>
  <c r="Y11192"/>
  <c r="Y11193"/>
  <c r="Z11193" s="1"/>
  <c r="Y11194"/>
  <c r="Y11195"/>
  <c r="Y11196"/>
  <c r="Y11197"/>
  <c r="Z11197" s="1"/>
  <c r="Y11198"/>
  <c r="Y11199"/>
  <c r="Y11200"/>
  <c r="Y11201"/>
  <c r="Z11201" s="1"/>
  <c r="Y11202"/>
  <c r="Y11203"/>
  <c r="Y11204"/>
  <c r="Y11205"/>
  <c r="Z11205" s="1"/>
  <c r="Y11206"/>
  <c r="Y11207"/>
  <c r="Y11208"/>
  <c r="Z11208" s="1"/>
  <c r="Y11209"/>
  <c r="Z11209" s="1"/>
  <c r="Y11210"/>
  <c r="Y11211"/>
  <c r="Y11212"/>
  <c r="Y11213"/>
  <c r="Z11213" s="1"/>
  <c r="Y11214"/>
  <c r="Y11215"/>
  <c r="Y11216"/>
  <c r="Y11217"/>
  <c r="Z11217" s="1"/>
  <c r="Y11218"/>
  <c r="Y11219"/>
  <c r="Y11220"/>
  <c r="Y11221"/>
  <c r="Z11221" s="1"/>
  <c r="Y11222"/>
  <c r="Y11223"/>
  <c r="Y11224"/>
  <c r="Z11224" s="1"/>
  <c r="Y11225"/>
  <c r="Z11225" s="1"/>
  <c r="Y11226"/>
  <c r="Y11227"/>
  <c r="Y11228"/>
  <c r="Y11229"/>
  <c r="Z11229" s="1"/>
  <c r="Y11230"/>
  <c r="Y11231"/>
  <c r="Y11232"/>
  <c r="Y11233"/>
  <c r="Z11233" s="1"/>
  <c r="Y11234"/>
  <c r="Y11235"/>
  <c r="Y11236"/>
  <c r="Y11237"/>
  <c r="Z11237" s="1"/>
  <c r="Y11238"/>
  <c r="Y11239"/>
  <c r="Y11240"/>
  <c r="Z11240" s="1"/>
  <c r="Y11241"/>
  <c r="Z11241" s="1"/>
  <c r="Y11242"/>
  <c r="Y11243"/>
  <c r="Y11244"/>
  <c r="Y11245"/>
  <c r="Z11245" s="1"/>
  <c r="Y11246"/>
  <c r="Y11247"/>
  <c r="Y11248"/>
  <c r="Y11249"/>
  <c r="Z11249" s="1"/>
  <c r="Y11250"/>
  <c r="Y11251"/>
  <c r="Y11252"/>
  <c r="Y11253"/>
  <c r="Z11253" s="1"/>
  <c r="Y11254"/>
  <c r="Y11255"/>
  <c r="Y11256"/>
  <c r="Y11257"/>
  <c r="Z11257" s="1"/>
  <c r="Y11258"/>
  <c r="Y11259"/>
  <c r="Y11260"/>
  <c r="Y11261"/>
  <c r="Z11261" s="1"/>
  <c r="Y11262"/>
  <c r="Y11263"/>
  <c r="Y11264"/>
  <c r="Z11264" s="1"/>
  <c r="Y11265"/>
  <c r="Z11265" s="1"/>
  <c r="Y11266"/>
  <c r="Y11267"/>
  <c r="Y11268"/>
  <c r="Y11269"/>
  <c r="Z11269" s="1"/>
  <c r="Y11270"/>
  <c r="Y11271"/>
  <c r="Y11272"/>
  <c r="Z11272" s="1"/>
  <c r="Y11273"/>
  <c r="Z11273" s="1"/>
  <c r="Y11274"/>
  <c r="Y11275"/>
  <c r="Y11276"/>
  <c r="Y11277"/>
  <c r="Z11277" s="1"/>
  <c r="Y11278"/>
  <c r="Y11279"/>
  <c r="Y11280"/>
  <c r="Y11281"/>
  <c r="Z11281" s="1"/>
  <c r="Y11282"/>
  <c r="Y11283"/>
  <c r="Y11284"/>
  <c r="Y11285"/>
  <c r="Z11285" s="1"/>
  <c r="Y11286"/>
  <c r="Y11287"/>
  <c r="Y11288"/>
  <c r="Y11289"/>
  <c r="Z11289" s="1"/>
  <c r="Y11290"/>
  <c r="Y11291"/>
  <c r="Y11292"/>
  <c r="Y11293"/>
  <c r="Z11293" s="1"/>
  <c r="Y11294"/>
  <c r="Y11295"/>
  <c r="Y11296"/>
  <c r="Y11297"/>
  <c r="Z11297" s="1"/>
  <c r="Y11298"/>
  <c r="Y11299"/>
  <c r="Y11300"/>
  <c r="Y11301"/>
  <c r="Z11301" s="1"/>
  <c r="Y11302"/>
  <c r="Y11303"/>
  <c r="Y11304"/>
  <c r="Z11304" s="1"/>
  <c r="Y11305"/>
  <c r="Z11305" s="1"/>
  <c r="Y11306"/>
  <c r="Y11307"/>
  <c r="Y11308"/>
  <c r="Y11309"/>
  <c r="Z11309" s="1"/>
  <c r="Y11310"/>
  <c r="Y11311"/>
  <c r="Y11312"/>
  <c r="Z11312" s="1"/>
  <c r="Y11313"/>
  <c r="Z11313" s="1"/>
  <c r="Y11314"/>
  <c r="Y11315"/>
  <c r="Y11316"/>
  <c r="Y11317"/>
  <c r="Z11317" s="1"/>
  <c r="Y11318"/>
  <c r="Y11319"/>
  <c r="Y11320"/>
  <c r="Y11321"/>
  <c r="Z11321" s="1"/>
  <c r="Y11322"/>
  <c r="Y11323"/>
  <c r="Y11324"/>
  <c r="Y11325"/>
  <c r="Z11325" s="1"/>
  <c r="Y11326"/>
  <c r="Y11327"/>
  <c r="Y11328"/>
  <c r="Y11329"/>
  <c r="Z11329" s="1"/>
  <c r="Y11330"/>
  <c r="Y11331"/>
  <c r="Y11332"/>
  <c r="Y11333"/>
  <c r="Z11333" s="1"/>
  <c r="Y11334"/>
  <c r="Y11335"/>
  <c r="Y11336"/>
  <c r="Z11336" s="1"/>
  <c r="Y11337"/>
  <c r="Z11337" s="1"/>
  <c r="Y11338"/>
  <c r="Y11339"/>
  <c r="Y11340"/>
  <c r="Y11341"/>
  <c r="Z11341" s="1"/>
  <c r="Y11342"/>
  <c r="Y11343"/>
  <c r="Y11344"/>
  <c r="Y11345"/>
  <c r="Z11345" s="1"/>
  <c r="Y11346"/>
  <c r="Y11347"/>
  <c r="Y11348"/>
  <c r="Y11349"/>
  <c r="Z11349" s="1"/>
  <c r="Y11350"/>
  <c r="Y11351"/>
  <c r="Y11352"/>
  <c r="Z11352" s="1"/>
  <c r="Y11353"/>
  <c r="Z11353" s="1"/>
  <c r="Y11354"/>
  <c r="Y11355"/>
  <c r="Y11356"/>
  <c r="Y11357"/>
  <c r="Z11357" s="1"/>
  <c r="Y11358"/>
  <c r="Y11359"/>
  <c r="Y11360"/>
  <c r="Y11361"/>
  <c r="Z11361" s="1"/>
  <c r="Y11362"/>
  <c r="Y11363"/>
  <c r="Y11364"/>
  <c r="Y11365"/>
  <c r="Z11365" s="1"/>
  <c r="Y11366"/>
  <c r="Y11367"/>
  <c r="Y11368"/>
  <c r="Z11368" s="1"/>
  <c r="Y11369"/>
  <c r="Y11370"/>
  <c r="Y11371"/>
  <c r="Y11372"/>
  <c r="Y11373"/>
  <c r="Z11373" s="1"/>
  <c r="Y11374"/>
  <c r="Y11375"/>
  <c r="Y11376"/>
  <c r="Y11377"/>
  <c r="Y11378"/>
  <c r="Y11379"/>
  <c r="Y11380"/>
  <c r="Y11381"/>
  <c r="Z11381" s="1"/>
  <c r="Y11382"/>
  <c r="Y11383"/>
  <c r="Y11384"/>
  <c r="Y11385"/>
  <c r="Y11386"/>
  <c r="Y11387"/>
  <c r="Y11388"/>
  <c r="Y11389"/>
  <c r="Z11389" s="1"/>
  <c r="Y11390"/>
  <c r="Y11391"/>
  <c r="Y11392"/>
  <c r="Z11392" s="1"/>
  <c r="Y11393"/>
  <c r="Y11394"/>
  <c r="Y11395"/>
  <c r="Y11396"/>
  <c r="Y11397"/>
  <c r="Z11397" s="1"/>
  <c r="Y11398"/>
  <c r="Y11399"/>
  <c r="Y11400"/>
  <c r="Z11400" s="1"/>
  <c r="Y11401"/>
  <c r="Y11402"/>
  <c r="Y11403"/>
  <c r="Y11404"/>
  <c r="Y11405"/>
  <c r="Z11405" s="1"/>
  <c r="Y11406"/>
  <c r="Y11407"/>
  <c r="Y11408"/>
  <c r="Y11409"/>
  <c r="Y11410"/>
  <c r="Y11411"/>
  <c r="Y11412"/>
  <c r="Y11413"/>
  <c r="Z11413" s="1"/>
  <c r="Y11414"/>
  <c r="Y11415"/>
  <c r="Y11416"/>
  <c r="Y11417"/>
  <c r="Y11418"/>
  <c r="Y11419"/>
  <c r="Y11420"/>
  <c r="Y11421"/>
  <c r="Z11421" s="1"/>
  <c r="Y11422"/>
  <c r="Y11423"/>
  <c r="Y11424"/>
  <c r="Y11425"/>
  <c r="Y11426"/>
  <c r="Y11427"/>
  <c r="Y11428"/>
  <c r="Y11429"/>
  <c r="Z11429" s="1"/>
  <c r="Y11430"/>
  <c r="Y11431"/>
  <c r="Y11432"/>
  <c r="Z11432" s="1"/>
  <c r="Y11433"/>
  <c r="Y11434"/>
  <c r="Y11435"/>
  <c r="Y11436"/>
  <c r="Y11437"/>
  <c r="Z11437" s="1"/>
  <c r="Y11438"/>
  <c r="Y11439"/>
  <c r="Y11440"/>
  <c r="Z11440" s="1"/>
  <c r="Y11441"/>
  <c r="Y11442"/>
  <c r="Y11443"/>
  <c r="Y11444"/>
  <c r="Y11445"/>
  <c r="Z11445" s="1"/>
  <c r="Y11446"/>
  <c r="Y11447"/>
  <c r="Y11448"/>
  <c r="Y11449"/>
  <c r="Y11450"/>
  <c r="Y11451"/>
  <c r="Y11452"/>
  <c r="Y11453"/>
  <c r="Z11453" s="1"/>
  <c r="Y11454"/>
  <c r="Y11455"/>
  <c r="Y11456"/>
  <c r="Y11457"/>
  <c r="Y11458"/>
  <c r="Y11459"/>
  <c r="Y11460"/>
  <c r="Y11461"/>
  <c r="Z11461" s="1"/>
  <c r="Y11462"/>
  <c r="Y11463"/>
  <c r="Y11464"/>
  <c r="Z11464" s="1"/>
  <c r="Y11465"/>
  <c r="Y11466"/>
  <c r="Y11467"/>
  <c r="Y11468"/>
  <c r="Y11469"/>
  <c r="Z11469" s="1"/>
  <c r="Y11470"/>
  <c r="Y11471"/>
  <c r="Y11472"/>
  <c r="Y11473"/>
  <c r="Y11474"/>
  <c r="Y11475"/>
  <c r="Y11476"/>
  <c r="Y11477"/>
  <c r="Z11477" s="1"/>
  <c r="Y11478"/>
  <c r="Y11479"/>
  <c r="Y11480"/>
  <c r="Z11480" s="1"/>
  <c r="Y11481"/>
  <c r="Y11482"/>
  <c r="Y11483"/>
  <c r="Y11484"/>
  <c r="Y11485"/>
  <c r="Z11485" s="1"/>
  <c r="Y11486"/>
  <c r="Y11487"/>
  <c r="Y11488"/>
  <c r="Y11489"/>
  <c r="Y11490"/>
  <c r="Y11491"/>
  <c r="Y11492"/>
  <c r="Y11493"/>
  <c r="Z11493" s="1"/>
  <c r="Y11494"/>
  <c r="Y11495"/>
  <c r="Y11496"/>
  <c r="Z11496" s="1"/>
  <c r="Y11497"/>
  <c r="Y11498"/>
  <c r="Y11499"/>
  <c r="Y11500"/>
  <c r="Y11501"/>
  <c r="Z11501" s="1"/>
  <c r="Y11502"/>
  <c r="Y11503"/>
  <c r="Y11504"/>
  <c r="Y11505"/>
  <c r="Y11506"/>
  <c r="Y11507"/>
  <c r="Y11508"/>
  <c r="Y11509"/>
  <c r="Z11509" s="1"/>
  <c r="Y11510"/>
  <c r="Y11511"/>
  <c r="Y11512"/>
  <c r="Y11513"/>
  <c r="Y11514"/>
  <c r="Y11515"/>
  <c r="Y11516"/>
  <c r="Y11517"/>
  <c r="Z11517" s="1"/>
  <c r="Y11518"/>
  <c r="Y11519"/>
  <c r="Y11520"/>
  <c r="Z11520" s="1"/>
  <c r="Y11521"/>
  <c r="Y11522"/>
  <c r="Y11523"/>
  <c r="Y11524"/>
  <c r="Y11525"/>
  <c r="Z11525" s="1"/>
  <c r="Y11526"/>
  <c r="Y11527"/>
  <c r="Y11528"/>
  <c r="Z11528" s="1"/>
  <c r="Y11529"/>
  <c r="Y11530"/>
  <c r="Y11531"/>
  <c r="Y11532"/>
  <c r="Y11533"/>
  <c r="Z11533" s="1"/>
  <c r="Y11534"/>
  <c r="Y11535"/>
  <c r="Y11536"/>
  <c r="Y11537"/>
  <c r="Y11538"/>
  <c r="Y11539"/>
  <c r="Y11540"/>
  <c r="Y11541"/>
  <c r="Z11541" s="1"/>
  <c r="Y11542"/>
  <c r="Y11543"/>
  <c r="Y11544"/>
  <c r="Y11545"/>
  <c r="Y11546"/>
  <c r="Y11547"/>
  <c r="Y11548"/>
  <c r="Y11549"/>
  <c r="Z11549" s="1"/>
  <c r="Y11550"/>
  <c r="Y11551"/>
  <c r="Y11552"/>
  <c r="Y11553"/>
  <c r="Y11554"/>
  <c r="Y11555"/>
  <c r="Y11556"/>
  <c r="Y11557"/>
  <c r="Z11557" s="1"/>
  <c r="Y11558"/>
  <c r="Y11559"/>
  <c r="Y11560"/>
  <c r="Z11560" s="1"/>
  <c r="Y11561"/>
  <c r="Y11562"/>
  <c r="Y11563"/>
  <c r="Y11564"/>
  <c r="Y11565"/>
  <c r="Z11565" s="1"/>
  <c r="Y11566"/>
  <c r="Y11567"/>
  <c r="Y11568"/>
  <c r="Z11568" s="1"/>
  <c r="Y11569"/>
  <c r="Y11570"/>
  <c r="Y11571"/>
  <c r="Y11572"/>
  <c r="Y11573"/>
  <c r="Z11573" s="1"/>
  <c r="Y11574"/>
  <c r="Y11575"/>
  <c r="Y11576"/>
  <c r="Y11577"/>
  <c r="Y11578"/>
  <c r="Y11579"/>
  <c r="Y11580"/>
  <c r="Y11581"/>
  <c r="Z11581" s="1"/>
  <c r="Y11582"/>
  <c r="Y11583"/>
  <c r="Y11584"/>
  <c r="Y11585"/>
  <c r="Y11586"/>
  <c r="Y11587"/>
  <c r="Y11588"/>
  <c r="Y11589"/>
  <c r="Z11589" s="1"/>
  <c r="Y11590"/>
  <c r="Y11591"/>
  <c r="Y11592"/>
  <c r="Z11592" s="1"/>
  <c r="Y11593"/>
  <c r="Y11594"/>
  <c r="Y11595"/>
  <c r="Y11596"/>
  <c r="Y11597"/>
  <c r="Z11597" s="1"/>
  <c r="Y11598"/>
  <c r="Y11599"/>
  <c r="Y11600"/>
  <c r="Y11601"/>
  <c r="Y11602"/>
  <c r="Y11603"/>
  <c r="Y11604"/>
  <c r="Y11605"/>
  <c r="Z11605" s="1"/>
  <c r="Y11606"/>
  <c r="Y11607"/>
  <c r="Y11608"/>
  <c r="Z11608" s="1"/>
  <c r="Y11609"/>
  <c r="Y11610"/>
  <c r="Y11611"/>
  <c r="Y11612"/>
  <c r="Y11613"/>
  <c r="Z11613" s="1"/>
  <c r="Y11614"/>
  <c r="Y11615"/>
  <c r="Y11616"/>
  <c r="Y11617"/>
  <c r="Y11618"/>
  <c r="Y11619"/>
  <c r="Y11620"/>
  <c r="Y11621"/>
  <c r="Z11621" s="1"/>
  <c r="Y11622"/>
  <c r="Y11623"/>
  <c r="Y11624"/>
  <c r="Z11624" s="1"/>
  <c r="Y11625"/>
  <c r="Y11626"/>
  <c r="Y11627"/>
  <c r="Y11628"/>
  <c r="Y11629"/>
  <c r="Z11629" s="1"/>
  <c r="Y11630"/>
  <c r="Y11631"/>
  <c r="Y11632"/>
  <c r="Y11633"/>
  <c r="Y11634"/>
  <c r="Y11635"/>
  <c r="Y11636"/>
  <c r="Y11637"/>
  <c r="Z11637" s="1"/>
  <c r="Y11638"/>
  <c r="Y11639"/>
  <c r="Y11640"/>
  <c r="Y11641"/>
  <c r="Y11642"/>
  <c r="Y11643"/>
  <c r="Y11644"/>
  <c r="Y11645"/>
  <c r="Z11645" s="1"/>
  <c r="Y11646"/>
  <c r="Y11647"/>
  <c r="Y11648"/>
  <c r="Z11648" s="1"/>
  <c r="Y11649"/>
  <c r="Y11650"/>
  <c r="Y11651"/>
  <c r="Y11652"/>
  <c r="Y11653"/>
  <c r="Z11653" s="1"/>
  <c r="Y11654"/>
  <c r="Y11655"/>
  <c r="Y11656"/>
  <c r="Z11656" s="1"/>
  <c r="Y11657"/>
  <c r="Y11658"/>
  <c r="Y11659"/>
  <c r="Y11660"/>
  <c r="Y11661"/>
  <c r="Z11661" s="1"/>
  <c r="Y11662"/>
  <c r="Y11663"/>
  <c r="Y11664"/>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Z11688" s="1"/>
  <c r="Y11689"/>
  <c r="Y11690"/>
  <c r="Y11691"/>
  <c r="Y11692"/>
  <c r="Y11693"/>
  <c r="Z11693" s="1"/>
  <c r="Y11694"/>
  <c r="Y11695"/>
  <c r="Y11696"/>
  <c r="Z11696" s="1"/>
  <c r="Y11697"/>
  <c r="Y11698"/>
  <c r="Y11699"/>
  <c r="Y11700"/>
  <c r="Y11701"/>
  <c r="Z11701" s="1"/>
  <c r="Y11702"/>
  <c r="Y11703"/>
  <c r="Y11704"/>
  <c r="Y11705"/>
  <c r="Y11706"/>
  <c r="Y11707"/>
  <c r="Y11708"/>
  <c r="Y11709"/>
  <c r="Z11709" s="1"/>
  <c r="Y11710"/>
  <c r="Y11711"/>
  <c r="Y11712"/>
  <c r="Y11713"/>
  <c r="Y11714"/>
  <c r="Y11715"/>
  <c r="Y11716"/>
  <c r="Y11717"/>
  <c r="Z11717" s="1"/>
  <c r="Y11718"/>
  <c r="Y11719"/>
  <c r="Y11720"/>
  <c r="Z11720" s="1"/>
  <c r="Y11721"/>
  <c r="Y11722"/>
  <c r="Y11723"/>
  <c r="Y11724"/>
  <c r="Y11725"/>
  <c r="Z11725" s="1"/>
  <c r="Y11726"/>
  <c r="Y11727"/>
  <c r="Y11728"/>
  <c r="Y11729"/>
  <c r="Y11730"/>
  <c r="Y11731"/>
  <c r="Y11732"/>
  <c r="Y11733"/>
  <c r="Z11733" s="1"/>
  <c r="Y11734"/>
  <c r="Y11735"/>
  <c r="Y11736"/>
  <c r="Z11736" s="1"/>
  <c r="Y11737"/>
  <c r="Y11738"/>
  <c r="Y11739"/>
  <c r="Y11740"/>
  <c r="Y11741"/>
  <c r="Z11741" s="1"/>
  <c r="Y11742"/>
  <c r="Y11743"/>
  <c r="Y11744"/>
  <c r="Y11745"/>
  <c r="Y11746"/>
  <c r="Y11747"/>
  <c r="Y11748"/>
  <c r="Y11749"/>
  <c r="Z11749" s="1"/>
  <c r="Y11750"/>
  <c r="Y11751"/>
  <c r="Y11752"/>
  <c r="Z11752" s="1"/>
  <c r="Y11753"/>
  <c r="Y11754"/>
  <c r="Y11755"/>
  <c r="Y11756"/>
  <c r="Y11757"/>
  <c r="Z11757" s="1"/>
  <c r="Y11758"/>
  <c r="Y11759"/>
  <c r="Y11760"/>
  <c r="Y11761"/>
  <c r="Y11762"/>
  <c r="Y11763"/>
  <c r="Y11764"/>
  <c r="Y11765"/>
  <c r="Z11765" s="1"/>
  <c r="Y11766"/>
  <c r="Y11767"/>
  <c r="Y11768"/>
  <c r="Y11769"/>
  <c r="Y11770"/>
  <c r="Y11771"/>
  <c r="Y11772"/>
  <c r="Y11773"/>
  <c r="Z11773" s="1"/>
  <c r="Y11774"/>
  <c r="Y11775"/>
  <c r="Y11776"/>
  <c r="Z11776" s="1"/>
  <c r="Y11777"/>
  <c r="Y11778"/>
  <c r="Y11779"/>
  <c r="Y11780"/>
  <c r="Y11781"/>
  <c r="Y11782"/>
  <c r="Y11783"/>
  <c r="Y11784"/>
  <c r="Z11784" s="1"/>
  <c r="Y11785"/>
  <c r="Y11786"/>
  <c r="Y11787"/>
  <c r="Y11788"/>
  <c r="Y11789"/>
  <c r="Z11789" s="1"/>
  <c r="Y11790"/>
  <c r="Y11791"/>
  <c r="Y11792"/>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Z11816" s="1"/>
  <c r="Y11817"/>
  <c r="Y11818"/>
  <c r="Y11819"/>
  <c r="Y11820"/>
  <c r="Y11821"/>
  <c r="Z11821" s="1"/>
  <c r="Y11822"/>
  <c r="Y11823"/>
  <c r="Y11824"/>
  <c r="Z11824" s="1"/>
  <c r="Y11825"/>
  <c r="Y11826"/>
  <c r="Y11827"/>
  <c r="Y11828"/>
  <c r="Y11829"/>
  <c r="Z11829" s="1"/>
  <c r="Y11830"/>
  <c r="Y11831"/>
  <c r="Y11832"/>
  <c r="Y11833"/>
  <c r="Y11834"/>
  <c r="Y11835"/>
  <c r="Y11836"/>
  <c r="Y11837"/>
  <c r="Z11837" s="1"/>
  <c r="Y11838"/>
  <c r="Y11839"/>
  <c r="Y11840"/>
  <c r="Y11841"/>
  <c r="Y11842"/>
  <c r="Y11843"/>
  <c r="Y11844"/>
  <c r="Y11845"/>
  <c r="Z11845" s="1"/>
  <c r="Y11846"/>
  <c r="Y11847"/>
  <c r="Y11848"/>
  <c r="Z11848" s="1"/>
  <c r="Y11849"/>
  <c r="Y11850"/>
  <c r="Y11851"/>
  <c r="Y11852"/>
  <c r="Y11853"/>
  <c r="Z11853" s="1"/>
  <c r="Y11854"/>
  <c r="Y11855"/>
  <c r="Y11856"/>
  <c r="Y11857"/>
  <c r="Y11858"/>
  <c r="Y11859"/>
  <c r="Y11860"/>
  <c r="Y11861"/>
  <c r="Z11861" s="1"/>
  <c r="Y11862"/>
  <c r="Y11863"/>
  <c r="Y11864"/>
  <c r="Z11864" s="1"/>
  <c r="Y11865"/>
  <c r="Y11866"/>
  <c r="Y11867"/>
  <c r="Y11868"/>
  <c r="Y11869"/>
  <c r="Z11869" s="1"/>
  <c r="Y11870"/>
  <c r="Y11871"/>
  <c r="Y11872"/>
  <c r="Y11873"/>
  <c r="Y11874"/>
  <c r="Y11875"/>
  <c r="Y11876"/>
  <c r="Y11877"/>
  <c r="Z11877" s="1"/>
  <c r="Y11878"/>
  <c r="Y11879"/>
  <c r="Y11880"/>
  <c r="Z11880" s="1"/>
  <c r="Y11881"/>
  <c r="Y11882"/>
  <c r="Y11883"/>
  <c r="Y11884"/>
  <c r="Y11885"/>
  <c r="Z11885" s="1"/>
  <c r="Y11886"/>
  <c r="Y11887"/>
  <c r="Y11888"/>
  <c r="Y11889"/>
  <c r="Y11890"/>
  <c r="Y11891"/>
  <c r="Y11892"/>
  <c r="Y11893"/>
  <c r="Z11893" s="1"/>
  <c r="Y11894"/>
  <c r="Y11895"/>
  <c r="Y11896"/>
  <c r="Y11897"/>
  <c r="Y11898"/>
  <c r="Y11899"/>
  <c r="Y11900"/>
  <c r="Y11901"/>
  <c r="Z11901" s="1"/>
  <c r="Y11902"/>
  <c r="Y11903"/>
  <c r="Y11904"/>
  <c r="Z11904" s="1"/>
  <c r="Y11905"/>
  <c r="Y11906"/>
  <c r="Y11907"/>
  <c r="Y11908"/>
  <c r="Y11909"/>
  <c r="Y11910"/>
  <c r="Y11911"/>
  <c r="Y11912"/>
  <c r="Z11912" s="1"/>
  <c r="Y11913"/>
  <c r="Y11914"/>
  <c r="Y11915"/>
  <c r="Y11916"/>
  <c r="Y11917"/>
  <c r="Z11917" s="1"/>
  <c r="Y11918"/>
  <c r="Y11919"/>
  <c r="Y11920"/>
  <c r="Y11921"/>
  <c r="Y11922"/>
  <c r="Y11923"/>
  <c r="Y11924"/>
  <c r="Y11925"/>
  <c r="Z11925" s="1"/>
  <c r="Y11926"/>
  <c r="Y11927"/>
  <c r="Y11928"/>
  <c r="Y11929"/>
  <c r="Y11930"/>
  <c r="Y11931"/>
  <c r="Y11932"/>
  <c r="Y11933"/>
  <c r="Z11933" s="1"/>
  <c r="Y11934"/>
  <c r="Y11935"/>
  <c r="Y11936"/>
  <c r="Y11937"/>
  <c r="Y11938"/>
  <c r="Y11939"/>
  <c r="Y11940"/>
  <c r="Z11940" s="1"/>
  <c r="Y11941"/>
  <c r="Y11942"/>
  <c r="Y11943"/>
  <c r="Y11944"/>
  <c r="Z11944" s="1"/>
  <c r="Y11945"/>
  <c r="Z11945" s="1"/>
  <c r="Y11946"/>
  <c r="Y11947"/>
  <c r="Y11948"/>
  <c r="Y11949"/>
  <c r="Y11950"/>
  <c r="Y11951"/>
  <c r="Y11952"/>
  <c r="Y11953"/>
  <c r="Y11954"/>
  <c r="Y11955"/>
  <c r="Y11956"/>
  <c r="Z11956" s="1"/>
  <c r="Y11957"/>
  <c r="Y11958"/>
  <c r="Y11959"/>
  <c r="Y11960"/>
  <c r="Y11961"/>
  <c r="Z11961" s="1"/>
  <c r="Y11962"/>
  <c r="Y11963"/>
  <c r="Y11964"/>
  <c r="Z11964" s="1"/>
  <c r="Y11965"/>
  <c r="Y11966"/>
  <c r="Y11967"/>
  <c r="Y11968"/>
  <c r="Y11969"/>
  <c r="Y11970"/>
  <c r="Y11971"/>
  <c r="Y11972"/>
  <c r="Z11972" s="1"/>
  <c r="Y11973"/>
  <c r="Y11974"/>
  <c r="Y11975"/>
  <c r="Y11976"/>
  <c r="Y11977"/>
  <c r="Z11977" s="1"/>
  <c r="Y11978"/>
  <c r="Y11979"/>
  <c r="Y11980"/>
  <c r="Y11981"/>
  <c r="Y11982"/>
  <c r="Y11983"/>
  <c r="Y11984"/>
  <c r="Z11984" s="1"/>
  <c r="Y11985"/>
  <c r="Y11986"/>
  <c r="Y11987"/>
  <c r="Y11988"/>
  <c r="Z11988" s="1"/>
  <c r="Y11989"/>
  <c r="Z11989" s="1"/>
  <c r="Y11990"/>
  <c r="Y11991"/>
  <c r="Y11992"/>
  <c r="Y11993"/>
  <c r="Y11994"/>
  <c r="Y11995"/>
  <c r="Y11996"/>
  <c r="Y11997"/>
  <c r="Z11997" s="1"/>
  <c r="Y11998"/>
  <c r="Y11999"/>
  <c r="Y12000"/>
  <c r="Y12001"/>
  <c r="Y12002"/>
  <c r="Y12003"/>
  <c r="Y12004"/>
  <c r="Z12004" s="1"/>
  <c r="Y12005"/>
  <c r="Z12005" s="1"/>
  <c r="Y12006"/>
  <c r="Y12007"/>
  <c r="Y12008"/>
  <c r="Z12008" s="1"/>
  <c r="Y12009"/>
  <c r="Y12010"/>
  <c r="Y12011"/>
  <c r="Y12012"/>
  <c r="Y12013"/>
  <c r="Z12013" s="1"/>
  <c r="Y12014"/>
  <c r="Y12015"/>
  <c r="Y12016"/>
  <c r="Y12017"/>
  <c r="Y12018"/>
  <c r="Y12019"/>
  <c r="Y12020"/>
  <c r="Z12020" s="1"/>
  <c r="Y12021"/>
  <c r="Z12021" s="1"/>
  <c r="Y12022"/>
  <c r="Y12023"/>
  <c r="Y12024"/>
  <c r="Y12025"/>
  <c r="Y12026"/>
  <c r="Y12027"/>
  <c r="Y12028"/>
  <c r="Z12028" s="1"/>
  <c r="Y12029"/>
  <c r="Y12030"/>
  <c r="Y12031"/>
  <c r="Y12032"/>
  <c r="Y12033"/>
  <c r="Y12034"/>
  <c r="Y12035"/>
  <c r="Y12036"/>
  <c r="Z12036" s="1"/>
  <c r="Y12037"/>
  <c r="Y12038"/>
  <c r="Y12039"/>
  <c r="Y12040"/>
  <c r="Y12041"/>
  <c r="Z12041" s="1"/>
  <c r="Y12042"/>
  <c r="Y12043"/>
  <c r="Y12044"/>
  <c r="Y12045"/>
  <c r="Y12046"/>
  <c r="Y12047"/>
  <c r="Y12048"/>
  <c r="Z12048" s="1"/>
  <c r="Y12049"/>
  <c r="Y12050"/>
  <c r="Y12051"/>
  <c r="Y12052"/>
  <c r="Z12052" s="1"/>
  <c r="Y12053"/>
  <c r="Y12054"/>
  <c r="Y12055"/>
  <c r="Y12056"/>
  <c r="Y12057"/>
  <c r="Y12058"/>
  <c r="Y12059"/>
  <c r="Y12060"/>
  <c r="Y12061"/>
  <c r="Y12062"/>
  <c r="Y12063"/>
  <c r="Y12064"/>
  <c r="Y12065"/>
  <c r="Y12066"/>
  <c r="Y12067"/>
  <c r="Y12068"/>
  <c r="Y12069"/>
  <c r="Y12070"/>
  <c r="Y12071"/>
  <c r="Y12072"/>
  <c r="Z12072" s="1"/>
  <c r="Y12073"/>
  <c r="Y12074"/>
  <c r="Y12075"/>
  <c r="Y12076"/>
  <c r="Y12077"/>
  <c r="Y12078"/>
  <c r="Y12079"/>
  <c r="Y12080"/>
  <c r="Z12080" s="1"/>
  <c r="Y12081"/>
  <c r="Y12082"/>
  <c r="Y12083"/>
  <c r="Y12084"/>
  <c r="Y12085"/>
  <c r="Y12086"/>
  <c r="Y12087"/>
  <c r="Y12088"/>
  <c r="Y12089"/>
  <c r="Y12090"/>
  <c r="Y12091"/>
  <c r="Y12092"/>
  <c r="Y12093"/>
  <c r="Y12094"/>
  <c r="Y12095"/>
  <c r="Y12096"/>
  <c r="Y12097"/>
  <c r="Y12098"/>
  <c r="Y12099"/>
  <c r="Y12100"/>
  <c r="Y12101"/>
  <c r="Y12102"/>
  <c r="Y12103"/>
  <c r="Y12104"/>
  <c r="Z12104" s="1"/>
  <c r="Y12105"/>
  <c r="Y12106"/>
  <c r="Y12107"/>
  <c r="Y12108"/>
  <c r="Y12109"/>
  <c r="Y12110"/>
  <c r="Y12111"/>
  <c r="Y12112"/>
  <c r="Y12113"/>
  <c r="Y12114"/>
  <c r="Y12115"/>
  <c r="Y12116"/>
  <c r="Y12117"/>
  <c r="Y12118"/>
  <c r="Y12119"/>
  <c r="Y12120"/>
  <c r="Z12120" s="1"/>
  <c r="Y12121"/>
  <c r="Y12122"/>
  <c r="Y12123"/>
  <c r="Y12124"/>
  <c r="Y12125"/>
  <c r="Y12126"/>
  <c r="Y12127"/>
  <c r="Y12128"/>
  <c r="Z12128" s="1"/>
  <c r="Y12129"/>
  <c r="Y12130"/>
  <c r="Y12131"/>
  <c r="Y12132"/>
  <c r="Y12133"/>
  <c r="Z12133" s="1"/>
  <c r="Y12134"/>
  <c r="Y12135"/>
  <c r="Y12136"/>
  <c r="Y12137"/>
  <c r="Y12138"/>
  <c r="Y12139"/>
  <c r="Y12140"/>
  <c r="Z12140" s="1"/>
  <c r="Y12141"/>
  <c r="Y12142"/>
  <c r="Y12143"/>
  <c r="Y12144"/>
  <c r="Z12144" s="1"/>
  <c r="Y12145"/>
  <c r="Y12146"/>
  <c r="Y12147"/>
  <c r="Y12148"/>
  <c r="Z12148" s="1"/>
  <c r="Y12149"/>
  <c r="Z12149" s="1"/>
  <c r="Y12150"/>
  <c r="Y12151"/>
  <c r="Y12152"/>
  <c r="Z12152" s="1"/>
  <c r="Y12153"/>
  <c r="Y12154"/>
  <c r="Y12155"/>
  <c r="Y12156"/>
  <c r="Z12156" s="1"/>
  <c r="Y12157"/>
  <c r="Y12158"/>
  <c r="Y12159"/>
  <c r="Y12160"/>
  <c r="Z12160" s="1"/>
  <c r="Y12161"/>
  <c r="Y12162"/>
  <c r="Y12163"/>
  <c r="Y12164"/>
  <c r="Z12164" s="1"/>
  <c r="Y12165"/>
  <c r="Y12166"/>
  <c r="Y12167"/>
  <c r="Y12168"/>
  <c r="Z12168" s="1"/>
  <c r="Y12169"/>
  <c r="Y12170"/>
  <c r="Y12171"/>
  <c r="Y12172"/>
  <c r="Z12172" s="1"/>
  <c r="Y12173"/>
  <c r="Y12174"/>
  <c r="Y12175"/>
  <c r="Y12176"/>
  <c r="Z12176" s="1"/>
  <c r="Y12177"/>
  <c r="Y12178"/>
  <c r="Y12179"/>
  <c r="Y12180"/>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Z12240" s="1"/>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Z12280" s="1"/>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Z12368" s="1"/>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Y12409"/>
  <c r="Y12410"/>
  <c r="Y12411"/>
  <c r="Y12412"/>
  <c r="Y12413"/>
  <c r="Y12414"/>
  <c r="Y12415"/>
  <c r="Y12416"/>
  <c r="Z12416" s="1"/>
  <c r="Y12417"/>
  <c r="Y12418"/>
  <c r="Y12419"/>
  <c r="Y12420"/>
  <c r="Y12421"/>
  <c r="Y12422"/>
  <c r="Y12423"/>
  <c r="Y12424"/>
  <c r="Z12424" s="1"/>
  <c r="Y12425"/>
  <c r="Y12426"/>
  <c r="Y12427"/>
  <c r="Y12428"/>
  <c r="Y12429"/>
  <c r="Y12430"/>
  <c r="Y12431"/>
  <c r="Y12432"/>
  <c r="Z12432" s="1"/>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Z12496" s="1"/>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Z12664" s="1"/>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Z12712" s="1"/>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Y12863"/>
  <c r="Y12864"/>
  <c r="Y12865"/>
  <c r="Z12865" s="1"/>
  <c r="Y12866"/>
  <c r="Y12867"/>
  <c r="Y12868"/>
  <c r="Y12869"/>
  <c r="Z12869" s="1"/>
  <c r="Y12870"/>
  <c r="Y12871"/>
  <c r="Y12872"/>
  <c r="Y12873"/>
  <c r="Z12873" s="1"/>
  <c r="Y12874"/>
  <c r="Y12875"/>
  <c r="Y12876"/>
  <c r="Y12877"/>
  <c r="Y12878"/>
  <c r="Y12879"/>
  <c r="Y12880"/>
  <c r="Y12881"/>
  <c r="Y12882"/>
  <c r="Y12883"/>
  <c r="Y12884"/>
  <c r="Y12885"/>
  <c r="Z12885" s="1"/>
  <c r="Y12886"/>
  <c r="Y12887"/>
  <c r="Y12888"/>
  <c r="Y12889"/>
  <c r="Y12890"/>
  <c r="Y12891"/>
  <c r="Y12892"/>
  <c r="Y12893"/>
  <c r="Y12894"/>
  <c r="Y12895"/>
  <c r="Y12896"/>
  <c r="Y12897"/>
  <c r="Z12897" s="1"/>
  <c r="Y12898"/>
  <c r="Y12899"/>
  <c r="Y12900"/>
  <c r="Y12901"/>
  <c r="Z12901" s="1"/>
  <c r="Y12902"/>
  <c r="Y12903"/>
  <c r="Y12904"/>
  <c r="Y12905"/>
  <c r="Y12906"/>
  <c r="Y12907"/>
  <c r="Y12908"/>
  <c r="Y12909"/>
  <c r="Z12909" s="1"/>
  <c r="Y12910"/>
  <c r="Y12911"/>
  <c r="Y12912"/>
  <c r="Y12913"/>
  <c r="Y12914"/>
  <c r="Y12915"/>
  <c r="Y12916"/>
  <c r="Y12917"/>
  <c r="Z12917" s="1"/>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Z12953" s="1"/>
  <c r="Y12954"/>
  <c r="Y12955"/>
  <c r="Y12956"/>
  <c r="Y12957"/>
  <c r="Y12958"/>
  <c r="Y12959"/>
  <c r="Y12960"/>
  <c r="Y12961"/>
  <c r="Y12962"/>
  <c r="Y12963"/>
  <c r="Y12964"/>
  <c r="Y12965"/>
  <c r="Z12965" s="1"/>
  <c r="Y12966"/>
  <c r="Y12967"/>
  <c r="Y12968"/>
  <c r="Y12969"/>
  <c r="Z12969" s="1"/>
  <c r="Y12970"/>
  <c r="Y12971"/>
  <c r="Y12972"/>
  <c r="Y12973"/>
  <c r="Z12973" s="1"/>
  <c r="Y12974"/>
  <c r="Y12975"/>
  <c r="Y12976"/>
  <c r="Y12977"/>
  <c r="Z12977" s="1"/>
  <c r="Y12978"/>
  <c r="Y12979"/>
  <c r="Y12980"/>
  <c r="Y12981"/>
  <c r="Z12981" s="1"/>
  <c r="Y12982"/>
  <c r="Y12983"/>
  <c r="Y12984"/>
  <c r="Y12985"/>
  <c r="Z12985" s="1"/>
  <c r="Y12986"/>
  <c r="Y12987"/>
  <c r="Y12988"/>
  <c r="Y12989"/>
  <c r="Z12989" s="1"/>
  <c r="Y12990"/>
  <c r="Y12991"/>
  <c r="Y12992"/>
  <c r="Y12993"/>
  <c r="Z12993" s="1"/>
  <c r="Y12994"/>
  <c r="Y12995"/>
  <c r="Y12996"/>
  <c r="Y12997"/>
  <c r="Y12998"/>
  <c r="Y12999"/>
  <c r="Y13000"/>
  <c r="Y13001"/>
  <c r="Z13001" s="1"/>
  <c r="Y13002"/>
  <c r="Y13003"/>
  <c r="Y13004"/>
  <c r="Y13005"/>
  <c r="Y13006"/>
  <c r="Y13007"/>
  <c r="Y13008"/>
  <c r="Y13009"/>
  <c r="Y13010"/>
  <c r="Y13011"/>
  <c r="Y13012"/>
  <c r="Z13012" s="1"/>
  <c r="Y13013"/>
  <c r="Y13014"/>
  <c r="Y13015"/>
  <c r="Y13016"/>
  <c r="Y13017"/>
  <c r="Y13018"/>
  <c r="Y13019"/>
  <c r="Y13020"/>
  <c r="Y13021"/>
  <c r="Z13021" s="1"/>
  <c r="Y13022"/>
  <c r="Y13023"/>
  <c r="Y13024"/>
  <c r="Y13025"/>
  <c r="Y13026"/>
  <c r="Y13027"/>
  <c r="Y13028"/>
  <c r="Y13029"/>
  <c r="Y13030"/>
  <c r="Y13031"/>
  <c r="Y13032"/>
  <c r="Y13033"/>
  <c r="Y13034"/>
  <c r="Y13035"/>
  <c r="Y13036"/>
  <c r="Y13037"/>
  <c r="Z13037" s="1"/>
  <c r="Y13038"/>
  <c r="Y13039"/>
  <c r="Y13040"/>
  <c r="Y13041"/>
  <c r="Y13042"/>
  <c r="Y13043"/>
  <c r="Y13044"/>
  <c r="Y13045"/>
  <c r="Z13045" s="1"/>
  <c r="Y13046"/>
  <c r="Y13047"/>
  <c r="Y13048"/>
  <c r="Y13049"/>
  <c r="Y13050"/>
  <c r="Y13051"/>
  <c r="Y13052"/>
  <c r="Y13053"/>
  <c r="Z13053" s="1"/>
  <c r="Y13054"/>
  <c r="Y13055"/>
  <c r="Y13056"/>
  <c r="Y13057"/>
  <c r="Z13057" s="1"/>
  <c r="Y13058"/>
  <c r="Y13059"/>
  <c r="Y13060"/>
  <c r="Y13061"/>
  <c r="Z13061" s="1"/>
  <c r="Y13062"/>
  <c r="Y13063"/>
  <c r="Y13064"/>
  <c r="Y13065"/>
  <c r="Y13066"/>
  <c r="Y13067"/>
  <c r="Y13068"/>
  <c r="Y13069"/>
  <c r="Y13070"/>
  <c r="Y13071"/>
  <c r="Y13072"/>
  <c r="Y13073"/>
  <c r="Z13073" s="1"/>
  <c r="Y13074"/>
  <c r="Y13075"/>
  <c r="Y13076"/>
  <c r="Y13077"/>
  <c r="Z13077" s="1"/>
  <c r="Y13078"/>
  <c r="Y13079"/>
  <c r="Y13080"/>
  <c r="Y13081"/>
  <c r="Y13082"/>
  <c r="Y13083"/>
  <c r="Y13084"/>
  <c r="Y13085"/>
  <c r="Y13086"/>
  <c r="Y13087"/>
  <c r="Y13088"/>
  <c r="Y13089"/>
  <c r="Z13089" s="1"/>
  <c r="Y13090"/>
  <c r="Y13091"/>
  <c r="Y13092"/>
  <c r="Y13093"/>
  <c r="Z13093" s="1"/>
  <c r="Y13094"/>
  <c r="Y13095"/>
  <c r="Y13096"/>
  <c r="Y13097"/>
  <c r="Z13097" s="1"/>
  <c r="Y13098"/>
  <c r="Y13099"/>
  <c r="Y13100"/>
  <c r="Y13101"/>
  <c r="Y13102"/>
  <c r="Y13103"/>
  <c r="Y13104"/>
  <c r="Y13105"/>
  <c r="Y13106"/>
  <c r="Y13107"/>
  <c r="Y13108"/>
  <c r="Y13109"/>
  <c r="Z13109" s="1"/>
  <c r="Y13110"/>
  <c r="Y13111"/>
  <c r="Y13112"/>
  <c r="Y13113"/>
  <c r="Z13113" s="1"/>
  <c r="Y13114"/>
  <c r="Y13115"/>
  <c r="Y13116"/>
  <c r="Y13117"/>
  <c r="Z13117" s="1"/>
  <c r="Y13118"/>
  <c r="Y13119"/>
  <c r="Y13120"/>
  <c r="Y13121"/>
  <c r="Y13122"/>
  <c r="Y13123"/>
  <c r="Y13124"/>
  <c r="Y13125"/>
  <c r="Z13125" s="1"/>
  <c r="Y13126"/>
  <c r="Y13127"/>
  <c r="Y13128"/>
  <c r="Y13129"/>
  <c r="Y13130"/>
  <c r="Y13131"/>
  <c r="Y13132"/>
  <c r="Y13133"/>
  <c r="Z13133" s="1"/>
  <c r="Y13134"/>
  <c r="Y13135"/>
  <c r="Y13136"/>
  <c r="Y13137"/>
  <c r="Y13138"/>
  <c r="Y13139"/>
  <c r="Y13140"/>
  <c r="Y13141"/>
  <c r="Z13141" s="1"/>
  <c r="Y13142"/>
  <c r="Y13143"/>
  <c r="Y13144"/>
  <c r="Y13145"/>
  <c r="Y13146"/>
  <c r="Y13147"/>
  <c r="Y13148"/>
  <c r="Y13149"/>
  <c r="Y13150"/>
  <c r="Y13151"/>
  <c r="Y13152"/>
  <c r="Y13153"/>
  <c r="Z13153" s="1"/>
  <c r="Y13154"/>
  <c r="Y13155"/>
  <c r="Y13156"/>
  <c r="Y13157"/>
  <c r="Z13157" s="1"/>
  <c r="Y13158"/>
  <c r="Y13159"/>
  <c r="Y13160"/>
  <c r="Y13161"/>
  <c r="Z13161" s="1"/>
  <c r="Y13162"/>
  <c r="Y13163"/>
  <c r="Y13164"/>
  <c r="Y13165"/>
  <c r="Z13165" s="1"/>
  <c r="Y13166"/>
  <c r="Y13167"/>
  <c r="Y13168"/>
  <c r="Y13169"/>
  <c r="Z13169" s="1"/>
  <c r="Y13170"/>
  <c r="Y13171"/>
  <c r="Y13172"/>
  <c r="Y13173"/>
  <c r="Y13174"/>
  <c r="Y13175"/>
  <c r="Y13176"/>
  <c r="Y13177"/>
  <c r="Y13178"/>
  <c r="Y13179"/>
  <c r="Y13180"/>
  <c r="Y13181"/>
  <c r="Y13182"/>
  <c r="Y13183"/>
  <c r="Y13184"/>
  <c r="Y13185"/>
  <c r="Y13186"/>
  <c r="Y13187"/>
  <c r="Y13188"/>
  <c r="Y13189"/>
  <c r="Z13189" s="1"/>
  <c r="Y13190"/>
  <c r="Y13191"/>
  <c r="Y13192"/>
  <c r="Y13193"/>
  <c r="Z13193" s="1"/>
  <c r="Y13194"/>
  <c r="Y13195"/>
  <c r="Y13196"/>
  <c r="Y13197"/>
  <c r="Y13198"/>
  <c r="Y13199"/>
  <c r="Y13200"/>
  <c r="Y13201"/>
  <c r="Y13202"/>
  <c r="Y13203"/>
  <c r="Y13204"/>
  <c r="Y13205"/>
  <c r="Z13205" s="1"/>
  <c r="Y13206"/>
  <c r="Y13207"/>
  <c r="Y13208"/>
  <c r="Y13209"/>
  <c r="Y13210"/>
  <c r="Y13211"/>
  <c r="Y13212"/>
  <c r="Y13213"/>
  <c r="Y13214"/>
  <c r="Y13215"/>
  <c r="Y13216"/>
  <c r="Y13217"/>
  <c r="Y13218"/>
  <c r="Y13219"/>
  <c r="Y13220"/>
  <c r="Y13221"/>
  <c r="Z13221" s="1"/>
  <c r="Y13222"/>
  <c r="Y13223"/>
  <c r="Y13224"/>
  <c r="Y13225"/>
  <c r="Z13225" s="1"/>
  <c r="Y13226"/>
  <c r="Y13227"/>
  <c r="Y13228"/>
  <c r="Y13229"/>
  <c r="Y13230"/>
  <c r="Y13231"/>
  <c r="Y13232"/>
  <c r="Y13233"/>
  <c r="Z13233" s="1"/>
  <c r="Y13234"/>
  <c r="Y13235"/>
  <c r="Y13236"/>
  <c r="Y13237"/>
  <c r="Y13238"/>
  <c r="Y13239"/>
  <c r="Y13240"/>
  <c r="Y13241"/>
  <c r="Z13241" s="1"/>
  <c r="Y13242"/>
  <c r="Y13243"/>
  <c r="Y13244"/>
  <c r="Y13245"/>
  <c r="Y13246"/>
  <c r="Y13247"/>
  <c r="Y13248"/>
  <c r="Y13249"/>
  <c r="Y13250"/>
  <c r="Y13251"/>
  <c r="Y13252"/>
  <c r="Y13253"/>
  <c r="Y13254"/>
  <c r="Y13255"/>
  <c r="Y13256"/>
  <c r="Y13257"/>
  <c r="Z13257" s="1"/>
  <c r="Y13258"/>
  <c r="Y13259"/>
  <c r="Y13260"/>
  <c r="Y13261"/>
  <c r="Y13262"/>
  <c r="Y13263"/>
  <c r="Y13264"/>
  <c r="Y13265"/>
  <c r="Y13266"/>
  <c r="Y13267"/>
  <c r="Y13268"/>
  <c r="Z13268" s="1"/>
  <c r="Y13269"/>
  <c r="Y13270"/>
  <c r="Y13271"/>
  <c r="Y13272"/>
  <c r="Y13273"/>
  <c r="Z13273" s="1"/>
  <c r="Y13274"/>
  <c r="Y13275"/>
  <c r="Y13276"/>
  <c r="Y13277"/>
  <c r="Z13277" s="1"/>
  <c r="Y13278"/>
  <c r="Y13279"/>
  <c r="Y13280"/>
  <c r="Y13281"/>
  <c r="Y13282"/>
  <c r="Y13283"/>
  <c r="Y13284"/>
  <c r="Y13285"/>
  <c r="Z13285" s="1"/>
  <c r="Y13286"/>
  <c r="Y13287"/>
  <c r="Y13288"/>
  <c r="Y13289"/>
  <c r="Y13290"/>
  <c r="Y13291"/>
  <c r="Y13292"/>
  <c r="Y13293"/>
  <c r="Y13294"/>
  <c r="Y13295"/>
  <c r="Y13296"/>
  <c r="Y13297"/>
  <c r="Y13298"/>
  <c r="Y13299"/>
  <c r="Y13300"/>
  <c r="Y13301"/>
  <c r="Y13302"/>
  <c r="Y13303"/>
  <c r="Y13304"/>
  <c r="Y13305"/>
  <c r="Y13306"/>
  <c r="Y13307"/>
  <c r="Y13308"/>
  <c r="Y13309"/>
  <c r="Z13309" s="1"/>
  <c r="Y13310"/>
  <c r="Y13311"/>
  <c r="Y13312"/>
  <c r="Y13313"/>
  <c r="Y13314"/>
  <c r="Y13315"/>
  <c r="Y13316"/>
  <c r="Y13317"/>
  <c r="Z13317" s="1"/>
  <c r="Y13318"/>
  <c r="Y13319"/>
  <c r="Y13320"/>
  <c r="Y13321"/>
  <c r="Z13321" s="1"/>
  <c r="Y13322"/>
  <c r="Y13323"/>
  <c r="Y13324"/>
  <c r="Y13325"/>
  <c r="Z13325" s="1"/>
  <c r="Y13326"/>
  <c r="Y13327"/>
  <c r="Y13328"/>
  <c r="Y13329"/>
  <c r="Y13330"/>
  <c r="Y13331"/>
  <c r="Y13332"/>
  <c r="Y13333"/>
  <c r="Z13333" s="1"/>
  <c r="Y13334"/>
  <c r="Y13335"/>
  <c r="Y13336"/>
  <c r="Y13337"/>
  <c r="Z13337" s="1"/>
  <c r="Y13338"/>
  <c r="Y13339"/>
  <c r="Y13340"/>
  <c r="Y13341"/>
  <c r="Z13341" s="1"/>
  <c r="Y13342"/>
  <c r="Y13343"/>
  <c r="Y13344"/>
  <c r="Y13345"/>
  <c r="Y13346"/>
  <c r="Y13347"/>
  <c r="Y13348"/>
  <c r="Y13349"/>
  <c r="Y13350"/>
  <c r="Y13351"/>
  <c r="Y13352"/>
  <c r="Y13353"/>
  <c r="Z13353" s="1"/>
  <c r="Y13354"/>
  <c r="Y13355"/>
  <c r="Y13356"/>
  <c r="Y13357"/>
  <c r="Y13358"/>
  <c r="Y13359"/>
  <c r="Y13360"/>
  <c r="Y13361"/>
  <c r="Y13362"/>
  <c r="Y13363"/>
  <c r="Y13364"/>
  <c r="Y13365"/>
  <c r="Z13365" s="1"/>
  <c r="Y13366"/>
  <c r="Y13367"/>
  <c r="Y13368"/>
  <c r="Y13369"/>
  <c r="Y13370"/>
  <c r="Y13371"/>
  <c r="Y13372"/>
  <c r="Y13373"/>
  <c r="Y13374"/>
  <c r="Y13375"/>
  <c r="Y13376"/>
  <c r="Y13377"/>
  <c r="Z13377" s="1"/>
  <c r="Y13378"/>
  <c r="Y13379"/>
  <c r="Y13380"/>
  <c r="Y13381"/>
  <c r="Z13381" s="1"/>
  <c r="Y13382"/>
  <c r="Y13383"/>
  <c r="Y13384"/>
  <c r="Y13385"/>
  <c r="Y13386"/>
  <c r="Y13387"/>
  <c r="Y13388"/>
  <c r="Y13389"/>
  <c r="Y13390"/>
  <c r="Y13391"/>
  <c r="Y13392"/>
  <c r="Y13393"/>
  <c r="Y13394"/>
  <c r="Y13395"/>
  <c r="Y13396"/>
  <c r="Y13397"/>
  <c r="Y13398"/>
  <c r="Y13399"/>
  <c r="Y13400"/>
  <c r="Y13401"/>
  <c r="Z13401" s="1"/>
  <c r="Y13402"/>
  <c r="Y13403"/>
  <c r="Y13404"/>
  <c r="Y13405"/>
  <c r="Y13406"/>
  <c r="Y13407"/>
  <c r="Y13408"/>
  <c r="Y13409"/>
  <c r="Z13409" s="1"/>
  <c r="Y13410"/>
  <c r="Y13411"/>
  <c r="Y13412"/>
  <c r="Y13413"/>
  <c r="Z13413" s="1"/>
  <c r="Y13414"/>
  <c r="Y13415"/>
  <c r="Y13416"/>
  <c r="Y13417"/>
  <c r="Y13418"/>
  <c r="Y13419"/>
  <c r="Y13420"/>
  <c r="Y13421"/>
  <c r="Y13422"/>
  <c r="Y13423"/>
  <c r="Y13424"/>
  <c r="Y13425"/>
  <c r="Y13426"/>
  <c r="Y13427"/>
  <c r="Y13428"/>
  <c r="Z13428" s="1"/>
  <c r="Y13429"/>
  <c r="Y13430"/>
  <c r="Y13431"/>
  <c r="Y13432"/>
  <c r="Y13433"/>
  <c r="Y13434"/>
  <c r="Y13435"/>
  <c r="Y13436"/>
  <c r="Y13437"/>
  <c r="Y13438"/>
  <c r="Y13439"/>
  <c r="Y13440"/>
  <c r="Y13441"/>
  <c r="Z13441" s="1"/>
  <c r="Y13442"/>
  <c r="Y13443"/>
  <c r="Y13444"/>
  <c r="Y13445"/>
  <c r="Y13446"/>
  <c r="Y13447"/>
  <c r="Y13448"/>
  <c r="Y13449"/>
  <c r="Y13450"/>
  <c r="Y13451"/>
  <c r="Y13452"/>
  <c r="Y13453"/>
  <c r="Y13454"/>
  <c r="Y13455"/>
  <c r="Y13456"/>
  <c r="Y13457"/>
  <c r="Z13457" s="1"/>
  <c r="Y13458"/>
  <c r="Y13459"/>
  <c r="Y13460"/>
  <c r="Y13461"/>
  <c r="Y13462"/>
  <c r="Y13463"/>
  <c r="Y13464"/>
  <c r="Y13465"/>
  <c r="Z13465" s="1"/>
  <c r="Y13466"/>
  <c r="Y13467"/>
  <c r="Y13468"/>
  <c r="Y13469"/>
  <c r="Y13470"/>
  <c r="Y13471"/>
  <c r="Y13472"/>
  <c r="Y13473"/>
  <c r="Z13473" s="1"/>
  <c r="Y13474"/>
  <c r="Y13475"/>
  <c r="Y13476"/>
  <c r="Y13477"/>
  <c r="Y13478"/>
  <c r="Y13479"/>
  <c r="Y13480"/>
  <c r="Y13481"/>
  <c r="Z13481" s="1"/>
  <c r="Y13482"/>
  <c r="Y13483"/>
  <c r="Y13484"/>
  <c r="Y13485"/>
  <c r="Z13485" s="1"/>
  <c r="Y13486"/>
  <c r="Y13487"/>
  <c r="Y13488"/>
  <c r="Y13489"/>
  <c r="Z13489" s="1"/>
  <c r="Y13490"/>
  <c r="Y13491"/>
  <c r="Y13492"/>
  <c r="Y13493"/>
  <c r="Y13494"/>
  <c r="Y13495"/>
  <c r="Y13496"/>
  <c r="Y13497"/>
  <c r="Y13498"/>
  <c r="Y13499"/>
  <c r="Y13500"/>
  <c r="Y13501"/>
  <c r="Y13502"/>
  <c r="Y13503"/>
  <c r="Y13504"/>
  <c r="Y13505"/>
  <c r="Z13505" s="1"/>
  <c r="Y13506"/>
  <c r="Y13507"/>
  <c r="Y13508"/>
  <c r="Y13509"/>
  <c r="Z13509" s="1"/>
  <c r="Y13510"/>
  <c r="Y13511"/>
  <c r="Y13512"/>
  <c r="Y13513"/>
  <c r="Y13514"/>
  <c r="Y13515"/>
  <c r="Y13516"/>
  <c r="Y13517"/>
  <c r="Y13518"/>
  <c r="Y13519"/>
  <c r="Y13520"/>
  <c r="Y13521"/>
  <c r="Z13521" s="1"/>
  <c r="Y13522"/>
  <c r="Y13523"/>
  <c r="Y13524"/>
  <c r="Y13525"/>
  <c r="Z13525" s="1"/>
  <c r="Y13526"/>
  <c r="Y13527"/>
  <c r="Y13528"/>
  <c r="Y13529"/>
  <c r="Y13530"/>
  <c r="Y13531"/>
  <c r="Y13532"/>
  <c r="Y13533"/>
  <c r="Y13534"/>
  <c r="Y13535"/>
  <c r="Y13536"/>
  <c r="Y13537"/>
  <c r="Z13537" s="1"/>
  <c r="Y13538"/>
  <c r="Y13539"/>
  <c r="Y13540"/>
  <c r="Y13541"/>
  <c r="Z13541" s="1"/>
  <c r="Y13542"/>
  <c r="Y13543"/>
  <c r="Y13544"/>
  <c r="Y13545"/>
  <c r="Z13545" s="1"/>
  <c r="Y13546"/>
  <c r="Y13547"/>
  <c r="Y13548"/>
  <c r="Y13549"/>
  <c r="Y13550"/>
  <c r="Y13551"/>
  <c r="Y13552"/>
  <c r="Y13553"/>
  <c r="Z13553" s="1"/>
  <c r="Y13554"/>
  <c r="Y13555"/>
  <c r="Y13556"/>
  <c r="Y13557"/>
  <c r="Z13557" s="1"/>
  <c r="Y13558"/>
  <c r="Y13559"/>
  <c r="Y13560"/>
  <c r="Y13561"/>
  <c r="Y13562"/>
  <c r="Y13563"/>
  <c r="Y13564"/>
  <c r="Y13565"/>
  <c r="Y13566"/>
  <c r="Y13567"/>
  <c r="Y13568"/>
  <c r="Y13569"/>
  <c r="Z13569" s="1"/>
  <c r="Y13570"/>
  <c r="Y13571"/>
  <c r="Y13572"/>
  <c r="Y13573"/>
  <c r="Z13573" s="1"/>
  <c r="Y13574"/>
  <c r="Y13575"/>
  <c r="Y13576"/>
  <c r="Y13577"/>
  <c r="Z13577" s="1"/>
  <c r="Y13578"/>
  <c r="Y13579"/>
  <c r="Y13580"/>
  <c r="Y13581"/>
  <c r="Y13582"/>
  <c r="Y13583"/>
  <c r="Y13584"/>
  <c r="Y13585"/>
  <c r="Z13585" s="1"/>
  <c r="Y13586"/>
  <c r="Y13587"/>
  <c r="Y13588"/>
  <c r="Y13589"/>
  <c r="Y13590"/>
  <c r="Y13591"/>
  <c r="Y13592"/>
  <c r="Y13593"/>
  <c r="Y13594"/>
  <c r="Y13595"/>
  <c r="Y13596"/>
  <c r="Y13597"/>
  <c r="Z13597" s="1"/>
  <c r="Y13598"/>
  <c r="Y13599"/>
  <c r="Y13600"/>
  <c r="Y13601"/>
  <c r="Z13601" s="1"/>
  <c r="Y13602"/>
  <c r="Y13603"/>
  <c r="Y13604"/>
  <c r="Y13605"/>
  <c r="Z13605" s="1"/>
  <c r="Y13606"/>
  <c r="Y13607"/>
  <c r="Y13608"/>
  <c r="Y13609"/>
  <c r="Z13609" s="1"/>
  <c r="Y13610"/>
  <c r="Y13611"/>
  <c r="Y13612"/>
  <c r="Y13613"/>
  <c r="Z13613" s="1"/>
  <c r="Y13614"/>
  <c r="Y13615"/>
  <c r="Y13616"/>
  <c r="Y13617"/>
  <c r="Z13617" s="1"/>
  <c r="Y13618"/>
  <c r="Y13619"/>
  <c r="Y13620"/>
  <c r="Y13621"/>
  <c r="Z13621" s="1"/>
  <c r="Y13622"/>
  <c r="Y13623"/>
  <c r="Y13624"/>
  <c r="Y13625"/>
  <c r="Z13625" s="1"/>
  <c r="Y13626"/>
  <c r="Y13627"/>
  <c r="Y13628"/>
  <c r="Y13629"/>
  <c r="Y13630"/>
  <c r="Y13631"/>
  <c r="Y13632"/>
  <c r="Y13633"/>
  <c r="Z13633" s="1"/>
  <c r="Y13634"/>
  <c r="Y13635"/>
  <c r="Y13636"/>
  <c r="Y13637"/>
  <c r="Z13637" s="1"/>
  <c r="Y13638"/>
  <c r="Y13639"/>
  <c r="Y13640"/>
  <c r="Y13641"/>
  <c r="Y13642"/>
  <c r="Y13643"/>
  <c r="Y13644"/>
  <c r="Y13645"/>
  <c r="Z13645" s="1"/>
  <c r="Y13646"/>
  <c r="Y13647"/>
  <c r="Y13648"/>
  <c r="Y13649"/>
  <c r="Y13650"/>
  <c r="Y13651"/>
  <c r="Y13652"/>
  <c r="Y13653"/>
  <c r="Z13653" s="1"/>
  <c r="Y13654"/>
  <c r="Y13655"/>
  <c r="Y13656"/>
  <c r="Y13657"/>
  <c r="Z13657" s="1"/>
  <c r="Y13658"/>
  <c r="Y13659"/>
  <c r="Y13660"/>
  <c r="Y13661"/>
  <c r="Y13662"/>
  <c r="Y13663"/>
  <c r="Y13664"/>
  <c r="Y13665"/>
  <c r="Z13665" s="1"/>
  <c r="Y13666"/>
  <c r="Y13667"/>
  <c r="Y13668"/>
  <c r="Y13669"/>
  <c r="Z13669" s="1"/>
  <c r="Y13670"/>
  <c r="Y13671"/>
  <c r="Y13672"/>
  <c r="Y13673"/>
  <c r="Y13674"/>
  <c r="Y13675"/>
  <c r="Y13676"/>
  <c r="Y13677"/>
  <c r="Z13677" s="1"/>
  <c r="Y13678"/>
  <c r="Y13679"/>
  <c r="Y13680"/>
  <c r="Y13681"/>
  <c r="Y13682"/>
  <c r="Y13683"/>
  <c r="Y13684"/>
  <c r="Y13685"/>
  <c r="Y13686"/>
  <c r="Y13687"/>
  <c r="Y13688"/>
  <c r="Y13689"/>
  <c r="Y13690"/>
  <c r="Y13691"/>
  <c r="Y13692"/>
  <c r="Y13693"/>
  <c r="Y13694"/>
  <c r="Y13695"/>
  <c r="Y13696"/>
  <c r="Y13697"/>
  <c r="Y13698"/>
  <c r="Y13699"/>
  <c r="Y13700"/>
  <c r="Y13701"/>
  <c r="Z13701" s="1"/>
  <c r="Y13702"/>
  <c r="Y13703"/>
  <c r="Y13704"/>
  <c r="Y13705"/>
  <c r="Y13706"/>
  <c r="Y13707"/>
  <c r="Y13708"/>
  <c r="Y13709"/>
  <c r="Z13709" s="1"/>
  <c r="Y13710"/>
  <c r="Y13711"/>
  <c r="Y13712"/>
  <c r="Y13713"/>
  <c r="Y13714"/>
  <c r="Y13715"/>
  <c r="Y13716"/>
  <c r="Y13717"/>
  <c r="Z13717" s="1"/>
  <c r="Y13718"/>
  <c r="Y13719"/>
  <c r="Y13720"/>
  <c r="Y13721"/>
  <c r="Z13721" s="1"/>
  <c r="Y13722"/>
  <c r="Y13723"/>
  <c r="Y13724"/>
  <c r="Y13725"/>
  <c r="Z13725" s="1"/>
  <c r="Y13726"/>
  <c r="Y13727"/>
  <c r="Y13728"/>
  <c r="Y13729"/>
  <c r="Y13730"/>
  <c r="Y13731"/>
  <c r="Y13732"/>
  <c r="Y13733"/>
  <c r="Y13734"/>
  <c r="Y13735"/>
  <c r="Y13736"/>
  <c r="Y13737"/>
  <c r="Z13737" s="1"/>
  <c r="Y13738"/>
  <c r="Y13739"/>
  <c r="Y13740"/>
  <c r="Y13741"/>
  <c r="Y13742"/>
  <c r="Y13743"/>
  <c r="Y13744"/>
  <c r="Y13745"/>
  <c r="Z13745" s="1"/>
  <c r="Y13746"/>
  <c r="Y13747"/>
  <c r="Y13748"/>
  <c r="Y13749"/>
  <c r="Z13749" s="1"/>
  <c r="Y13750"/>
  <c r="Y13751"/>
  <c r="Y13752"/>
  <c r="Y13753"/>
  <c r="Z13753" s="1"/>
  <c r="Y13754"/>
  <c r="Y13755"/>
  <c r="Y13756"/>
  <c r="Y13757"/>
  <c r="Z13757" s="1"/>
  <c r="Y13758"/>
  <c r="Y13759"/>
  <c r="Y13760"/>
  <c r="Y13761"/>
  <c r="Z13761" s="1"/>
  <c r="Y13762"/>
  <c r="Y13763"/>
  <c r="Y13764"/>
  <c r="Y13765"/>
  <c r="Z13765" s="1"/>
  <c r="Y13766"/>
  <c r="Y13767"/>
  <c r="Y13768"/>
  <c r="Y13769"/>
  <c r="Z13769" s="1"/>
  <c r="Y13770"/>
  <c r="Y13771"/>
  <c r="Y13772"/>
  <c r="Y13773"/>
  <c r="Y13774"/>
  <c r="Y13775"/>
  <c r="Y13776"/>
  <c r="Y13777"/>
  <c r="Z13777" s="1"/>
  <c r="Y13778"/>
  <c r="Y13779"/>
  <c r="Y13780"/>
  <c r="Y13781"/>
  <c r="Z13781" s="1"/>
  <c r="Y13782"/>
  <c r="Y13783"/>
  <c r="Y13784"/>
  <c r="Y13785"/>
  <c r="Z13785" s="1"/>
  <c r="Y13786"/>
  <c r="Y13787"/>
  <c r="Y13788"/>
  <c r="Y13789"/>
  <c r="Z13789" s="1"/>
  <c r="Y13790"/>
  <c r="Y13791"/>
  <c r="Y13792"/>
  <c r="Y13793"/>
  <c r="Y13794"/>
  <c r="Y13795"/>
  <c r="Y13796"/>
  <c r="Y13797"/>
  <c r="Z13797" s="1"/>
  <c r="Y13798"/>
  <c r="Y13799"/>
  <c r="Y13800"/>
  <c r="Y13801"/>
  <c r="Z13801" s="1"/>
  <c r="Y13802"/>
  <c r="Y13803"/>
  <c r="Y13804"/>
  <c r="Y13805"/>
  <c r="Z13805" s="1"/>
  <c r="Y13806"/>
  <c r="Y13807"/>
  <c r="Y13808"/>
  <c r="Y13809"/>
  <c r="Z13809" s="1"/>
  <c r="Y13810"/>
  <c r="Y13811"/>
  <c r="Y13812"/>
  <c r="Y13813"/>
  <c r="Y13814"/>
  <c r="Y13815"/>
  <c r="Y13816"/>
  <c r="Y13817"/>
  <c r="Y13818"/>
  <c r="Y13819"/>
  <c r="Y13820"/>
  <c r="Y13821"/>
  <c r="Y13822"/>
  <c r="Y13823"/>
  <c r="Y13824"/>
  <c r="Y13825"/>
  <c r="Z13825" s="1"/>
  <c r="Y13826"/>
  <c r="Y13827"/>
  <c r="Y13828"/>
  <c r="Y13829"/>
  <c r="Y13830"/>
  <c r="Y13831"/>
  <c r="Y13832"/>
  <c r="Y13833"/>
  <c r="Z13833" s="1"/>
  <c r="Y13834"/>
  <c r="Y13835"/>
  <c r="Y13836"/>
  <c r="Y13837"/>
  <c r="Y13838"/>
  <c r="Y13839"/>
  <c r="Y13840"/>
  <c r="Y13841"/>
  <c r="Z13841" s="1"/>
  <c r="Y13842"/>
  <c r="Y13843"/>
  <c r="Y13844"/>
  <c r="Y13845"/>
  <c r="Y13846"/>
  <c r="Y13847"/>
  <c r="Y13848"/>
  <c r="Z13848" s="1"/>
  <c r="Y13849"/>
  <c r="Z13849" s="1"/>
  <c r="Y13850"/>
  <c r="Y13851"/>
  <c r="Y13852"/>
  <c r="Z13852" s="1"/>
  <c r="Y13853"/>
  <c r="Y13854"/>
  <c r="Y13855"/>
  <c r="Y13856"/>
  <c r="Y13857"/>
  <c r="Z13857" s="1"/>
  <c r="Y13858"/>
  <c r="Y13859"/>
  <c r="Y13860"/>
  <c r="Y13861"/>
  <c r="Y13862"/>
  <c r="Y13863"/>
  <c r="Y13864"/>
  <c r="Y13865"/>
  <c r="Z13865" s="1"/>
  <c r="Y13866"/>
  <c r="Y13867"/>
  <c r="Y13868"/>
  <c r="Y13869"/>
  <c r="Y13870"/>
  <c r="Y13871"/>
  <c r="Y13872"/>
  <c r="Y13873"/>
  <c r="Y13874"/>
  <c r="Y13875"/>
  <c r="Y13876"/>
  <c r="Y13877"/>
  <c r="Y13878"/>
  <c r="Y13879"/>
  <c r="Y13880"/>
  <c r="Y13881"/>
  <c r="Y13882"/>
  <c r="Y13883"/>
  <c r="Y13884"/>
  <c r="Y13885"/>
  <c r="Z13885" s="1"/>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Z13913" s="1"/>
  <c r="Y13914"/>
  <c r="Y13915"/>
  <c r="Y13916"/>
  <c r="Y13917"/>
  <c r="Y13918"/>
  <c r="Y13919"/>
  <c r="Y13920"/>
  <c r="Y13921"/>
  <c r="Y13922"/>
  <c r="Y13923"/>
  <c r="Y13924"/>
  <c r="Y13925"/>
  <c r="Z13925" s="1"/>
  <c r="Y13926"/>
  <c r="Y13927"/>
  <c r="Y13928"/>
  <c r="Y13929"/>
  <c r="Y13930"/>
  <c r="Y13931"/>
  <c r="Y13932"/>
  <c r="Y13933"/>
  <c r="Z13933" s="1"/>
  <c r="Y13934"/>
  <c r="Y13935"/>
  <c r="Y13936"/>
  <c r="Y13937"/>
  <c r="Y13938"/>
  <c r="Y13939"/>
  <c r="Y13940"/>
  <c r="Y13941"/>
  <c r="Y13942"/>
  <c r="Y13943"/>
  <c r="Y13944"/>
  <c r="Y13945"/>
  <c r="Z13945" s="1"/>
  <c r="Y13946"/>
  <c r="Y13947"/>
  <c r="Y13948"/>
  <c r="Y13949"/>
  <c r="Y13950"/>
  <c r="Y13951"/>
  <c r="Y13952"/>
  <c r="Y13953"/>
  <c r="Z13953" s="1"/>
  <c r="Y13954"/>
  <c r="Y13955"/>
  <c r="Y13956"/>
  <c r="Y13957"/>
  <c r="Y13958"/>
  <c r="Y13959"/>
  <c r="Y13960"/>
  <c r="Y13961"/>
  <c r="Z13961" s="1"/>
  <c r="Y13962"/>
  <c r="Y13963"/>
  <c r="Y13964"/>
  <c r="Y13965"/>
  <c r="Y13966"/>
  <c r="Y13967"/>
  <c r="Y13968"/>
  <c r="Y13969"/>
  <c r="Z13969" s="1"/>
  <c r="Y13970"/>
  <c r="Y13971"/>
  <c r="Y13972"/>
  <c r="Y13973"/>
  <c r="Z13973" s="1"/>
  <c r="Y13974"/>
  <c r="Y13975"/>
  <c r="Y13976"/>
  <c r="Y13977"/>
  <c r="Y13978"/>
  <c r="Y13979"/>
  <c r="Y13980"/>
  <c r="Y13981"/>
  <c r="Y13982"/>
  <c r="Y13983"/>
  <c r="Y13984"/>
  <c r="Y13985"/>
  <c r="Z13985" s="1"/>
  <c r="Y13986"/>
  <c r="Y13987"/>
  <c r="Y13988"/>
  <c r="Y13989"/>
  <c r="Z13989" s="1"/>
  <c r="Y13990"/>
  <c r="Y13991"/>
  <c r="Y13992"/>
  <c r="Y13993"/>
  <c r="Y13994"/>
  <c r="Y13995"/>
  <c r="Y13996"/>
  <c r="Y13997"/>
  <c r="Y13998"/>
  <c r="Y13999"/>
  <c r="Y14000"/>
  <c r="Y14001"/>
  <c r="Z14001" s="1"/>
  <c r="Y14002"/>
  <c r="Y14003"/>
  <c r="Y14004"/>
  <c r="Y14005"/>
  <c r="Y14006"/>
  <c r="Y14007"/>
  <c r="Y14008"/>
  <c r="Y14009"/>
  <c r="Y14010"/>
  <c r="Y14011"/>
  <c r="Y14012"/>
  <c r="Y14013"/>
  <c r="Z14013" s="1"/>
  <c r="Y14014"/>
  <c r="Y14015"/>
  <c r="Y14016"/>
  <c r="Y14017"/>
  <c r="Z14017" s="1"/>
  <c r="Y14018"/>
  <c r="Y14019"/>
  <c r="Y14020"/>
  <c r="Y14021"/>
  <c r="Y14022"/>
  <c r="Y14023"/>
  <c r="Y14024"/>
  <c r="Y14025"/>
  <c r="Y14026"/>
  <c r="Y14027"/>
  <c r="Y14028"/>
  <c r="Z14028" s="1"/>
  <c r="Y14029"/>
  <c r="Z14029" s="1"/>
  <c r="Y14030"/>
  <c r="Y14031"/>
  <c r="Y14032"/>
  <c r="Y14033"/>
  <c r="Z14033" s="1"/>
  <c r="Y14034"/>
  <c r="Y14035"/>
  <c r="Y14036"/>
  <c r="Y14037"/>
  <c r="Z14037" s="1"/>
  <c r="Y14038"/>
  <c r="Y14039"/>
  <c r="Y14040"/>
  <c r="Y14041"/>
  <c r="Y14042"/>
  <c r="Y14043"/>
  <c r="Y14044"/>
  <c r="Y14045"/>
  <c r="Z14045" s="1"/>
  <c r="Y14046"/>
  <c r="Y14047"/>
  <c r="Y14048"/>
  <c r="Y14049"/>
  <c r="Y14050"/>
  <c r="Y14051"/>
  <c r="Y14052"/>
  <c r="Y14053"/>
  <c r="Z14053" s="1"/>
  <c r="Y14054"/>
  <c r="Y14055"/>
  <c r="Y14056"/>
  <c r="Y14057"/>
  <c r="Y14058"/>
  <c r="Y14059"/>
  <c r="Y14060"/>
  <c r="Y14061"/>
  <c r="Z14061" s="1"/>
  <c r="Y14062"/>
  <c r="Y14063"/>
  <c r="Y14064"/>
  <c r="Y14065"/>
  <c r="Z14065" s="1"/>
  <c r="Y14066"/>
  <c r="Y14067"/>
  <c r="Y14068"/>
  <c r="Y14069"/>
  <c r="Z14069" s="1"/>
  <c r="Y14070"/>
  <c r="Y14071"/>
  <c r="Y14072"/>
  <c r="Y14073"/>
  <c r="Y14074"/>
  <c r="Y14075"/>
  <c r="Y14076"/>
  <c r="Y14077"/>
  <c r="Y14078"/>
  <c r="Y14079"/>
  <c r="Y14080"/>
  <c r="Y14081"/>
  <c r="Y14082"/>
  <c r="Y14083"/>
  <c r="Y14084"/>
  <c r="Y14085"/>
  <c r="Z14085" s="1"/>
  <c r="Y14086"/>
  <c r="Y14087"/>
  <c r="Y14088"/>
  <c r="Y14089"/>
  <c r="Y14090"/>
  <c r="Y14091"/>
  <c r="Y14092"/>
  <c r="Y14093"/>
  <c r="Y14094"/>
  <c r="Y14095"/>
  <c r="Y14096"/>
  <c r="Y14097"/>
  <c r="Z14097" s="1"/>
  <c r="Y14098"/>
  <c r="Y14099"/>
  <c r="Y14100"/>
  <c r="Y14101"/>
  <c r="Y14102"/>
  <c r="Y14103"/>
  <c r="Y14104"/>
  <c r="Y14105"/>
  <c r="Y14106"/>
  <c r="Y14107"/>
  <c r="Y14108"/>
  <c r="Y14109"/>
  <c r="Z14109" s="1"/>
  <c r="Y14110"/>
  <c r="Y14111"/>
  <c r="Y14112"/>
  <c r="Z14112" s="1"/>
  <c r="Y14113"/>
  <c r="Z14113" s="1"/>
  <c r="Y14114"/>
  <c r="Y14115"/>
  <c r="Y14116"/>
  <c r="Y14117"/>
  <c r="Z14117" s="1"/>
  <c r="Y14118"/>
  <c r="Y14119"/>
  <c r="Y14120"/>
  <c r="Y14121"/>
  <c r="Z14121" s="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X46" i="1"/>
  <c r="X47" s="1"/>
  <c r="X45"/>
  <c r="X43"/>
  <c r="X4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K852"/>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AE600"/>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AF43"/>
  <c r="AE43" s="1"/>
  <c r="X42"/>
  <c r="Y34"/>
  <c r="W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AK27"/>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AK44"/>
  <c r="AH45"/>
  <c r="AI45"/>
  <c r="AJ45"/>
  <c r="AK45"/>
  <c r="AH46"/>
  <c r="AI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Z2034" s="1"/>
  <c r="W2035"/>
  <c r="W2036"/>
  <c r="Z2036" s="1"/>
  <c r="W2037"/>
  <c r="W2038"/>
  <c r="Z2038" s="1"/>
  <c r="W2039"/>
  <c r="W2040"/>
  <c r="W2041"/>
  <c r="W2042"/>
  <c r="Z2042" s="1"/>
  <c r="W2043"/>
  <c r="W2044"/>
  <c r="Z2044" s="1"/>
  <c r="W2045"/>
  <c r="W2046"/>
  <c r="Z2046" s="1"/>
  <c r="W2047"/>
  <c r="W2048"/>
  <c r="W2049"/>
  <c r="W2050"/>
  <c r="Z2050" s="1"/>
  <c r="W2051"/>
  <c r="W2052"/>
  <c r="Z2052" s="1"/>
  <c r="W2053"/>
  <c r="W2054"/>
  <c r="Z2054" s="1"/>
  <c r="W2055"/>
  <c r="W2056"/>
  <c r="W2057"/>
  <c r="W2058"/>
  <c r="Z2058" s="1"/>
  <c r="W2059"/>
  <c r="W2060"/>
  <c r="Z2060" s="1"/>
  <c r="W2061"/>
  <c r="W2062"/>
  <c r="Z2062" s="1"/>
  <c r="W2063"/>
  <c r="W2064"/>
  <c r="W2065"/>
  <c r="W2066"/>
  <c r="Z2066" s="1"/>
  <c r="W2067"/>
  <c r="W2068"/>
  <c r="Z2068" s="1"/>
  <c r="W2069"/>
  <c r="W2070"/>
  <c r="Z2070" s="1"/>
  <c r="W2071"/>
  <c r="W2072"/>
  <c r="W2073"/>
  <c r="W2074"/>
  <c r="Z2074" s="1"/>
  <c r="W2075"/>
  <c r="W2076"/>
  <c r="Z2076" s="1"/>
  <c r="W2077"/>
  <c r="W2078"/>
  <c r="Z2078" s="1"/>
  <c r="W2079"/>
  <c r="W2080"/>
  <c r="W2081"/>
  <c r="W2082"/>
  <c r="Z2082" s="1"/>
  <c r="W2083"/>
  <c r="W2084"/>
  <c r="Z2084" s="1"/>
  <c r="W2085"/>
  <c r="W2086"/>
  <c r="Z2086" s="1"/>
  <c r="W2087"/>
  <c r="W2088"/>
  <c r="W2089"/>
  <c r="W2090"/>
  <c r="Z2090" s="1"/>
  <c r="W2091"/>
  <c r="W2092"/>
  <c r="Z2092" s="1"/>
  <c r="W2093"/>
  <c r="W2094"/>
  <c r="Z2094" s="1"/>
  <c r="W2095"/>
  <c r="W2096"/>
  <c r="W2097"/>
  <c r="W2098"/>
  <c r="Z2098" s="1"/>
  <c r="W2099"/>
  <c r="W2100"/>
  <c r="Z2100" s="1"/>
  <c r="W2101"/>
  <c r="W2102"/>
  <c r="Z2102" s="1"/>
  <c r="W2103"/>
  <c r="W2104"/>
  <c r="W2105"/>
  <c r="W2106"/>
  <c r="Z2106" s="1"/>
  <c r="W2107"/>
  <c r="W2108"/>
  <c r="Z2108" s="1"/>
  <c r="W2109"/>
  <c r="W2110"/>
  <c r="Z2110" s="1"/>
  <c r="W2111"/>
  <c r="W2112"/>
  <c r="W2113"/>
  <c r="W2114"/>
  <c r="Z2114" s="1"/>
  <c r="W2115"/>
  <c r="W2116"/>
  <c r="Z2116" s="1"/>
  <c r="W2117"/>
  <c r="W2118"/>
  <c r="Z2118" s="1"/>
  <c r="W2119"/>
  <c r="W2120"/>
  <c r="W2121"/>
  <c r="W2122"/>
  <c r="Z2122" s="1"/>
  <c r="W2123"/>
  <c r="W2124"/>
  <c r="Z2124" s="1"/>
  <c r="W2125"/>
  <c r="W2126"/>
  <c r="Z2126" s="1"/>
  <c r="W2127"/>
  <c r="W2128"/>
  <c r="W2129"/>
  <c r="W2130"/>
  <c r="Z2130" s="1"/>
  <c r="W2131"/>
  <c r="W2132"/>
  <c r="Z2132" s="1"/>
  <c r="W2133"/>
  <c r="W2134"/>
  <c r="Z2134" s="1"/>
  <c r="W2135"/>
  <c r="W2136"/>
  <c r="W2137"/>
  <c r="W2138"/>
  <c r="Z2138" s="1"/>
  <c r="W2139"/>
  <c r="W2140"/>
  <c r="Z2140" s="1"/>
  <c r="W2141"/>
  <c r="W2142"/>
  <c r="Z2142" s="1"/>
  <c r="W2143"/>
  <c r="W2144"/>
  <c r="W2145"/>
  <c r="W2146"/>
  <c r="Z2146" s="1"/>
  <c r="W2147"/>
  <c r="W2148"/>
  <c r="Z2148" s="1"/>
  <c r="W2149"/>
  <c r="W2150"/>
  <c r="Z2150" s="1"/>
  <c r="W2151"/>
  <c r="W2152"/>
  <c r="W2153"/>
  <c r="W2154"/>
  <c r="Z2154" s="1"/>
  <c r="W2155"/>
  <c r="W2156"/>
  <c r="Z2156" s="1"/>
  <c r="W2157"/>
  <c r="W2158"/>
  <c r="Z2158" s="1"/>
  <c r="W2159"/>
  <c r="W2160"/>
  <c r="W2161"/>
  <c r="W2162"/>
  <c r="Z2162" s="1"/>
  <c r="W2163"/>
  <c r="W2164"/>
  <c r="Z2164" s="1"/>
  <c r="W2165"/>
  <c r="W2166"/>
  <c r="Z2166" s="1"/>
  <c r="W2167"/>
  <c r="W2168"/>
  <c r="W2169"/>
  <c r="W2170"/>
  <c r="Z2170" s="1"/>
  <c r="W2171"/>
  <c r="W2172"/>
  <c r="Z2172" s="1"/>
  <c r="W2173"/>
  <c r="W2174"/>
  <c r="Z2174" s="1"/>
  <c r="W2175"/>
  <c r="W2176"/>
  <c r="W2177"/>
  <c r="W2178"/>
  <c r="Z2178" s="1"/>
  <c r="W2179"/>
  <c r="W2180"/>
  <c r="Z2180" s="1"/>
  <c r="W2181"/>
  <c r="W2182"/>
  <c r="Z2182" s="1"/>
  <c r="W2183"/>
  <c r="W2184"/>
  <c r="W2185"/>
  <c r="W2186"/>
  <c r="Z2186" s="1"/>
  <c r="W2187"/>
  <c r="W2188"/>
  <c r="Z2188" s="1"/>
  <c r="W2189"/>
  <c r="W2190"/>
  <c r="Z2190" s="1"/>
  <c r="W2191"/>
  <c r="W2192"/>
  <c r="W2193"/>
  <c r="W2194"/>
  <c r="Z2194" s="1"/>
  <c r="W2195"/>
  <c r="W2196"/>
  <c r="Z2196" s="1"/>
  <c r="W2197"/>
  <c r="W2198"/>
  <c r="Z2198" s="1"/>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Z2402" s="1"/>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Z2482" s="1"/>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W2894"/>
  <c r="Z2894" s="1"/>
  <c r="W2895"/>
  <c r="Z2895" s="1"/>
  <c r="W2896"/>
  <c r="Z2896" s="1"/>
  <c r="W2897"/>
  <c r="W2898"/>
  <c r="Z2898" s="1"/>
  <c r="W2899"/>
  <c r="Z2899" s="1"/>
  <c r="W2900"/>
  <c r="Z2900" s="1"/>
  <c r="W2901"/>
  <c r="W2902"/>
  <c r="Z2902" s="1"/>
  <c r="W2903"/>
  <c r="Z2903" s="1"/>
  <c r="W2904"/>
  <c r="Z2904" s="1"/>
  <c r="W2905"/>
  <c r="W2906"/>
  <c r="Z2906" s="1"/>
  <c r="W2907"/>
  <c r="Z2907" s="1"/>
  <c r="W2908"/>
  <c r="Z2908" s="1"/>
  <c r="W2909"/>
  <c r="W2910"/>
  <c r="Z2910" s="1"/>
  <c r="W2911"/>
  <c r="Z2911" s="1"/>
  <c r="W2912"/>
  <c r="Z2912" s="1"/>
  <c r="W2913"/>
  <c r="W2914"/>
  <c r="Z2914" s="1"/>
  <c r="W2915"/>
  <c r="Z2915" s="1"/>
  <c r="W2916"/>
  <c r="Z2916" s="1"/>
  <c r="W2917"/>
  <c r="W2918"/>
  <c r="Z2918" s="1"/>
  <c r="W2919"/>
  <c r="Z2919" s="1"/>
  <c r="W2920"/>
  <c r="Z2920" s="1"/>
  <c r="W2921"/>
  <c r="W2922"/>
  <c r="Z2922" s="1"/>
  <c r="W2923"/>
  <c r="Z2923" s="1"/>
  <c r="W2924"/>
  <c r="Z2924" s="1"/>
  <c r="W2925"/>
  <c r="W2926"/>
  <c r="Z2926" s="1"/>
  <c r="W2927"/>
  <c r="Z2927" s="1"/>
  <c r="W2928"/>
  <c r="Z2928" s="1"/>
  <c r="W2929"/>
  <c r="W2930"/>
  <c r="Z2930" s="1"/>
  <c r="W2931"/>
  <c r="Z2931" s="1"/>
  <c r="W2932"/>
  <c r="Z2932" s="1"/>
  <c r="W2933"/>
  <c r="W2934"/>
  <c r="Z2934" s="1"/>
  <c r="W2935"/>
  <c r="Z2935" s="1"/>
  <c r="W2936"/>
  <c r="Z2936" s="1"/>
  <c r="W2937"/>
  <c r="W2938"/>
  <c r="Z2938" s="1"/>
  <c r="W2939"/>
  <c r="Z2939" s="1"/>
  <c r="W2940"/>
  <c r="Z2940" s="1"/>
  <c r="W2941"/>
  <c r="W2942"/>
  <c r="Z2942" s="1"/>
  <c r="W2943"/>
  <c r="Z2943" s="1"/>
  <c r="W2944"/>
  <c r="Z2944" s="1"/>
  <c r="W2945"/>
  <c r="W2946"/>
  <c r="Z2946" s="1"/>
  <c r="W2947"/>
  <c r="Z2947" s="1"/>
  <c r="W2948"/>
  <c r="Z2948" s="1"/>
  <c r="W2949"/>
  <c r="W2950"/>
  <c r="Z2950" s="1"/>
  <c r="W2951"/>
  <c r="Z2951" s="1"/>
  <c r="W2952"/>
  <c r="Z2952" s="1"/>
  <c r="W2953"/>
  <c r="W2954"/>
  <c r="Z2954" s="1"/>
  <c r="W2955"/>
  <c r="Z2955" s="1"/>
  <c r="W2956"/>
  <c r="Z2956" s="1"/>
  <c r="W2957"/>
  <c r="W2958"/>
  <c r="Z2958" s="1"/>
  <c r="W2959"/>
  <c r="Z2959" s="1"/>
  <c r="W2960"/>
  <c r="Z2960" s="1"/>
  <c r="W2961"/>
  <c r="W2962"/>
  <c r="Z2962" s="1"/>
  <c r="W2963"/>
  <c r="Z2963" s="1"/>
  <c r="W2964"/>
  <c r="Z2964" s="1"/>
  <c r="W2965"/>
  <c r="W2966"/>
  <c r="Z2966" s="1"/>
  <c r="W2967"/>
  <c r="Z2967" s="1"/>
  <c r="W2968"/>
  <c r="Z2968" s="1"/>
  <c r="W2969"/>
  <c r="W2970"/>
  <c r="Z2970" s="1"/>
  <c r="W2971"/>
  <c r="Z2971" s="1"/>
  <c r="W2972"/>
  <c r="Z2972" s="1"/>
  <c r="W2973"/>
  <c r="W2974"/>
  <c r="Z2974" s="1"/>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Z3010" s="1"/>
  <c r="W3011"/>
  <c r="Z3011" s="1"/>
  <c r="W3012"/>
  <c r="Z3012" s="1"/>
  <c r="W3013"/>
  <c r="W3014"/>
  <c r="Z3014" s="1"/>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Z3546" s="1"/>
  <c r="W3547"/>
  <c r="Z3547" s="1"/>
  <c r="W3548"/>
  <c r="Z3548" s="1"/>
  <c r="W3549"/>
  <c r="W3550"/>
  <c r="Z3550" s="1"/>
  <c r="W3551"/>
  <c r="Z3551" s="1"/>
  <c r="W3552"/>
  <c r="Z3552" s="1"/>
  <c r="W3553"/>
  <c r="W3554"/>
  <c r="Z3554" s="1"/>
  <c r="W3555"/>
  <c r="Z3555" s="1"/>
  <c r="W3556"/>
  <c r="Z3556" s="1"/>
  <c r="W3557"/>
  <c r="W3558"/>
  <c r="Z3558" s="1"/>
  <c r="W3559"/>
  <c r="Z3559" s="1"/>
  <c r="W3560"/>
  <c r="Z3560" s="1"/>
  <c r="W3561"/>
  <c r="W3562"/>
  <c r="Z3562" s="1"/>
  <c r="W3563"/>
  <c r="Z3563" s="1"/>
  <c r="W3564"/>
  <c r="Z3564" s="1"/>
  <c r="W3565"/>
  <c r="W3566"/>
  <c r="Z3566" s="1"/>
  <c r="W3567"/>
  <c r="Z3567" s="1"/>
  <c r="W3568"/>
  <c r="Z3568" s="1"/>
  <c r="W3569"/>
  <c r="W3570"/>
  <c r="Z3570" s="1"/>
  <c r="W3571"/>
  <c r="Z3571" s="1"/>
  <c r="W3572"/>
  <c r="Z3572" s="1"/>
  <c r="W3573"/>
  <c r="W3574"/>
  <c r="Z3574" s="1"/>
  <c r="W3575"/>
  <c r="Z3575" s="1"/>
  <c r="W3576"/>
  <c r="Z3576" s="1"/>
  <c r="W3577"/>
  <c r="W3578"/>
  <c r="Z3578" s="1"/>
  <c r="W3579"/>
  <c r="Z3579" s="1"/>
  <c r="W3580"/>
  <c r="Z3580" s="1"/>
  <c r="W3581"/>
  <c r="W3582"/>
  <c r="Z3582" s="1"/>
  <c r="W3583"/>
  <c r="Z3583" s="1"/>
  <c r="W3584"/>
  <c r="Z3584" s="1"/>
  <c r="W3585"/>
  <c r="W3586"/>
  <c r="Z3586" s="1"/>
  <c r="W3587"/>
  <c r="Z3587" s="1"/>
  <c r="W3588"/>
  <c r="Z3588" s="1"/>
  <c r="W3589"/>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Z3642" s="1"/>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Z3666" s="1"/>
  <c r="W3667"/>
  <c r="Z3667" s="1"/>
  <c r="W3668"/>
  <c r="X3668" s="1"/>
  <c r="W3669"/>
  <c r="W3670"/>
  <c r="W3671"/>
  <c r="Z3671" s="1"/>
  <c r="W3672"/>
  <c r="W3673"/>
  <c r="W3674"/>
  <c r="Z3674" s="1"/>
  <c r="W3675"/>
  <c r="Z3675" s="1"/>
  <c r="W3676"/>
  <c r="W3677"/>
  <c r="W3678"/>
  <c r="W3679"/>
  <c r="Z3679" s="1"/>
  <c r="W3680"/>
  <c r="W3681"/>
  <c r="W3682"/>
  <c r="W3683"/>
  <c r="W3684"/>
  <c r="W3685"/>
  <c r="W3686"/>
  <c r="Z3686" s="1"/>
  <c r="W3687"/>
  <c r="Z3687" s="1"/>
  <c r="W3688"/>
  <c r="W3689"/>
  <c r="W3690"/>
  <c r="Z3690" s="1"/>
  <c r="W3691"/>
  <c r="Z3691" s="1"/>
  <c r="W3692"/>
  <c r="W3693"/>
  <c r="W3694"/>
  <c r="W3695"/>
  <c r="Z3695" s="1"/>
  <c r="W3696"/>
  <c r="W3697"/>
  <c r="W3698"/>
  <c r="Z3698" s="1"/>
  <c r="W3699"/>
  <c r="Z3699" s="1"/>
  <c r="W3700"/>
  <c r="Z3700" s="1"/>
  <c r="W3701"/>
  <c r="W3702"/>
  <c r="Z3702" s="1"/>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W3854"/>
  <c r="Z3854" s="1"/>
  <c r="W3855"/>
  <c r="Z3855" s="1"/>
  <c r="W3856"/>
  <c r="Z3856" s="1"/>
  <c r="W3857"/>
  <c r="W3858"/>
  <c r="Z3858" s="1"/>
  <c r="W3859"/>
  <c r="Z3859" s="1"/>
  <c r="W3860"/>
  <c r="Z3860" s="1"/>
  <c r="W3861"/>
  <c r="W3862"/>
  <c r="Z3862" s="1"/>
  <c r="W3863"/>
  <c r="Z3863" s="1"/>
  <c r="W3864"/>
  <c r="Z3864" s="1"/>
  <c r="W3865"/>
  <c r="W3866"/>
  <c r="Z3866" s="1"/>
  <c r="W3867"/>
  <c r="Z3867" s="1"/>
  <c r="W3868"/>
  <c r="Z3868" s="1"/>
  <c r="W3869"/>
  <c r="W3870"/>
  <c r="Z3870" s="1"/>
  <c r="W3871"/>
  <c r="Z3871" s="1"/>
  <c r="W3872"/>
  <c r="Z3872" s="1"/>
  <c r="W3873"/>
  <c r="W3874"/>
  <c r="Z3874" s="1"/>
  <c r="W3875"/>
  <c r="Z3875" s="1"/>
  <c r="W3876"/>
  <c r="Z3876" s="1"/>
  <c r="W3877"/>
  <c r="W3878"/>
  <c r="Z3878" s="1"/>
  <c r="W3879"/>
  <c r="Z3879" s="1"/>
  <c r="W3880"/>
  <c r="Z3880" s="1"/>
  <c r="W3881"/>
  <c r="W3882"/>
  <c r="Z3882" s="1"/>
  <c r="W3883"/>
  <c r="Z3883" s="1"/>
  <c r="W3884"/>
  <c r="Z3884" s="1"/>
  <c r="W3885"/>
  <c r="W3886"/>
  <c r="Z3886" s="1"/>
  <c r="W3887"/>
  <c r="Z3887" s="1"/>
  <c r="W3888"/>
  <c r="Z3888" s="1"/>
  <c r="W3889"/>
  <c r="W3890"/>
  <c r="Z3890" s="1"/>
  <c r="W3891"/>
  <c r="Z3891" s="1"/>
  <c r="W3892"/>
  <c r="Z3892" s="1"/>
  <c r="W3893"/>
  <c r="W3894"/>
  <c r="Z3894" s="1"/>
  <c r="W3895"/>
  <c r="Z3895" s="1"/>
  <c r="W3896"/>
  <c r="Z3896" s="1"/>
  <c r="W3897"/>
  <c r="W3898"/>
  <c r="Z3898" s="1"/>
  <c r="W3899"/>
  <c r="Z3899" s="1"/>
  <c r="W3900"/>
  <c r="Z3900" s="1"/>
  <c r="W3901"/>
  <c r="W3902"/>
  <c r="Z3902" s="1"/>
  <c r="W3903"/>
  <c r="Z3903" s="1"/>
  <c r="W3904"/>
  <c r="Z3904" s="1"/>
  <c r="W3905"/>
  <c r="W3906"/>
  <c r="Z3906" s="1"/>
  <c r="W3907"/>
  <c r="Z3907" s="1"/>
  <c r="W3908"/>
  <c r="Z3908" s="1"/>
  <c r="W3909"/>
  <c r="W3910"/>
  <c r="Z3910" s="1"/>
  <c r="W3911"/>
  <c r="Z3911" s="1"/>
  <c r="W3912"/>
  <c r="Z3912" s="1"/>
  <c r="W3913"/>
  <c r="W3914"/>
  <c r="Z3914" s="1"/>
  <c r="W3915"/>
  <c r="Z3915" s="1"/>
  <c r="W3916"/>
  <c r="Z3916" s="1"/>
  <c r="W3917"/>
  <c r="W3918"/>
  <c r="Z3918" s="1"/>
  <c r="W3919"/>
  <c r="Z3919" s="1"/>
  <c r="W3920"/>
  <c r="Z3920" s="1"/>
  <c r="W3921"/>
  <c r="W3922"/>
  <c r="Z3922" s="1"/>
  <c r="W3923"/>
  <c r="Z3923" s="1"/>
  <c r="W3924"/>
  <c r="Z3924" s="1"/>
  <c r="W3925"/>
  <c r="W3926"/>
  <c r="Z3926" s="1"/>
  <c r="W3927"/>
  <c r="Z3927" s="1"/>
  <c r="W3928"/>
  <c r="Z3928" s="1"/>
  <c r="W3929"/>
  <c r="W3930"/>
  <c r="Z3930" s="1"/>
  <c r="W3931"/>
  <c r="Z3931" s="1"/>
  <c r="W3932"/>
  <c r="Z3932" s="1"/>
  <c r="W3933"/>
  <c r="W3934"/>
  <c r="Z3934" s="1"/>
  <c r="W3935"/>
  <c r="Z3935" s="1"/>
  <c r="W3936"/>
  <c r="Z3936" s="1"/>
  <c r="W3937"/>
  <c r="W3938"/>
  <c r="Z3938" s="1"/>
  <c r="W3939"/>
  <c r="Z3939" s="1"/>
  <c r="W3940"/>
  <c r="Z3940" s="1"/>
  <c r="W3941"/>
  <c r="W3942"/>
  <c r="Z3942" s="1"/>
  <c r="W3943"/>
  <c r="Z3943" s="1"/>
  <c r="W3944"/>
  <c r="Z3944" s="1"/>
  <c r="W3945"/>
  <c r="W3946"/>
  <c r="Z3946" s="1"/>
  <c r="W3947"/>
  <c r="Z3947" s="1"/>
  <c r="W3948"/>
  <c r="Z3948" s="1"/>
  <c r="W3949"/>
  <c r="W3950"/>
  <c r="Z3950" s="1"/>
  <c r="W3951"/>
  <c r="Z3951" s="1"/>
  <c r="W3952"/>
  <c r="Z3952" s="1"/>
  <c r="W3953"/>
  <c r="W3954"/>
  <c r="Z3954" s="1"/>
  <c r="W3955"/>
  <c r="Z3955" s="1"/>
  <c r="W3956"/>
  <c r="Z3956" s="1"/>
  <c r="W3957"/>
  <c r="W3958"/>
  <c r="Z3958" s="1"/>
  <c r="W3959"/>
  <c r="Z3959" s="1"/>
  <c r="W3960"/>
  <c r="Z3960" s="1"/>
  <c r="W3961"/>
  <c r="W3962"/>
  <c r="Z3962" s="1"/>
  <c r="W3963"/>
  <c r="Z3963" s="1"/>
  <c r="W3964"/>
  <c r="Z3964" s="1"/>
  <c r="W3965"/>
  <c r="W3966"/>
  <c r="Z3966" s="1"/>
  <c r="W3967"/>
  <c r="Z3967" s="1"/>
  <c r="W3968"/>
  <c r="Z3968" s="1"/>
  <c r="W3969"/>
  <c r="W3970"/>
  <c r="Z3970" s="1"/>
  <c r="W3971"/>
  <c r="Z3971" s="1"/>
  <c r="W3972"/>
  <c r="Z3972" s="1"/>
  <c r="W3973"/>
  <c r="W3974"/>
  <c r="Z3974" s="1"/>
  <c r="W3975"/>
  <c r="Z3975" s="1"/>
  <c r="W3976"/>
  <c r="Z3976" s="1"/>
  <c r="W3977"/>
  <c r="W3978"/>
  <c r="Z3978" s="1"/>
  <c r="W3979"/>
  <c r="Z3979" s="1"/>
  <c r="W3980"/>
  <c r="Z3980" s="1"/>
  <c r="W3981"/>
  <c r="W3982"/>
  <c r="Z3982" s="1"/>
  <c r="W3983"/>
  <c r="Z3983" s="1"/>
  <c r="W3984"/>
  <c r="Z3984" s="1"/>
  <c r="W3985"/>
  <c r="W3986"/>
  <c r="Z3986" s="1"/>
  <c r="W3987"/>
  <c r="Z3987" s="1"/>
  <c r="W3988"/>
  <c r="Z3988" s="1"/>
  <c r="W3989"/>
  <c r="W3990"/>
  <c r="Z3990" s="1"/>
  <c r="W3991"/>
  <c r="Z3991" s="1"/>
  <c r="W3992"/>
  <c r="Z3992" s="1"/>
  <c r="W3993"/>
  <c r="W3994"/>
  <c r="Z3994" s="1"/>
  <c r="W3995"/>
  <c r="Z3995" s="1"/>
  <c r="W3996"/>
  <c r="Z3996" s="1"/>
  <c r="W3997"/>
  <c r="W3998"/>
  <c r="Z3998" s="1"/>
  <c r="W3999"/>
  <c r="Z3999" s="1"/>
  <c r="W4000"/>
  <c r="Z4000" s="1"/>
  <c r="W4001"/>
  <c r="W4002"/>
  <c r="Z4002" s="1"/>
  <c r="W4003"/>
  <c r="Z4003" s="1"/>
  <c r="W4004"/>
  <c r="Z4004" s="1"/>
  <c r="W4005"/>
  <c r="W4006"/>
  <c r="Z4006" s="1"/>
  <c r="W4007"/>
  <c r="Z4007" s="1"/>
  <c r="W4008"/>
  <c r="Z4008" s="1"/>
  <c r="W4009"/>
  <c r="W4010"/>
  <c r="Z4010" s="1"/>
  <c r="W4011"/>
  <c r="Z4011" s="1"/>
  <c r="W4012"/>
  <c r="Z4012" s="1"/>
  <c r="W4013"/>
  <c r="W4014"/>
  <c r="Z4014" s="1"/>
  <c r="W4015"/>
  <c r="Z4015" s="1"/>
  <c r="W4016"/>
  <c r="Z4016" s="1"/>
  <c r="W4017"/>
  <c r="W4018"/>
  <c r="Z4018" s="1"/>
  <c r="W4019"/>
  <c r="Z4019" s="1"/>
  <c r="W4020"/>
  <c r="Z4020" s="1"/>
  <c r="W4021"/>
  <c r="W4022"/>
  <c r="Z4022" s="1"/>
  <c r="W4023"/>
  <c r="Z4023" s="1"/>
  <c r="W4024"/>
  <c r="Z4024" s="1"/>
  <c r="W4025"/>
  <c r="W4026"/>
  <c r="Z4026" s="1"/>
  <c r="W4027"/>
  <c r="Z4027" s="1"/>
  <c r="W4028"/>
  <c r="Z4028" s="1"/>
  <c r="W4029"/>
  <c r="W4030"/>
  <c r="Z4030" s="1"/>
  <c r="W4031"/>
  <c r="Z4031" s="1"/>
  <c r="W4032"/>
  <c r="Z4032" s="1"/>
  <c r="W4033"/>
  <c r="W4034"/>
  <c r="Z4034" s="1"/>
  <c r="W4035"/>
  <c r="Z4035" s="1"/>
  <c r="W4036"/>
  <c r="Z4036" s="1"/>
  <c r="W4037"/>
  <c r="W4038"/>
  <c r="Z4038" s="1"/>
  <c r="W4039"/>
  <c r="Z4039" s="1"/>
  <c r="W4040"/>
  <c r="Z4040" s="1"/>
  <c r="W4041"/>
  <c r="W4042"/>
  <c r="Z4042" s="1"/>
  <c r="W4043"/>
  <c r="Z4043" s="1"/>
  <c r="W4044"/>
  <c r="Z4044" s="1"/>
  <c r="W4045"/>
  <c r="W4046"/>
  <c r="Z4046" s="1"/>
  <c r="W4047"/>
  <c r="Z4047" s="1"/>
  <c r="W4048"/>
  <c r="Z4048" s="1"/>
  <c r="W4049"/>
  <c r="W4050"/>
  <c r="Z4050" s="1"/>
  <c r="W4051"/>
  <c r="Z4051" s="1"/>
  <c r="W4052"/>
  <c r="Z4052" s="1"/>
  <c r="W4053"/>
  <c r="W4054"/>
  <c r="Z4054" s="1"/>
  <c r="W4055"/>
  <c r="Z4055" s="1"/>
  <c r="W4056"/>
  <c r="Z4056" s="1"/>
  <c r="W4057"/>
  <c r="W4058"/>
  <c r="Z4058" s="1"/>
  <c r="W4059"/>
  <c r="Z4059" s="1"/>
  <c r="W4060"/>
  <c r="Z4060" s="1"/>
  <c r="W4061"/>
  <c r="W4062"/>
  <c r="Z4062" s="1"/>
  <c r="W4063"/>
  <c r="Z4063" s="1"/>
  <c r="W4064"/>
  <c r="Z4064" s="1"/>
  <c r="W4065"/>
  <c r="W4066"/>
  <c r="Z4066" s="1"/>
  <c r="W4067"/>
  <c r="Z4067" s="1"/>
  <c r="W4068"/>
  <c r="Z4068" s="1"/>
  <c r="W4069"/>
  <c r="W4070"/>
  <c r="Z4070" s="1"/>
  <c r="W4071"/>
  <c r="Z4071" s="1"/>
  <c r="W4072"/>
  <c r="Z4072" s="1"/>
  <c r="W4073"/>
  <c r="W4074"/>
  <c r="Z4074" s="1"/>
  <c r="W4075"/>
  <c r="Z4075" s="1"/>
  <c r="W4076"/>
  <c r="Z4076" s="1"/>
  <c r="W4077"/>
  <c r="W4078"/>
  <c r="Z4078" s="1"/>
  <c r="W4079"/>
  <c r="Z4079" s="1"/>
  <c r="W4080"/>
  <c r="Z4080" s="1"/>
  <c r="W4081"/>
  <c r="W4082"/>
  <c r="Z4082" s="1"/>
  <c r="W4083"/>
  <c r="Z4083" s="1"/>
  <c r="W4084"/>
  <c r="Z4084" s="1"/>
  <c r="W4085"/>
  <c r="W4086"/>
  <c r="Z4086" s="1"/>
  <c r="W4087"/>
  <c r="Z4087" s="1"/>
  <c r="W4088"/>
  <c r="Z4088" s="1"/>
  <c r="W4089"/>
  <c r="W4090"/>
  <c r="Z4090" s="1"/>
  <c r="W4091"/>
  <c r="Z4091" s="1"/>
  <c r="W4092"/>
  <c r="Z4092" s="1"/>
  <c r="W4093"/>
  <c r="W4094"/>
  <c r="Z4094" s="1"/>
  <c r="W4095"/>
  <c r="Z4095" s="1"/>
  <c r="W4096"/>
  <c r="Z4096" s="1"/>
  <c r="W4097"/>
  <c r="W4098"/>
  <c r="Z4098" s="1"/>
  <c r="W4099"/>
  <c r="Z4099" s="1"/>
  <c r="W4100"/>
  <c r="Z4100" s="1"/>
  <c r="W4101"/>
  <c r="W4102"/>
  <c r="Z4102" s="1"/>
  <c r="W4103"/>
  <c r="Z4103" s="1"/>
  <c r="W4104"/>
  <c r="Z4104" s="1"/>
  <c r="W4105"/>
  <c r="W4106"/>
  <c r="Z4106" s="1"/>
  <c r="W4107"/>
  <c r="Z4107" s="1"/>
  <c r="W4108"/>
  <c r="Z4108" s="1"/>
  <c r="W4109"/>
  <c r="W4110"/>
  <c r="Z4110" s="1"/>
  <c r="W4111"/>
  <c r="Z4111" s="1"/>
  <c r="W4112"/>
  <c r="Z4112" s="1"/>
  <c r="W4113"/>
  <c r="W4114"/>
  <c r="Z4114" s="1"/>
  <c r="W4115"/>
  <c r="Z4115" s="1"/>
  <c r="W4116"/>
  <c r="Z4116" s="1"/>
  <c r="W4117"/>
  <c r="W4118"/>
  <c r="Z4118" s="1"/>
  <c r="W4119"/>
  <c r="Z4119" s="1"/>
  <c r="W4120"/>
  <c r="Z4120" s="1"/>
  <c r="W4121"/>
  <c r="W4122"/>
  <c r="Z4122" s="1"/>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Z4502" s="1"/>
  <c r="W4503"/>
  <c r="Z4503" s="1"/>
  <c r="W4504"/>
  <c r="Z4504" s="1"/>
  <c r="W4505"/>
  <c r="W4506"/>
  <c r="Z4506" s="1"/>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W4746"/>
  <c r="Z4746" s="1"/>
  <c r="W4747"/>
  <c r="X4747" s="1"/>
  <c r="W4748"/>
  <c r="Z4748" s="1"/>
  <c r="W4749"/>
  <c r="W4750"/>
  <c r="Z4750" s="1"/>
  <c r="W4751"/>
  <c r="W4752"/>
  <c r="Z4752" s="1"/>
  <c r="W4753"/>
  <c r="W4754"/>
  <c r="Z4754" s="1"/>
  <c r="W4755"/>
  <c r="X4755" s="1"/>
  <c r="W4756"/>
  <c r="Z4756" s="1"/>
  <c r="W4757"/>
  <c r="W4758"/>
  <c r="Z4758" s="1"/>
  <c r="W4759"/>
  <c r="W4760"/>
  <c r="Z4760" s="1"/>
  <c r="W476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W4882"/>
  <c r="Z4882" s="1"/>
  <c r="W4883"/>
  <c r="X4883" s="1"/>
  <c r="W4884"/>
  <c r="Z4884" s="1"/>
  <c r="W4885"/>
  <c r="X4885" s="1"/>
  <c r="W4886"/>
  <c r="Z4886" s="1"/>
  <c r="W4887"/>
  <c r="W4888"/>
  <c r="Z4888" s="1"/>
  <c r="W4889"/>
  <c r="W4890"/>
  <c r="Z4890" s="1"/>
  <c r="W4891"/>
  <c r="X4891" s="1"/>
  <c r="W4892"/>
  <c r="Z4892" s="1"/>
  <c r="W4893"/>
  <c r="X4893" s="1"/>
  <c r="W4894"/>
  <c r="Z4894" s="1"/>
  <c r="W4895"/>
  <c r="X4895" s="1"/>
  <c r="W4896"/>
  <c r="Z4896" s="1"/>
  <c r="W4897"/>
  <c r="X4897" s="1"/>
  <c r="W4898"/>
  <c r="Z4898" s="1"/>
  <c r="W4899"/>
  <c r="X4899" s="1"/>
  <c r="W4900"/>
  <c r="Z4900" s="1"/>
  <c r="W4901"/>
  <c r="W4902"/>
  <c r="Z4902" s="1"/>
  <c r="W4903"/>
  <c r="X4903" s="1"/>
  <c r="W4904"/>
  <c r="Z4904" s="1"/>
  <c r="W4905"/>
  <c r="W4906"/>
  <c r="Z4906" s="1"/>
  <c r="W4907"/>
  <c r="X4907" s="1"/>
  <c r="W4908"/>
  <c r="Z4908" s="1"/>
  <c r="W4909"/>
  <c r="X4909" s="1"/>
  <c r="W4910"/>
  <c r="Z4910" s="1"/>
  <c r="W4911"/>
  <c r="W4912"/>
  <c r="Z4912" s="1"/>
  <c r="W4913"/>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W4998"/>
  <c r="Z4998" s="1"/>
  <c r="W4999"/>
  <c r="X4999" s="1"/>
  <c r="W5000"/>
  <c r="Z5000" s="1"/>
  <c r="W5001"/>
  <c r="W5002"/>
  <c r="Z5002" s="1"/>
  <c r="W5003"/>
  <c r="X5003" s="1"/>
  <c r="W5004"/>
  <c r="Z5004" s="1"/>
  <c r="W5005"/>
  <c r="W5006"/>
  <c r="Z5006" s="1"/>
  <c r="W5007"/>
  <c r="X5007" s="1"/>
  <c r="W5008"/>
  <c r="Z5008" s="1"/>
  <c r="W5009"/>
  <c r="W5010"/>
  <c r="Z5010" s="1"/>
  <c r="W5011"/>
  <c r="X5011" s="1"/>
  <c r="W5012"/>
  <c r="Z5012" s="1"/>
  <c r="W5013"/>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W5062"/>
  <c r="Z5062" s="1"/>
  <c r="W5063"/>
  <c r="W5064"/>
  <c r="Z5064" s="1"/>
  <c r="W5065"/>
  <c r="W5066"/>
  <c r="Z5066" s="1"/>
  <c r="W5067"/>
  <c r="W5068"/>
  <c r="Z5068" s="1"/>
  <c r="W5069"/>
  <c r="X5069" s="1"/>
  <c r="W5070"/>
  <c r="Z5070" s="1"/>
  <c r="W5071"/>
  <c r="W5072"/>
  <c r="Z5072" s="1"/>
  <c r="W5073"/>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W5094"/>
  <c r="Z5094" s="1"/>
  <c r="W5095"/>
  <c r="W5096"/>
  <c r="Z5096" s="1"/>
  <c r="W5097"/>
  <c r="W5098"/>
  <c r="Z5098" s="1"/>
  <c r="W5099"/>
  <c r="W5100"/>
  <c r="Z5100" s="1"/>
  <c r="W5101"/>
  <c r="X5101" s="1"/>
  <c r="W5102"/>
  <c r="Z5102" s="1"/>
  <c r="W5103"/>
  <c r="W5104"/>
  <c r="Z5104" s="1"/>
  <c r="W5105"/>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W5126"/>
  <c r="Z5126" s="1"/>
  <c r="W5127"/>
  <c r="X5127" s="1"/>
  <c r="W5128"/>
  <c r="Z5128" s="1"/>
  <c r="W5129"/>
  <c r="W5130"/>
  <c r="Z5130" s="1"/>
  <c r="W5131"/>
  <c r="W5132"/>
  <c r="Z5132" s="1"/>
  <c r="W5133"/>
  <c r="X5133" s="1"/>
  <c r="W5134"/>
  <c r="Z5134" s="1"/>
  <c r="W5135"/>
  <c r="W5136"/>
  <c r="Z5136" s="1"/>
  <c r="W5137"/>
  <c r="W5138"/>
  <c r="Z5138" s="1"/>
  <c r="W5139"/>
  <c r="W5140"/>
  <c r="Z5140" s="1"/>
  <c r="W514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W5162"/>
  <c r="Z5162" s="1"/>
  <c r="W5163"/>
  <c r="W5164"/>
  <c r="Z5164" s="1"/>
  <c r="W5165"/>
  <c r="X5165" s="1"/>
  <c r="W5166"/>
  <c r="Z5166" s="1"/>
  <c r="W5167"/>
  <c r="Z5167" s="1"/>
  <c r="W5168"/>
  <c r="Z5168" s="1"/>
  <c r="W5169"/>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Z5354" s="1"/>
  <c r="W5355"/>
  <c r="W5356"/>
  <c r="W5357"/>
  <c r="W5358"/>
  <c r="Z5358" s="1"/>
  <c r="W5359"/>
  <c r="W5360"/>
  <c r="W5361"/>
  <c r="W5362"/>
  <c r="Z5362" s="1"/>
  <c r="W5363"/>
  <c r="W5364"/>
  <c r="W5365"/>
  <c r="W5366"/>
  <c r="Z5366" s="1"/>
  <c r="W5367"/>
  <c r="W5368"/>
  <c r="W5369"/>
  <c r="W5370"/>
  <c r="Z5370" s="1"/>
  <c r="W5371"/>
  <c r="W5372"/>
  <c r="W5373"/>
  <c r="W5374"/>
  <c r="Z5374" s="1"/>
  <c r="W5375"/>
  <c r="W5376"/>
  <c r="W5377"/>
  <c r="W5378"/>
  <c r="Z5378" s="1"/>
  <c r="W5379"/>
  <c r="W5380"/>
  <c r="Z5380" s="1"/>
  <c r="W5381"/>
  <c r="W5382"/>
  <c r="W5383"/>
  <c r="X5383" s="1"/>
  <c r="W5384"/>
  <c r="Z5384" s="1"/>
  <c r="W5385"/>
  <c r="W5386"/>
  <c r="Z5386" s="1"/>
  <c r="W5387"/>
  <c r="W5388"/>
  <c r="Z5388" s="1"/>
  <c r="W5389"/>
  <c r="W5390"/>
  <c r="Z5390" s="1"/>
  <c r="W5391"/>
  <c r="W5392"/>
  <c r="Z5392" s="1"/>
  <c r="W5393"/>
  <c r="W5394"/>
  <c r="Z5394" s="1"/>
  <c r="W5395"/>
  <c r="W5396"/>
  <c r="Z5396" s="1"/>
  <c r="W5397"/>
  <c r="W5398"/>
  <c r="Z5398" s="1"/>
  <c r="W5399"/>
  <c r="X5399" s="1"/>
  <c r="W5400"/>
  <c r="Z5400" s="1"/>
  <c r="W5401"/>
  <c r="W5402"/>
  <c r="Z5402" s="1"/>
  <c r="W5403"/>
  <c r="W5404"/>
  <c r="Z5404" s="1"/>
  <c r="W5405"/>
  <c r="W5406"/>
  <c r="Z5406" s="1"/>
  <c r="W5407"/>
  <c r="W5408"/>
  <c r="Z5408" s="1"/>
  <c r="W5409"/>
  <c r="W5410"/>
  <c r="Z5410" s="1"/>
  <c r="W5411"/>
  <c r="W5412"/>
  <c r="Z5412" s="1"/>
  <c r="W5413"/>
  <c r="W5414"/>
  <c r="W5415"/>
  <c r="X5415" s="1"/>
  <c r="W5416"/>
  <c r="Z5416" s="1"/>
  <c r="W5417"/>
  <c r="W5418"/>
  <c r="Z5418" s="1"/>
  <c r="W5419"/>
  <c r="W5420"/>
  <c r="Z5420" s="1"/>
  <c r="W5421"/>
  <c r="W5422"/>
  <c r="Z5422" s="1"/>
  <c r="W5423"/>
  <c r="W5424"/>
  <c r="Z5424" s="1"/>
  <c r="W5425"/>
  <c r="W5426"/>
  <c r="Z5426" s="1"/>
  <c r="W5427"/>
  <c r="W5428"/>
  <c r="Z5428" s="1"/>
  <c r="W5429"/>
  <c r="W5430"/>
  <c r="Z5430" s="1"/>
  <c r="W5431"/>
  <c r="X5431" s="1"/>
  <c r="W5432"/>
  <c r="Z5432" s="1"/>
  <c r="W5433"/>
  <c r="W5434"/>
  <c r="Z5434" s="1"/>
  <c r="W5435"/>
  <c r="W5436"/>
  <c r="Z5436" s="1"/>
  <c r="W5437"/>
  <c r="W5438"/>
  <c r="Z5438" s="1"/>
  <c r="W5439"/>
  <c r="W5440"/>
  <c r="Z5440" s="1"/>
  <c r="W5441"/>
  <c r="W5442"/>
  <c r="Z5442" s="1"/>
  <c r="W5443"/>
  <c r="W5444"/>
  <c r="Z5444" s="1"/>
  <c r="W5445"/>
  <c r="W5446"/>
  <c r="W5447"/>
  <c r="X5447" s="1"/>
  <c r="W5448"/>
  <c r="Z5448" s="1"/>
  <c r="W5449"/>
  <c r="W5450"/>
  <c r="Z5450" s="1"/>
  <c r="W5451"/>
  <c r="W5452"/>
  <c r="Z5452" s="1"/>
  <c r="W5453"/>
  <c r="W5454"/>
  <c r="Z5454" s="1"/>
  <c r="W5455"/>
  <c r="W5456"/>
  <c r="Z5456" s="1"/>
  <c r="W5457"/>
  <c r="W5458"/>
  <c r="Z5458" s="1"/>
  <c r="W5459"/>
  <c r="W5460"/>
  <c r="Z5460" s="1"/>
  <c r="W5461"/>
  <c r="W5462"/>
  <c r="Z5462" s="1"/>
  <c r="W5463"/>
  <c r="X5463" s="1"/>
  <c r="W5464"/>
  <c r="Z5464" s="1"/>
  <c r="W5465"/>
  <c r="W5466"/>
  <c r="Z5466" s="1"/>
  <c r="W5467"/>
  <c r="W5468"/>
  <c r="Z5468" s="1"/>
  <c r="W5469"/>
  <c r="W5470"/>
  <c r="Z5470" s="1"/>
  <c r="W5471"/>
  <c r="W5472"/>
  <c r="Z5472" s="1"/>
  <c r="W5473"/>
  <c r="W5474"/>
  <c r="Z5474" s="1"/>
  <c r="W5475"/>
  <c r="W5476"/>
  <c r="Z5476" s="1"/>
  <c r="W5477"/>
  <c r="W5478"/>
  <c r="W5479"/>
  <c r="X5479" s="1"/>
  <c r="W5480"/>
  <c r="Z5480" s="1"/>
  <c r="W5481"/>
  <c r="W5482"/>
  <c r="Z5482" s="1"/>
  <c r="W5483"/>
  <c r="W5484"/>
  <c r="Z5484" s="1"/>
  <c r="W5485"/>
  <c r="W5486"/>
  <c r="Z5486" s="1"/>
  <c r="W5487"/>
  <c r="W5488"/>
  <c r="Z5488" s="1"/>
  <c r="W5489"/>
  <c r="W5490"/>
  <c r="Z5490" s="1"/>
  <c r="W5491"/>
  <c r="W5492"/>
  <c r="Z5492" s="1"/>
  <c r="W5493"/>
  <c r="W5494"/>
  <c r="Z5494" s="1"/>
  <c r="W5495"/>
  <c r="X5495" s="1"/>
  <c r="W5496"/>
  <c r="Z5496" s="1"/>
  <c r="W5497"/>
  <c r="W5498"/>
  <c r="Z5498" s="1"/>
  <c r="W5499"/>
  <c r="W5500"/>
  <c r="Z5500" s="1"/>
  <c r="W5501"/>
  <c r="W5502"/>
  <c r="Z5502" s="1"/>
  <c r="W5503"/>
  <c r="W5504"/>
  <c r="Z5504" s="1"/>
  <c r="W5505"/>
  <c r="W5506"/>
  <c r="Z5506" s="1"/>
  <c r="W5507"/>
  <c r="W5508"/>
  <c r="Z5508" s="1"/>
  <c r="W5509"/>
  <c r="W5510"/>
  <c r="W5511"/>
  <c r="X5511" s="1"/>
  <c r="W5512"/>
  <c r="Z5512" s="1"/>
  <c r="W5513"/>
  <c r="W5514"/>
  <c r="Z5514" s="1"/>
  <c r="W5515"/>
  <c r="W5516"/>
  <c r="Z5516" s="1"/>
  <c r="W5517"/>
  <c r="W5518"/>
  <c r="Z5518" s="1"/>
  <c r="W5519"/>
  <c r="W5520"/>
  <c r="Z5520" s="1"/>
  <c r="W5521"/>
  <c r="W5522"/>
  <c r="Z5522" s="1"/>
  <c r="W5523"/>
  <c r="W5524"/>
  <c r="Z5524" s="1"/>
  <c r="W5525"/>
  <c r="W5526"/>
  <c r="Z5526" s="1"/>
  <c r="W5527"/>
  <c r="X5527" s="1"/>
  <c r="W5528"/>
  <c r="Z5528" s="1"/>
  <c r="W5529"/>
  <c r="W5530"/>
  <c r="Z5530" s="1"/>
  <c r="W5531"/>
  <c r="W5532"/>
  <c r="Z5532" s="1"/>
  <c r="W5533"/>
  <c r="W5534"/>
  <c r="Z5534" s="1"/>
  <c r="W5535"/>
  <c r="Z5535" s="1"/>
  <c r="W5536"/>
  <c r="Z5536" s="1"/>
  <c r="W5537"/>
  <c r="W5538"/>
  <c r="Z5538" s="1"/>
  <c r="W5539"/>
  <c r="Z5539" s="1"/>
  <c r="W5540"/>
  <c r="Z5540" s="1"/>
  <c r="W5541"/>
  <c r="W5542"/>
  <c r="Z5542" s="1"/>
  <c r="W5543"/>
  <c r="Z5543" s="1"/>
  <c r="W5544"/>
  <c r="Z5544" s="1"/>
  <c r="W5545"/>
  <c r="W5546"/>
  <c r="Z5546" s="1"/>
  <c r="W5547"/>
  <c r="Z5547" s="1"/>
  <c r="W5548"/>
  <c r="Z5548" s="1"/>
  <c r="W5549"/>
  <c r="W5550"/>
  <c r="Z5550" s="1"/>
  <c r="W5551"/>
  <c r="Z5551" s="1"/>
  <c r="W5552"/>
  <c r="W5553"/>
  <c r="W5554"/>
  <c r="Z5554" s="1"/>
  <c r="W5555"/>
  <c r="W5556"/>
  <c r="W5557"/>
  <c r="W5558"/>
  <c r="Z5558" s="1"/>
  <c r="W5559"/>
  <c r="W5560"/>
  <c r="Z5560" s="1"/>
  <c r="W5561"/>
  <c r="W5562"/>
  <c r="Z5562" s="1"/>
  <c r="W5563"/>
  <c r="Z5563" s="1"/>
  <c r="W5564"/>
  <c r="Z5564" s="1"/>
  <c r="W5565"/>
  <c r="W5566"/>
  <c r="Z5566" s="1"/>
  <c r="W5567"/>
  <c r="Z5567" s="1"/>
  <c r="W5568"/>
  <c r="W5569"/>
  <c r="W5570"/>
  <c r="Z5570" s="1"/>
  <c r="W5571"/>
  <c r="W5572"/>
  <c r="W5573"/>
  <c r="W5574"/>
  <c r="Z5574" s="1"/>
  <c r="W5575"/>
  <c r="W5576"/>
  <c r="Z5576" s="1"/>
  <c r="W5577"/>
  <c r="W5578"/>
  <c r="Z5578" s="1"/>
  <c r="W5579"/>
  <c r="Z5579" s="1"/>
  <c r="W5580"/>
  <c r="Z5580" s="1"/>
  <c r="W5581"/>
  <c r="W5582"/>
  <c r="Z5582" s="1"/>
  <c r="W5583"/>
  <c r="Z5583" s="1"/>
  <c r="W5584"/>
  <c r="W5585"/>
  <c r="W5586"/>
  <c r="Z5586" s="1"/>
  <c r="W5587"/>
  <c r="W5588"/>
  <c r="W5589"/>
  <c r="W5590"/>
  <c r="Z5590" s="1"/>
  <c r="W5591"/>
  <c r="W5592"/>
  <c r="Z5592" s="1"/>
  <c r="W5593"/>
  <c r="W5594"/>
  <c r="Z5594" s="1"/>
  <c r="W5595"/>
  <c r="Z5595" s="1"/>
  <c r="W5596"/>
  <c r="Z5596" s="1"/>
  <c r="W5597"/>
  <c r="W5598"/>
  <c r="Z5598" s="1"/>
  <c r="W5599"/>
  <c r="Z5599" s="1"/>
  <c r="W5600"/>
  <c r="W5601"/>
  <c r="W5602"/>
  <c r="Z5602" s="1"/>
  <c r="W5603"/>
  <c r="W5604"/>
  <c r="W5605"/>
  <c r="W5606"/>
  <c r="Z5606" s="1"/>
  <c r="W5607"/>
  <c r="W5608"/>
  <c r="Z5608" s="1"/>
  <c r="W5609"/>
  <c r="W5610"/>
  <c r="Z5610" s="1"/>
  <c r="W5611"/>
  <c r="Z5611" s="1"/>
  <c r="W5612"/>
  <c r="Z5612" s="1"/>
  <c r="W5613"/>
  <c r="W5614"/>
  <c r="Z5614" s="1"/>
  <c r="W5615"/>
  <c r="Z5615" s="1"/>
  <c r="W5616"/>
  <c r="X5616" s="1"/>
  <c r="W5617"/>
  <c r="W5618"/>
  <c r="Z5618" s="1"/>
  <c r="W5619"/>
  <c r="W5620"/>
  <c r="Z5620" s="1"/>
  <c r="W5621"/>
  <c r="W5622"/>
  <c r="Z5622" s="1"/>
  <c r="W5623"/>
  <c r="W5624"/>
  <c r="Z5624" s="1"/>
  <c r="W5625"/>
  <c r="W5626"/>
  <c r="Z5626" s="1"/>
  <c r="W5627"/>
  <c r="Z5627" s="1"/>
  <c r="W5628"/>
  <c r="Z5628" s="1"/>
  <c r="W5629"/>
  <c r="W5630"/>
  <c r="Z5630" s="1"/>
  <c r="W5631"/>
  <c r="Z5631" s="1"/>
  <c r="W5632"/>
  <c r="Z5632" s="1"/>
  <c r="W5633"/>
  <c r="W5634"/>
  <c r="Z5634" s="1"/>
  <c r="W5635"/>
  <c r="W5636"/>
  <c r="X5636" s="1"/>
  <c r="W5637"/>
  <c r="W5638"/>
  <c r="Z5638" s="1"/>
  <c r="W5639"/>
  <c r="W5640"/>
  <c r="Z5640" s="1"/>
  <c r="W5641"/>
  <c r="W5642"/>
  <c r="Z5642" s="1"/>
  <c r="W5643"/>
  <c r="W5644"/>
  <c r="Z5644" s="1"/>
  <c r="W5645"/>
  <c r="W5646"/>
  <c r="Z5646" s="1"/>
  <c r="W5647"/>
  <c r="Z5647" s="1"/>
  <c r="W5648"/>
  <c r="Z5648" s="1"/>
  <c r="W5649"/>
  <c r="W5650"/>
  <c r="Z5650" s="1"/>
  <c r="W5651"/>
  <c r="Z5651" s="1"/>
  <c r="W5652"/>
  <c r="Z5652" s="1"/>
  <c r="W5653"/>
  <c r="W5654"/>
  <c r="Z5654" s="1"/>
  <c r="W5655"/>
  <c r="Z5655" s="1"/>
  <c r="W5656"/>
  <c r="Z5656" s="1"/>
  <c r="W5657"/>
  <c r="W5658"/>
  <c r="Z5658" s="1"/>
  <c r="W5659"/>
  <c r="Z5659" s="1"/>
  <c r="W5660"/>
  <c r="Z5660" s="1"/>
  <c r="W5661"/>
  <c r="W5662"/>
  <c r="Z5662" s="1"/>
  <c r="W5663"/>
  <c r="Z5663" s="1"/>
  <c r="W5664"/>
  <c r="Z5664" s="1"/>
  <c r="W5665"/>
  <c r="W5666"/>
  <c r="Z5666" s="1"/>
  <c r="W5667"/>
  <c r="Z5667" s="1"/>
  <c r="W5668"/>
  <c r="Z5668" s="1"/>
  <c r="W5669"/>
  <c r="W5670"/>
  <c r="Z5670" s="1"/>
  <c r="W5671"/>
  <c r="Z5671" s="1"/>
  <c r="W5672"/>
  <c r="Z5672" s="1"/>
  <c r="W5673"/>
  <c r="W5674"/>
  <c r="Z5674" s="1"/>
  <c r="W5675"/>
  <c r="Z5675" s="1"/>
  <c r="W5676"/>
  <c r="Z5676" s="1"/>
  <c r="W5677"/>
  <c r="W5678"/>
  <c r="Z5678" s="1"/>
  <c r="W5679"/>
  <c r="Z5679" s="1"/>
  <c r="W5680"/>
  <c r="Z5680" s="1"/>
  <c r="W5681"/>
  <c r="W5682"/>
  <c r="Z5682" s="1"/>
  <c r="W5683"/>
  <c r="Z5683" s="1"/>
  <c r="W5684"/>
  <c r="Z5684" s="1"/>
  <c r="W5685"/>
  <c r="W5686"/>
  <c r="Z5686" s="1"/>
  <c r="W5687"/>
  <c r="Z5687" s="1"/>
  <c r="W5688"/>
  <c r="Z5688" s="1"/>
  <c r="W5689"/>
  <c r="W5690"/>
  <c r="Z5690" s="1"/>
  <c r="W5691"/>
  <c r="Z5691" s="1"/>
  <c r="W5692"/>
  <c r="Z5692" s="1"/>
  <c r="W5693"/>
  <c r="W5694"/>
  <c r="Z5694" s="1"/>
  <c r="W5695"/>
  <c r="Z5695" s="1"/>
  <c r="W5696"/>
  <c r="Z5696" s="1"/>
  <c r="W5697"/>
  <c r="W5698"/>
  <c r="Z5698" s="1"/>
  <c r="W5699"/>
  <c r="Z5699" s="1"/>
  <c r="W5700"/>
  <c r="Z5700" s="1"/>
  <c r="W5701"/>
  <c r="W5702"/>
  <c r="Z5702" s="1"/>
  <c r="W5703"/>
  <c r="Z5703" s="1"/>
  <c r="W5704"/>
  <c r="Z5704" s="1"/>
  <c r="W5705"/>
  <c r="W5706"/>
  <c r="Z5706" s="1"/>
  <c r="W5707"/>
  <c r="Z5707" s="1"/>
  <c r="W5708"/>
  <c r="Z5708" s="1"/>
  <c r="W5709"/>
  <c r="W5710"/>
  <c r="Z5710" s="1"/>
  <c r="W5711"/>
  <c r="Z5711" s="1"/>
  <c r="W5712"/>
  <c r="Z5712" s="1"/>
  <c r="W5713"/>
  <c r="W5714"/>
  <c r="Z5714" s="1"/>
  <c r="W5715"/>
  <c r="Z5715" s="1"/>
  <c r="W5716"/>
  <c r="Z5716" s="1"/>
  <c r="W5717"/>
  <c r="W5718"/>
  <c r="Z5718" s="1"/>
  <c r="W5719"/>
  <c r="Z5719" s="1"/>
  <c r="W5720"/>
  <c r="Z5720" s="1"/>
  <c r="W5721"/>
  <c r="W5722"/>
  <c r="Z5722" s="1"/>
  <c r="W5723"/>
  <c r="Z5723" s="1"/>
  <c r="W5724"/>
  <c r="Z5724" s="1"/>
  <c r="W5725"/>
  <c r="W5726"/>
  <c r="Z5726" s="1"/>
  <c r="W5727"/>
  <c r="Z5727" s="1"/>
  <c r="W5728"/>
  <c r="Z5728" s="1"/>
  <c r="W5729"/>
  <c r="W5730"/>
  <c r="Z5730" s="1"/>
  <c r="W5731"/>
  <c r="Z5731" s="1"/>
  <c r="W5732"/>
  <c r="Z5732" s="1"/>
  <c r="W5733"/>
  <c r="W5734"/>
  <c r="Z5734" s="1"/>
  <c r="W5735"/>
  <c r="Z5735" s="1"/>
  <c r="W5736"/>
  <c r="Z5736" s="1"/>
  <c r="W5737"/>
  <c r="W5738"/>
  <c r="Z5738" s="1"/>
  <c r="W5739"/>
  <c r="Z5739" s="1"/>
  <c r="W5740"/>
  <c r="Z5740" s="1"/>
  <c r="W5741"/>
  <c r="W5742"/>
  <c r="Z5742" s="1"/>
  <c r="W5743"/>
  <c r="Z5743" s="1"/>
  <c r="W5744"/>
  <c r="Z5744" s="1"/>
  <c r="W5745"/>
  <c r="W5746"/>
  <c r="Z5746" s="1"/>
  <c r="W5747"/>
  <c r="Z5747" s="1"/>
  <c r="W5748"/>
  <c r="Z5748" s="1"/>
  <c r="W5749"/>
  <c r="W5750"/>
  <c r="Z5750" s="1"/>
  <c r="W5751"/>
  <c r="Z5751" s="1"/>
  <c r="W5752"/>
  <c r="Z5752" s="1"/>
  <c r="W5753"/>
  <c r="W5754"/>
  <c r="Z5754" s="1"/>
  <c r="W5755"/>
  <c r="Z5755" s="1"/>
  <c r="W5756"/>
  <c r="Z5756" s="1"/>
  <c r="W5757"/>
  <c r="W5758"/>
  <c r="Z5758" s="1"/>
  <c r="W5759"/>
  <c r="Z5759" s="1"/>
  <c r="W5760"/>
  <c r="Z5760" s="1"/>
  <c r="W5761"/>
  <c r="W5762"/>
  <c r="Z5762" s="1"/>
  <c r="W5763"/>
  <c r="Z5763" s="1"/>
  <c r="W5764"/>
  <c r="Z5764" s="1"/>
  <c r="W5765"/>
  <c r="W5766"/>
  <c r="Z5766" s="1"/>
  <c r="W5767"/>
  <c r="Z5767" s="1"/>
  <c r="W5768"/>
  <c r="Z5768" s="1"/>
  <c r="W5769"/>
  <c r="W5770"/>
  <c r="Z5770" s="1"/>
  <c r="W5771"/>
  <c r="Z5771" s="1"/>
  <c r="W5772"/>
  <c r="Z5772" s="1"/>
  <c r="W5773"/>
  <c r="W5774"/>
  <c r="Z5774" s="1"/>
  <c r="W5775"/>
  <c r="Z5775" s="1"/>
  <c r="W5776"/>
  <c r="Z5776" s="1"/>
  <c r="W5777"/>
  <c r="W5778"/>
  <c r="Z5778" s="1"/>
  <c r="W5779"/>
  <c r="Z5779" s="1"/>
  <c r="W5780"/>
  <c r="W5781"/>
  <c r="W5782"/>
  <c r="W5783"/>
  <c r="Z5783" s="1"/>
  <c r="W5784"/>
  <c r="Z5784" s="1"/>
  <c r="W5785"/>
  <c r="W5786"/>
  <c r="X5786" s="1"/>
  <c r="W5787"/>
  <c r="Z5787" s="1"/>
  <c r="W5788"/>
  <c r="X5788" s="1"/>
  <c r="W5789"/>
  <c r="W5790"/>
  <c r="Z5790" s="1"/>
  <c r="W5791"/>
  <c r="Z5791" s="1"/>
  <c r="W5792"/>
  <c r="Z5792" s="1"/>
  <c r="W5793"/>
  <c r="W5794"/>
  <c r="Z5794" s="1"/>
  <c r="W5795"/>
  <c r="Z5795" s="1"/>
  <c r="W5796"/>
  <c r="W5797"/>
  <c r="W5798"/>
  <c r="W5799"/>
  <c r="Z5799" s="1"/>
  <c r="W5800"/>
  <c r="Z5800" s="1"/>
  <c r="W5801"/>
  <c r="W5802"/>
  <c r="X5802" s="1"/>
  <c r="W5803"/>
  <c r="Z5803" s="1"/>
  <c r="W5804"/>
  <c r="X5804" s="1"/>
  <c r="W5805"/>
  <c r="W5806"/>
  <c r="Z5806" s="1"/>
  <c r="W5807"/>
  <c r="Z5807" s="1"/>
  <c r="W5808"/>
  <c r="Z5808" s="1"/>
  <c r="W5809"/>
  <c r="W5810"/>
  <c r="W5811"/>
  <c r="Z5811" s="1"/>
  <c r="W5812"/>
  <c r="W5813"/>
  <c r="W5814"/>
  <c r="X5814" s="1"/>
  <c r="W5815"/>
  <c r="Z5815" s="1"/>
  <c r="W5816"/>
  <c r="Z5816" s="1"/>
  <c r="W5817"/>
  <c r="W5818"/>
  <c r="X5818" s="1"/>
  <c r="W5819"/>
  <c r="Z5819" s="1"/>
  <c r="W5820"/>
  <c r="X5820" s="1"/>
  <c r="W5821"/>
  <c r="W5822"/>
  <c r="Z5822" s="1"/>
  <c r="W5823"/>
  <c r="Z5823" s="1"/>
  <c r="W5824"/>
  <c r="Z5824" s="1"/>
  <c r="W5825"/>
  <c r="W5826"/>
  <c r="Z5826" s="1"/>
  <c r="W5827"/>
  <c r="Z5827" s="1"/>
  <c r="W5828"/>
  <c r="X5828" s="1"/>
  <c r="W5829"/>
  <c r="W5830"/>
  <c r="W5831"/>
  <c r="Z5831" s="1"/>
  <c r="W5832"/>
  <c r="Z5832" s="1"/>
  <c r="W5833"/>
  <c r="W5834"/>
  <c r="X5834" s="1"/>
  <c r="W5835"/>
  <c r="Z5835" s="1"/>
  <c r="W5836"/>
  <c r="X5836" s="1"/>
  <c r="W5837"/>
  <c r="W5838"/>
  <c r="Z5838" s="1"/>
  <c r="W5839"/>
  <c r="Z5839" s="1"/>
  <c r="W5840"/>
  <c r="Z5840" s="1"/>
  <c r="W5841"/>
  <c r="W5842"/>
  <c r="Z5842" s="1"/>
  <c r="W5843"/>
  <c r="Z5843" s="1"/>
  <c r="W5844"/>
  <c r="W5845"/>
  <c r="W5846"/>
  <c r="X5846" s="1"/>
  <c r="W5847"/>
  <c r="Z5847" s="1"/>
  <c r="W5848"/>
  <c r="W5849"/>
  <c r="W5850"/>
  <c r="X5850" s="1"/>
  <c r="W5851"/>
  <c r="Z5851" s="1"/>
  <c r="W5852"/>
  <c r="X5852" s="1"/>
  <c r="W5853"/>
  <c r="W5854"/>
  <c r="Z5854" s="1"/>
  <c r="W5855"/>
  <c r="Z5855" s="1"/>
  <c r="W5856"/>
  <c r="Z5856" s="1"/>
  <c r="W5857"/>
  <c r="W5858"/>
  <c r="Z5858" s="1"/>
  <c r="W5859"/>
  <c r="Z5859" s="1"/>
  <c r="W5860"/>
  <c r="X5860" s="1"/>
  <c r="W5861"/>
  <c r="W5862"/>
  <c r="W5863"/>
  <c r="Z5863" s="1"/>
  <c r="W5864"/>
  <c r="Z5864" s="1"/>
  <c r="W5865"/>
  <c r="W5866"/>
  <c r="X5866" s="1"/>
  <c r="W5867"/>
  <c r="Z5867" s="1"/>
  <c r="W5868"/>
  <c r="X5868" s="1"/>
  <c r="W5869"/>
  <c r="W5870"/>
  <c r="Z5870" s="1"/>
  <c r="W5871"/>
  <c r="Z5871" s="1"/>
  <c r="W5872"/>
  <c r="Z5872" s="1"/>
  <c r="W5873"/>
  <c r="W5874"/>
  <c r="X5874" s="1"/>
  <c r="W5875"/>
  <c r="Z5875" s="1"/>
  <c r="W5876"/>
  <c r="X5876" s="1"/>
  <c r="W5877"/>
  <c r="W5878"/>
  <c r="W5879"/>
  <c r="Z5879" s="1"/>
  <c r="W5880"/>
  <c r="Z5880" s="1"/>
  <c r="W5881"/>
  <c r="W5882"/>
  <c r="X5882" s="1"/>
  <c r="W5883"/>
  <c r="Z5883" s="1"/>
  <c r="W5884"/>
  <c r="X5884" s="1"/>
  <c r="W5885"/>
  <c r="W5886"/>
  <c r="Z5886" s="1"/>
  <c r="W5887"/>
  <c r="Z5887" s="1"/>
  <c r="W5888"/>
  <c r="Z5888" s="1"/>
  <c r="W5889"/>
  <c r="W5890"/>
  <c r="W5891"/>
  <c r="Z5891" s="1"/>
  <c r="W5892"/>
  <c r="X5892" s="1"/>
  <c r="W5893"/>
  <c r="W5894"/>
  <c r="W5895"/>
  <c r="Z5895" s="1"/>
  <c r="W5896"/>
  <c r="Z5896" s="1"/>
  <c r="W5897"/>
  <c r="W5898"/>
  <c r="X5898" s="1"/>
  <c r="W5899"/>
  <c r="Z5899" s="1"/>
  <c r="W5900"/>
  <c r="X5900" s="1"/>
  <c r="W5901"/>
  <c r="W5902"/>
  <c r="Z5902" s="1"/>
  <c r="W5903"/>
  <c r="Z5903" s="1"/>
  <c r="W5904"/>
  <c r="Z5904" s="1"/>
  <c r="W5905"/>
  <c r="W5906"/>
  <c r="W5907"/>
  <c r="Z5907" s="1"/>
  <c r="W5908"/>
  <c r="X5908" s="1"/>
  <c r="W5909"/>
  <c r="W5910"/>
  <c r="W5911"/>
  <c r="Z5911" s="1"/>
  <c r="W5912"/>
  <c r="Z5912" s="1"/>
  <c r="W5913"/>
  <c r="W5914"/>
  <c r="X5914" s="1"/>
  <c r="W5915"/>
  <c r="W5916"/>
  <c r="X5916" s="1"/>
  <c r="W5917"/>
  <c r="W5918"/>
  <c r="Z5918" s="1"/>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Z5970" s="1"/>
  <c r="W5971"/>
  <c r="Z5971" s="1"/>
  <c r="W5972"/>
  <c r="W5973"/>
  <c r="W5974"/>
  <c r="Z5974" s="1"/>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Z6062" s="1"/>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Z7482" s="1"/>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Z7506" s="1"/>
  <c r="W7507"/>
  <c r="X7507" s="1"/>
  <c r="W7508"/>
  <c r="X7508" s="1"/>
  <c r="W7509"/>
  <c r="X7509" s="1"/>
  <c r="W7510"/>
  <c r="Z7510" s="1"/>
  <c r="W7511"/>
  <c r="X7511" s="1"/>
  <c r="W7512"/>
  <c r="X7512" s="1"/>
  <c r="W7513"/>
  <c r="X7513" s="1"/>
  <c r="W7514"/>
  <c r="W7515"/>
  <c r="W7516"/>
  <c r="X7516" s="1"/>
  <c r="W7517"/>
  <c r="W7518"/>
  <c r="Z7518" s="1"/>
  <c r="W7519"/>
  <c r="W7520"/>
  <c r="W7521"/>
  <c r="W7522"/>
  <c r="W7523"/>
  <c r="X7523" s="1"/>
  <c r="W7524"/>
  <c r="X7524" s="1"/>
  <c r="W7525"/>
  <c r="W7526"/>
  <c r="Z7526" s="1"/>
  <c r="W7527"/>
  <c r="Z7527" s="1"/>
  <c r="W7528"/>
  <c r="X7528" s="1"/>
  <c r="W7529"/>
  <c r="W7530"/>
  <c r="W7531"/>
  <c r="W7532"/>
  <c r="X7532" s="1"/>
  <c r="W7533"/>
  <c r="W7534"/>
  <c r="Z7534" s="1"/>
  <c r="W7535"/>
  <c r="W7536"/>
  <c r="W7537"/>
  <c r="W7538"/>
  <c r="W7539"/>
  <c r="X7539" s="1"/>
  <c r="W7540"/>
  <c r="W7541"/>
  <c r="W7542"/>
  <c r="Z7542" s="1"/>
  <c r="W7543"/>
  <c r="Z7543" s="1"/>
  <c r="W7544"/>
  <c r="X7544" s="1"/>
  <c r="W7545"/>
  <c r="W7546"/>
  <c r="W7547"/>
  <c r="W7548"/>
  <c r="X7548" s="1"/>
  <c r="W7549"/>
  <c r="W7550"/>
  <c r="Z7550" s="1"/>
  <c r="W7551"/>
  <c r="W7552"/>
  <c r="X7552" s="1"/>
  <c r="W7553"/>
  <c r="W7554"/>
  <c r="W7555"/>
  <c r="X7555" s="1"/>
  <c r="W7556"/>
  <c r="W7557"/>
  <c r="W7558"/>
  <c r="Z7558" s="1"/>
  <c r="W7559"/>
  <c r="Z7559" s="1"/>
  <c r="W7560"/>
  <c r="X7560" s="1"/>
  <c r="W7561"/>
  <c r="W7562"/>
  <c r="W7563"/>
  <c r="W7564"/>
  <c r="X7564" s="1"/>
  <c r="W7565"/>
  <c r="W7566"/>
  <c r="Z7566" s="1"/>
  <c r="W7567"/>
  <c r="W7568"/>
  <c r="X7568" s="1"/>
  <c r="W7569"/>
  <c r="W7570"/>
  <c r="W7571"/>
  <c r="W7572"/>
  <c r="W7573"/>
  <c r="W7574"/>
  <c r="Z7574" s="1"/>
  <c r="W7575"/>
  <c r="Z7575" s="1"/>
  <c r="W7576"/>
  <c r="X7576" s="1"/>
  <c r="W7577"/>
  <c r="X7577" s="1"/>
  <c r="W7578"/>
  <c r="W7579"/>
  <c r="W7580"/>
  <c r="X7580" s="1"/>
  <c r="W7581"/>
  <c r="W7582"/>
  <c r="Z7582" s="1"/>
  <c r="W7583"/>
  <c r="W7584"/>
  <c r="X7584" s="1"/>
  <c r="W7585"/>
  <c r="W7586"/>
  <c r="W7587"/>
  <c r="X7587" s="1"/>
  <c r="W7588"/>
  <c r="X7588" s="1"/>
  <c r="W7589"/>
  <c r="W7590"/>
  <c r="Z7590" s="1"/>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Z7678" s="1"/>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Z7714" s="1"/>
  <c r="W7715"/>
  <c r="X7715" s="1"/>
  <c r="W7716"/>
  <c r="Z7716" s="1"/>
  <c r="W7717"/>
  <c r="W7718"/>
  <c r="W7719"/>
  <c r="Z7719" s="1"/>
  <c r="W7720"/>
  <c r="X7720" s="1"/>
  <c r="W7721"/>
  <c r="W7722"/>
  <c r="W7723"/>
  <c r="X7723" s="1"/>
  <c r="W7724"/>
  <c r="Z7724" s="1"/>
  <c r="W7725"/>
  <c r="W7726"/>
  <c r="W7727"/>
  <c r="Z7727" s="1"/>
  <c r="W7728"/>
  <c r="W7729"/>
  <c r="W7730"/>
  <c r="Z7730" s="1"/>
  <c r="W7731"/>
  <c r="X7731" s="1"/>
  <c r="W7732"/>
  <c r="Z7732" s="1"/>
  <c r="W7733"/>
  <c r="W7734"/>
  <c r="X7734" s="1"/>
  <c r="W7735"/>
  <c r="Z7735" s="1"/>
  <c r="W7736"/>
  <c r="W7737"/>
  <c r="W7738"/>
  <c r="Z7738" s="1"/>
  <c r="W7739"/>
  <c r="X7739" s="1"/>
  <c r="W7740"/>
  <c r="Z7740" s="1"/>
  <c r="W7741"/>
  <c r="W7742"/>
  <c r="W7743"/>
  <c r="Z7743" s="1"/>
  <c r="W7744"/>
  <c r="X7744" s="1"/>
  <c r="W7745"/>
  <c r="W7746"/>
  <c r="Z7746" s="1"/>
  <c r="W7747"/>
  <c r="W7748"/>
  <c r="Z7748" s="1"/>
  <c r="W7749"/>
  <c r="W7750"/>
  <c r="W7751"/>
  <c r="Z7751" s="1"/>
  <c r="W7752"/>
  <c r="X7752" s="1"/>
  <c r="W7753"/>
  <c r="W7754"/>
  <c r="Z7754" s="1"/>
  <c r="W7755"/>
  <c r="X7755" s="1"/>
  <c r="W7756"/>
  <c r="Z7756" s="1"/>
  <c r="W7757"/>
  <c r="W7758"/>
  <c r="X7758" s="1"/>
  <c r="W7759"/>
  <c r="Z7759" s="1"/>
  <c r="W7760"/>
  <c r="W7761"/>
  <c r="W7762"/>
  <c r="Z7762" s="1"/>
  <c r="W7763"/>
  <c r="X7763" s="1"/>
  <c r="W7764"/>
  <c r="W7765"/>
  <c r="W7766"/>
  <c r="W7767"/>
  <c r="Z7767" s="1"/>
  <c r="W7768"/>
  <c r="X7768" s="1"/>
  <c r="W7769"/>
  <c r="W7770"/>
  <c r="Z7770" s="1"/>
  <c r="W7771"/>
  <c r="W7772"/>
  <c r="Z7772" s="1"/>
  <c r="W7773"/>
  <c r="W7774"/>
  <c r="W7775"/>
  <c r="Z7775" s="1"/>
  <c r="W7776"/>
  <c r="X7776" s="1"/>
  <c r="W7777"/>
  <c r="W7778"/>
  <c r="Z7778" s="1"/>
  <c r="W7779"/>
  <c r="X7779" s="1"/>
  <c r="W7780"/>
  <c r="Z7780" s="1"/>
  <c r="W7781"/>
  <c r="W7782"/>
  <c r="W7783"/>
  <c r="Z7783" s="1"/>
  <c r="W7784"/>
  <c r="X7784" s="1"/>
  <c r="W7785"/>
  <c r="W7786"/>
  <c r="Z7786" s="1"/>
  <c r="W7787"/>
  <c r="X7787" s="1"/>
  <c r="W7788"/>
  <c r="Z7788" s="1"/>
  <c r="W7789"/>
  <c r="W7790"/>
  <c r="W7791"/>
  <c r="Z7791" s="1"/>
  <c r="W7792"/>
  <c r="W7793"/>
  <c r="W7794"/>
  <c r="Z7794" s="1"/>
  <c r="W7795"/>
  <c r="X7795" s="1"/>
  <c r="W7796"/>
  <c r="W7797"/>
  <c r="W7798"/>
  <c r="W7799"/>
  <c r="Z7799" s="1"/>
  <c r="W7800"/>
  <c r="X7800" s="1"/>
  <c r="W7801"/>
  <c r="W7802"/>
  <c r="Z7802" s="1"/>
  <c r="W7803"/>
  <c r="X7803" s="1"/>
  <c r="W7804"/>
  <c r="Z7804" s="1"/>
  <c r="W7805"/>
  <c r="W7806"/>
  <c r="X7806" s="1"/>
  <c r="W7807"/>
  <c r="Z7807" s="1"/>
  <c r="W7808"/>
  <c r="X7808" s="1"/>
  <c r="W7809"/>
  <c r="W7810"/>
  <c r="Z7810" s="1"/>
  <c r="W7811"/>
  <c r="W7812"/>
  <c r="Z7812" s="1"/>
  <c r="W7813"/>
  <c r="W7814"/>
  <c r="W7815"/>
  <c r="W7816"/>
  <c r="W7817"/>
  <c r="W7818"/>
  <c r="Z7818" s="1"/>
  <c r="W7819"/>
  <c r="X7819" s="1"/>
  <c r="W7820"/>
  <c r="Z7820" s="1"/>
  <c r="W7821"/>
  <c r="W7822"/>
  <c r="W7823"/>
  <c r="Z7823" s="1"/>
  <c r="W7824"/>
  <c r="X7824" s="1"/>
  <c r="W7825"/>
  <c r="W7826"/>
  <c r="W7827"/>
  <c r="X7827" s="1"/>
  <c r="W7828"/>
  <c r="Z7828" s="1"/>
  <c r="W7829"/>
  <c r="W7830"/>
  <c r="W7831"/>
  <c r="Z7831" s="1"/>
  <c r="W7832"/>
  <c r="X7832" s="1"/>
  <c r="W7833"/>
  <c r="W7834"/>
  <c r="Z7834" s="1"/>
  <c r="W7835"/>
  <c r="X7835" s="1"/>
  <c r="W7836"/>
  <c r="Z7836" s="1"/>
  <c r="W7837"/>
  <c r="W7838"/>
  <c r="X7838" s="1"/>
  <c r="W7839"/>
  <c r="Z7839" s="1"/>
  <c r="W7840"/>
  <c r="X7840" s="1"/>
  <c r="W7841"/>
  <c r="W7842"/>
  <c r="Z7842" s="1"/>
  <c r="W7843"/>
  <c r="X7843" s="1"/>
  <c r="W7844"/>
  <c r="W7845"/>
  <c r="W7846"/>
  <c r="W7847"/>
  <c r="Z7847" s="1"/>
  <c r="W7848"/>
  <c r="X7848" s="1"/>
  <c r="W7849"/>
  <c r="W7850"/>
  <c r="W7851"/>
  <c r="X7851" s="1"/>
  <c r="W7852"/>
  <c r="Z7852" s="1"/>
  <c r="W7853"/>
  <c r="W7854"/>
  <c r="W7855"/>
  <c r="Z7855" s="1"/>
  <c r="W7856"/>
  <c r="W7857"/>
  <c r="W7858"/>
  <c r="Z7858" s="1"/>
  <c r="W7859"/>
  <c r="X7859" s="1"/>
  <c r="W7860"/>
  <c r="Z7860" s="1"/>
  <c r="W7861"/>
  <c r="W7862"/>
  <c r="W7863"/>
  <c r="Z7863" s="1"/>
  <c r="W7864"/>
  <c r="X7864" s="1"/>
  <c r="W7865"/>
  <c r="W7866"/>
  <c r="Z7866" s="1"/>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Z7890" s="1"/>
  <c r="W7891"/>
  <c r="W7892"/>
  <c r="Z7892" s="1"/>
  <c r="W7893"/>
  <c r="W7894"/>
  <c r="W7895"/>
  <c r="Z7895" s="1"/>
  <c r="W7896"/>
  <c r="W7897"/>
  <c r="W7898"/>
  <c r="Z7898" s="1"/>
  <c r="W7899"/>
  <c r="X7899" s="1"/>
  <c r="W7900"/>
  <c r="W7901"/>
  <c r="W7902"/>
  <c r="W7903"/>
  <c r="Z7903" s="1"/>
  <c r="W7904"/>
  <c r="X7904" s="1"/>
  <c r="W7905"/>
  <c r="W7906"/>
  <c r="Z7906" s="1"/>
  <c r="W7907"/>
  <c r="X7907" s="1"/>
  <c r="W7908"/>
  <c r="Z7908" s="1"/>
  <c r="W7909"/>
  <c r="W7910"/>
  <c r="W7911"/>
  <c r="Z7911" s="1"/>
  <c r="W7912"/>
  <c r="X7912" s="1"/>
  <c r="W7913"/>
  <c r="W7914"/>
  <c r="Z7914" s="1"/>
  <c r="W7915"/>
  <c r="X7915" s="1"/>
  <c r="W7916"/>
  <c r="Z7916" s="1"/>
  <c r="W7917"/>
  <c r="W7918"/>
  <c r="W7919"/>
  <c r="W7920"/>
  <c r="W7921"/>
  <c r="W7922"/>
  <c r="Z7922" s="1"/>
  <c r="W7923"/>
  <c r="X7923" s="1"/>
  <c r="W7924"/>
  <c r="W7925"/>
  <c r="W7926"/>
  <c r="W7927"/>
  <c r="Z7927" s="1"/>
  <c r="W7928"/>
  <c r="X7928" s="1"/>
  <c r="W7929"/>
  <c r="W7930"/>
  <c r="W7931"/>
  <c r="X7931" s="1"/>
  <c r="W7932"/>
  <c r="Z7932" s="1"/>
  <c r="W7933"/>
  <c r="W7934"/>
  <c r="W7935"/>
  <c r="Z7935" s="1"/>
  <c r="W7936"/>
  <c r="X7936" s="1"/>
  <c r="W7937"/>
  <c r="W7938"/>
  <c r="Z7938" s="1"/>
  <c r="W7939"/>
  <c r="W7940"/>
  <c r="Z7940" s="1"/>
  <c r="W7941"/>
  <c r="W7942"/>
  <c r="W7943"/>
  <c r="W7944"/>
  <c r="X7944" s="1"/>
  <c r="W7945"/>
  <c r="W7946"/>
  <c r="Z7946" s="1"/>
  <c r="W7947"/>
  <c r="X7947" s="1"/>
  <c r="W7948"/>
  <c r="Z7948" s="1"/>
  <c r="W7949"/>
  <c r="W7950"/>
  <c r="W7951"/>
  <c r="Z7951" s="1"/>
  <c r="W7952"/>
  <c r="X7952" s="1"/>
  <c r="W7953"/>
  <c r="W7954"/>
  <c r="Z7954" s="1"/>
  <c r="W7955"/>
  <c r="X7955" s="1"/>
  <c r="W7956"/>
  <c r="Z7956" s="1"/>
  <c r="W7957"/>
  <c r="W7958"/>
  <c r="W7959"/>
  <c r="W7960"/>
  <c r="X7960" s="1"/>
  <c r="W7961"/>
  <c r="W7962"/>
  <c r="Z7962" s="1"/>
  <c r="W7963"/>
  <c r="X7963" s="1"/>
  <c r="W7964"/>
  <c r="Z7964" s="1"/>
  <c r="W7965"/>
  <c r="W7966"/>
  <c r="W7967"/>
  <c r="Z7967" s="1"/>
  <c r="W7968"/>
  <c r="X7968" s="1"/>
  <c r="W7969"/>
  <c r="W7970"/>
  <c r="Z7970" s="1"/>
  <c r="W7971"/>
  <c r="X7971" s="1"/>
  <c r="W7972"/>
  <c r="Z7972" s="1"/>
  <c r="W7973"/>
  <c r="W7974"/>
  <c r="Z7974" s="1"/>
  <c r="W7975"/>
  <c r="Z7975" s="1"/>
  <c r="W7976"/>
  <c r="Z7976" s="1"/>
  <c r="W7977"/>
  <c r="W7978"/>
  <c r="Z7978" s="1"/>
  <c r="W7979"/>
  <c r="Z7979" s="1"/>
  <c r="W7980"/>
  <c r="Z7980" s="1"/>
  <c r="W7981"/>
  <c r="W7982"/>
  <c r="Z7982" s="1"/>
  <c r="W7983"/>
  <c r="Z7983" s="1"/>
  <c r="W7984"/>
  <c r="Z7984" s="1"/>
  <c r="W7985"/>
  <c r="W7986"/>
  <c r="Z7986" s="1"/>
  <c r="W7987"/>
  <c r="Z7987" s="1"/>
  <c r="W7988"/>
  <c r="Z7988" s="1"/>
  <c r="W7989"/>
  <c r="W7990"/>
  <c r="Z7990" s="1"/>
  <c r="W7991"/>
  <c r="Z7991" s="1"/>
  <c r="W7992"/>
  <c r="Z7992" s="1"/>
  <c r="W7993"/>
  <c r="W7994"/>
  <c r="Z7994" s="1"/>
  <c r="W7995"/>
  <c r="Z7995" s="1"/>
  <c r="W7996"/>
  <c r="Z7996" s="1"/>
  <c r="W7997"/>
  <c r="W7998"/>
  <c r="Z7998" s="1"/>
  <c r="W7999"/>
  <c r="Z7999" s="1"/>
  <c r="W8000"/>
  <c r="Z8000" s="1"/>
  <c r="W8001"/>
  <c r="W8002"/>
  <c r="Z8002" s="1"/>
  <c r="W8003"/>
  <c r="Z8003" s="1"/>
  <c r="W8004"/>
  <c r="Z8004" s="1"/>
  <c r="W8005"/>
  <c r="W8006"/>
  <c r="Z8006" s="1"/>
  <c r="W8007"/>
  <c r="Z8007" s="1"/>
  <c r="W8008"/>
  <c r="Z8008" s="1"/>
  <c r="W8009"/>
  <c r="W8010"/>
  <c r="Z8010" s="1"/>
  <c r="W8011"/>
  <c r="Z8011" s="1"/>
  <c r="W8012"/>
  <c r="Z8012" s="1"/>
  <c r="W8013"/>
  <c r="W8014"/>
  <c r="Z8014" s="1"/>
  <c r="W8015"/>
  <c r="Z8015" s="1"/>
  <c r="W8016"/>
  <c r="Z8016" s="1"/>
  <c r="W8017"/>
  <c r="W8018"/>
  <c r="Z8018" s="1"/>
  <c r="W8019"/>
  <c r="Z8019" s="1"/>
  <c r="W8020"/>
  <c r="Z8020" s="1"/>
  <c r="W8021"/>
  <c r="W8022"/>
  <c r="Z8022" s="1"/>
  <c r="W8023"/>
  <c r="Z8023" s="1"/>
  <c r="W8024"/>
  <c r="Z8024" s="1"/>
  <c r="W8025"/>
  <c r="W8026"/>
  <c r="Z8026" s="1"/>
  <c r="W8027"/>
  <c r="Z8027" s="1"/>
  <c r="W8028"/>
  <c r="Z8028" s="1"/>
  <c r="W8029"/>
  <c r="W8030"/>
  <c r="Z8030" s="1"/>
  <c r="W8031"/>
  <c r="Z8031" s="1"/>
  <c r="W8032"/>
  <c r="Z8032" s="1"/>
  <c r="W8033"/>
  <c r="W8034"/>
  <c r="Z8034" s="1"/>
  <c r="W8035"/>
  <c r="Z8035" s="1"/>
  <c r="W8036"/>
  <c r="Z8036" s="1"/>
  <c r="W8037"/>
  <c r="W8038"/>
  <c r="Z8038" s="1"/>
  <c r="W8039"/>
  <c r="Z8039" s="1"/>
  <c r="W8040"/>
  <c r="Z8040" s="1"/>
  <c r="W8041"/>
  <c r="W8042"/>
  <c r="Z8042" s="1"/>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Z8794" s="1"/>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Z8814" s="1"/>
  <c r="W8815"/>
  <c r="X8815" s="1"/>
  <c r="W8816"/>
  <c r="Z8816" s="1"/>
  <c r="W8817"/>
  <c r="W8818"/>
  <c r="W8819"/>
  <c r="W8820"/>
  <c r="W8821"/>
  <c r="X8821" s="1"/>
  <c r="W8822"/>
  <c r="W8823"/>
  <c r="X8823" s="1"/>
  <c r="W8824"/>
  <c r="W8825"/>
  <c r="W8826"/>
  <c r="W8827"/>
  <c r="Z8827" s="1"/>
  <c r="W8828"/>
  <c r="Z8828" s="1"/>
  <c r="W8829"/>
  <c r="X8829" s="1"/>
  <c r="W8830"/>
  <c r="Z8830" s="1"/>
  <c r="W8831"/>
  <c r="X8831" s="1"/>
  <c r="W8832"/>
  <c r="Z8832" s="1"/>
  <c r="W8833"/>
  <c r="W8834"/>
  <c r="W8835"/>
  <c r="W8836"/>
  <c r="W8837"/>
  <c r="X8837" s="1"/>
  <c r="W8838"/>
  <c r="W8839"/>
  <c r="X8839" s="1"/>
  <c r="W8840"/>
  <c r="Z8840" s="1"/>
  <c r="W8841"/>
  <c r="W8842"/>
  <c r="W8843"/>
  <c r="Z8843" s="1"/>
  <c r="W8844"/>
  <c r="W8845"/>
  <c r="X8845" s="1"/>
  <c r="W8846"/>
  <c r="Z8846" s="1"/>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Z8866" s="1"/>
  <c r="W8867"/>
  <c r="W8868"/>
  <c r="Z8868" s="1"/>
  <c r="W8869"/>
  <c r="X8869" s="1"/>
  <c r="W8870"/>
  <c r="W8871"/>
  <c r="X8871" s="1"/>
  <c r="W8872"/>
  <c r="W8873"/>
  <c r="W8874"/>
  <c r="W8875"/>
  <c r="Z8875" s="1"/>
  <c r="W8876"/>
  <c r="Z8876" s="1"/>
  <c r="W8877"/>
  <c r="W8878"/>
  <c r="W8879"/>
  <c r="X8879" s="1"/>
  <c r="W8880"/>
  <c r="Z8880" s="1"/>
  <c r="W8881"/>
  <c r="W8882"/>
  <c r="Z8882" s="1"/>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Z8902" s="1"/>
  <c r="W8903"/>
  <c r="X8903" s="1"/>
  <c r="W8904"/>
  <c r="Z8904" s="1"/>
  <c r="W8905"/>
  <c r="W8906"/>
  <c r="W8907"/>
  <c r="Z8907" s="1"/>
  <c r="W8908"/>
  <c r="W8909"/>
  <c r="X8909" s="1"/>
  <c r="W8910"/>
  <c r="W8911"/>
  <c r="X8911" s="1"/>
  <c r="W8912"/>
  <c r="W8913"/>
  <c r="W8914"/>
  <c r="W8915"/>
  <c r="W8916"/>
  <c r="Z8916" s="1"/>
  <c r="W8917"/>
  <c r="X8917" s="1"/>
  <c r="W8918"/>
  <c r="Z8918" s="1"/>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Z8938" s="1"/>
  <c r="W8939"/>
  <c r="W8940"/>
  <c r="W8941"/>
  <c r="X8941" s="1"/>
  <c r="W8942"/>
  <c r="W8943"/>
  <c r="W8944"/>
  <c r="Z8944" s="1"/>
  <c r="W8945"/>
  <c r="W8946"/>
  <c r="W8947"/>
  <c r="X8947" s="1"/>
  <c r="W8948"/>
  <c r="Z8948" s="1"/>
  <c r="W8949"/>
  <c r="X8949" s="1"/>
  <c r="W8950"/>
  <c r="W8951"/>
  <c r="X8951" s="1"/>
  <c r="W8952"/>
  <c r="Z8952" s="1"/>
  <c r="W8953"/>
  <c r="W8954"/>
  <c r="Z8954" s="1"/>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Z8974" s="1"/>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Z8998" s="1"/>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Z9018" s="1"/>
  <c r="W9019"/>
  <c r="W9020"/>
  <c r="Z9020" s="1"/>
  <c r="W9021"/>
  <c r="X9021" s="1"/>
  <c r="W9022"/>
  <c r="W9023"/>
  <c r="X9023" s="1"/>
  <c r="W9024"/>
  <c r="Z9024" s="1"/>
  <c r="W9025"/>
  <c r="W9026"/>
  <c r="W9027"/>
  <c r="Z9027" s="1"/>
  <c r="W9028"/>
  <c r="W9029"/>
  <c r="X9029" s="1"/>
  <c r="W9030"/>
  <c r="W9031"/>
  <c r="X9031" s="1"/>
  <c r="W9032"/>
  <c r="Z9032" s="1"/>
  <c r="W9033"/>
  <c r="W9034"/>
  <c r="Z9034" s="1"/>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Z9058" s="1"/>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Z9078" s="1"/>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Z9098" s="1"/>
  <c r="W9099"/>
  <c r="W9100"/>
  <c r="Z9100" s="1"/>
  <c r="W9101"/>
  <c r="X9101" s="1"/>
  <c r="W9102"/>
  <c r="W9103"/>
  <c r="W9104"/>
  <c r="W9105"/>
  <c r="W9106"/>
  <c r="W9107"/>
  <c r="W9108"/>
  <c r="W9109"/>
  <c r="X9109" s="1"/>
  <c r="W9110"/>
  <c r="W9111"/>
  <c r="W9112"/>
  <c r="Z9112" s="1"/>
  <c r="W9113"/>
  <c r="W9114"/>
  <c r="Z9114" s="1"/>
  <c r="W9115"/>
  <c r="W9116"/>
  <c r="Z9116" s="1"/>
  <c r="W9117"/>
  <c r="X9117" s="1"/>
  <c r="W9118"/>
  <c r="W9119"/>
  <c r="X9119" s="1"/>
  <c r="W9120"/>
  <c r="Z9120" s="1"/>
  <c r="W9121"/>
  <c r="W9122"/>
  <c r="W9123"/>
  <c r="W9124"/>
  <c r="W9125"/>
  <c r="X9125" s="1"/>
  <c r="W9126"/>
  <c r="W9127"/>
  <c r="W9128"/>
  <c r="Z9128" s="1"/>
  <c r="W9129"/>
  <c r="W9130"/>
  <c r="Z9130" s="1"/>
  <c r="W9131"/>
  <c r="W9132"/>
  <c r="W9133"/>
  <c r="X9133" s="1"/>
  <c r="W9134"/>
  <c r="W9135"/>
  <c r="W9136"/>
  <c r="Z9136" s="1"/>
  <c r="W9137"/>
  <c r="W9138"/>
  <c r="W9139"/>
  <c r="W9140"/>
  <c r="W9141"/>
  <c r="X9141" s="1"/>
  <c r="W9142"/>
  <c r="W9143"/>
  <c r="W9144"/>
  <c r="Z9144" s="1"/>
  <c r="W9145"/>
  <c r="W9146"/>
  <c r="Z9146" s="1"/>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Z9166" s="1"/>
  <c r="W9167"/>
  <c r="W9168"/>
  <c r="Z9168" s="1"/>
  <c r="W9169"/>
  <c r="W9170"/>
  <c r="W9171"/>
  <c r="W9172"/>
  <c r="W9173"/>
  <c r="X9173" s="1"/>
  <c r="W9174"/>
  <c r="W9175"/>
  <c r="W9176"/>
  <c r="Z9176" s="1"/>
  <c r="W9177"/>
  <c r="W9178"/>
  <c r="W9179"/>
  <c r="W9180"/>
  <c r="Z9180" s="1"/>
  <c r="W9181"/>
  <c r="X9181" s="1"/>
  <c r="W9182"/>
  <c r="Z9182" s="1"/>
  <c r="W9183"/>
  <c r="X9183" s="1"/>
  <c r="W9184"/>
  <c r="W9185"/>
  <c r="W9186"/>
  <c r="W9187"/>
  <c r="W9188"/>
  <c r="Z9188" s="1"/>
  <c r="W9189"/>
  <c r="X9189" s="1"/>
  <c r="W9190"/>
  <c r="W9191"/>
  <c r="X9191" s="1"/>
  <c r="W9192"/>
  <c r="Z9192" s="1"/>
  <c r="W9193"/>
  <c r="W9194"/>
  <c r="W9195"/>
  <c r="W9196"/>
  <c r="W9197"/>
  <c r="X9197" s="1"/>
  <c r="W9198"/>
  <c r="Z9198" s="1"/>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Z9222" s="1"/>
  <c r="W9223"/>
  <c r="X9223" s="1"/>
  <c r="W9224"/>
  <c r="W9225"/>
  <c r="W9226"/>
  <c r="W9227"/>
  <c r="W9228"/>
  <c r="Z9228" s="1"/>
  <c r="W9229"/>
  <c r="X9229" s="1"/>
  <c r="W9230"/>
  <c r="W9231"/>
  <c r="W9232"/>
  <c r="Z9232" s="1"/>
  <c r="W9233"/>
  <c r="W9234"/>
  <c r="W9235"/>
  <c r="X9235" s="1"/>
  <c r="W9236"/>
  <c r="Z9236" s="1"/>
  <c r="W9237"/>
  <c r="X9237" s="1"/>
  <c r="W9238"/>
  <c r="W9239"/>
  <c r="W9240"/>
  <c r="W9241"/>
  <c r="W9242"/>
  <c r="Z9242" s="1"/>
  <c r="W9243"/>
  <c r="Z9243" s="1"/>
  <c r="W9244"/>
  <c r="Z9244" s="1"/>
  <c r="W9245"/>
  <c r="X9245" s="1"/>
  <c r="W9246"/>
  <c r="W9247"/>
  <c r="W9248"/>
  <c r="Z9248" s="1"/>
  <c r="W9249"/>
  <c r="W9250"/>
  <c r="W9251"/>
  <c r="Z9251" s="1"/>
  <c r="W9252"/>
  <c r="Z9252" s="1"/>
  <c r="W9253"/>
  <c r="X9253" s="1"/>
  <c r="W9254"/>
  <c r="W9255"/>
  <c r="W9256"/>
  <c r="W9257"/>
  <c r="W9258"/>
  <c r="Z9258" s="1"/>
  <c r="W9259"/>
  <c r="X9259" s="1"/>
  <c r="W9260"/>
  <c r="Z9260" s="1"/>
  <c r="W9261"/>
  <c r="X9261" s="1"/>
  <c r="W9262"/>
  <c r="Z9262" s="1"/>
  <c r="W9263"/>
  <c r="X9263" s="1"/>
  <c r="W9264"/>
  <c r="Z9264" s="1"/>
  <c r="W9265"/>
  <c r="W9266"/>
  <c r="W9267"/>
  <c r="Z9267" s="1"/>
  <c r="W9268"/>
  <c r="Z9268" s="1"/>
  <c r="W9269"/>
  <c r="X9269" s="1"/>
  <c r="W9270"/>
  <c r="W9271"/>
  <c r="Z9271" s="1"/>
  <c r="W9272"/>
  <c r="W9273"/>
  <c r="W9274"/>
  <c r="W9275"/>
  <c r="Z9275" s="1"/>
  <c r="W9276"/>
  <c r="Z9276" s="1"/>
  <c r="W9277"/>
  <c r="X9277" s="1"/>
  <c r="W9278"/>
  <c r="Z9278" s="1"/>
  <c r="W9279"/>
  <c r="Z9279" s="1"/>
  <c r="W9280"/>
  <c r="Z9280" s="1"/>
  <c r="W9281"/>
  <c r="W9282"/>
  <c r="W9283"/>
  <c r="Z9283" s="1"/>
  <c r="W9284"/>
  <c r="Z9284" s="1"/>
  <c r="W9285"/>
  <c r="X9285" s="1"/>
  <c r="W9286"/>
  <c r="W9287"/>
  <c r="Z9287" s="1"/>
  <c r="W9288"/>
  <c r="W9289"/>
  <c r="W9290"/>
  <c r="W9291"/>
  <c r="Z9291" s="1"/>
  <c r="W9292"/>
  <c r="Z9292" s="1"/>
  <c r="W9293"/>
  <c r="X9293" s="1"/>
  <c r="W9294"/>
  <c r="Z9294" s="1"/>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Z9314" s="1"/>
  <c r="W9315"/>
  <c r="W9316"/>
  <c r="W9317"/>
  <c r="X9317" s="1"/>
  <c r="W9318"/>
  <c r="W9319"/>
  <c r="W9320"/>
  <c r="Z9320" s="1"/>
  <c r="W9321"/>
  <c r="W9322"/>
  <c r="W9323"/>
  <c r="X9323" s="1"/>
  <c r="W9324"/>
  <c r="W9325"/>
  <c r="X9325" s="1"/>
  <c r="W9326"/>
  <c r="W9327"/>
  <c r="X9327" s="1"/>
  <c r="W9328"/>
  <c r="Z9328" s="1"/>
  <c r="W9329"/>
  <c r="W9330"/>
  <c r="Z9330" s="1"/>
  <c r="W9331"/>
  <c r="W9332"/>
  <c r="Z9332" s="1"/>
  <c r="W9333"/>
  <c r="X9333" s="1"/>
  <c r="W9334"/>
  <c r="W9335"/>
  <c r="W9336"/>
  <c r="Z9336" s="1"/>
  <c r="W9337"/>
  <c r="W9338"/>
  <c r="W9339"/>
  <c r="W9340"/>
  <c r="W9341"/>
  <c r="X9341" s="1"/>
  <c r="W9342"/>
  <c r="W9343"/>
  <c r="W9344"/>
  <c r="W9345"/>
  <c r="W9346"/>
  <c r="Z9346" s="1"/>
  <c r="W9347"/>
  <c r="Z9347" s="1"/>
  <c r="W9348"/>
  <c r="W9349"/>
  <c r="X9349" s="1"/>
  <c r="W9350"/>
  <c r="W9351"/>
  <c r="W9352"/>
  <c r="Z9352" s="1"/>
  <c r="W9353"/>
  <c r="W9354"/>
  <c r="Z9354" s="1"/>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Z9382" s="1"/>
  <c r="W9383"/>
  <c r="W9384"/>
  <c r="W9385"/>
  <c r="W9386"/>
  <c r="Z9386" s="1"/>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Z9406" s="1"/>
  <c r="W9407"/>
  <c r="W9408"/>
  <c r="W9409"/>
  <c r="W9410"/>
  <c r="W9411"/>
  <c r="Z9411" s="1"/>
  <c r="W9412"/>
  <c r="Z9412" s="1"/>
  <c r="W9413"/>
  <c r="X9413" s="1"/>
  <c r="W9414"/>
  <c r="W9415"/>
  <c r="W9416"/>
  <c r="Z9416" s="1"/>
  <c r="W9417"/>
  <c r="W9418"/>
  <c r="W9419"/>
  <c r="W9420"/>
  <c r="Z9420" s="1"/>
  <c r="W9421"/>
  <c r="W9422"/>
  <c r="W9423"/>
  <c r="X9423" s="1"/>
  <c r="W9424"/>
  <c r="W9425"/>
  <c r="W9426"/>
  <c r="Z9426" s="1"/>
  <c r="W9427"/>
  <c r="X9427" s="1"/>
  <c r="W9428"/>
  <c r="W9429"/>
  <c r="X9429" s="1"/>
  <c r="W9430"/>
  <c r="W9431"/>
  <c r="X9431" s="1"/>
  <c r="W9432"/>
  <c r="Z9432" s="1"/>
  <c r="W9433"/>
  <c r="W9434"/>
  <c r="W9435"/>
  <c r="X9435" s="1"/>
  <c r="W9436"/>
  <c r="Z9436" s="1"/>
  <c r="W9437"/>
  <c r="X9437" s="1"/>
  <c r="W9438"/>
  <c r="W9439"/>
  <c r="X9439" s="1"/>
  <c r="W9440"/>
  <c r="Z9440" s="1"/>
  <c r="W9441"/>
  <c r="W9442"/>
  <c r="Z9442" s="1"/>
  <c r="W9443"/>
  <c r="Z9443" s="1"/>
  <c r="W9444"/>
  <c r="W9445"/>
  <c r="X9445" s="1"/>
  <c r="W9446"/>
  <c r="W9447"/>
  <c r="X9447" s="1"/>
  <c r="W9448"/>
  <c r="W9449"/>
  <c r="W9450"/>
  <c r="W9451"/>
  <c r="X9451" s="1"/>
  <c r="W9452"/>
  <c r="Z9452" s="1"/>
  <c r="W9453"/>
  <c r="X9453" s="1"/>
  <c r="W9454"/>
  <c r="W9455"/>
  <c r="X9455" s="1"/>
  <c r="W9456"/>
  <c r="Z9456" s="1"/>
  <c r="W9457"/>
  <c r="W9458"/>
  <c r="Z9458" s="1"/>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Z9478" s="1"/>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Z9502" s="1"/>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Z9526" s="1"/>
  <c r="W9527"/>
  <c r="X9527" s="1"/>
  <c r="W9528"/>
  <c r="Z9528" s="1"/>
  <c r="W9529"/>
  <c r="W9530"/>
  <c r="W9531"/>
  <c r="W9532"/>
  <c r="W9533"/>
  <c r="X9533" s="1"/>
  <c r="W9534"/>
  <c r="W9535"/>
  <c r="X9535" s="1"/>
  <c r="W9536"/>
  <c r="W9537"/>
  <c r="W9538"/>
  <c r="W9539"/>
  <c r="W9540"/>
  <c r="Z9540" s="1"/>
  <c r="W9541"/>
  <c r="W9542"/>
  <c r="Z9542" s="1"/>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Z9562" s="1"/>
  <c r="W9563"/>
  <c r="W9564"/>
  <c r="Z9564" s="1"/>
  <c r="W9565"/>
  <c r="X9565" s="1"/>
  <c r="W9566"/>
  <c r="W9567"/>
  <c r="X9567" s="1"/>
  <c r="W9568"/>
  <c r="Z9568" s="1"/>
  <c r="W9569"/>
  <c r="W9570"/>
  <c r="W9571"/>
  <c r="W9572"/>
  <c r="W9573"/>
  <c r="W9574"/>
  <c r="W9575"/>
  <c r="X9575" s="1"/>
  <c r="W9576"/>
  <c r="W9577"/>
  <c r="W9578"/>
  <c r="Z9578" s="1"/>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Z9598" s="1"/>
  <c r="W9599"/>
  <c r="X9599" s="1"/>
  <c r="W9600"/>
  <c r="Z9600" s="1"/>
  <c r="W9601"/>
  <c r="W9602"/>
  <c r="W9603"/>
  <c r="W9604"/>
  <c r="Z9604" s="1"/>
  <c r="W9605"/>
  <c r="W9606"/>
  <c r="W9607"/>
  <c r="X9607" s="1"/>
  <c r="W9608"/>
  <c r="Z9608" s="1"/>
  <c r="W9609"/>
  <c r="W9610"/>
  <c r="W9611"/>
  <c r="W9612"/>
  <c r="W9613"/>
  <c r="X9613" s="1"/>
  <c r="W9614"/>
  <c r="W9615"/>
  <c r="W9616"/>
  <c r="W9617"/>
  <c r="W9618"/>
  <c r="Z9618" s="1"/>
  <c r="W9619"/>
  <c r="X9619" s="1"/>
  <c r="W9620"/>
  <c r="Z9620" s="1"/>
  <c r="W9621"/>
  <c r="W9622"/>
  <c r="W9623"/>
  <c r="X9623" s="1"/>
  <c r="W9624"/>
  <c r="Z9624" s="1"/>
  <c r="W9625"/>
  <c r="W9626"/>
  <c r="W9627"/>
  <c r="W9628"/>
  <c r="Z9628" s="1"/>
  <c r="W9629"/>
  <c r="X9629" s="1"/>
  <c r="W9630"/>
  <c r="W9631"/>
  <c r="X9631" s="1"/>
  <c r="W9632"/>
  <c r="W9633"/>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Z9894" s="1"/>
  <c r="W9895"/>
  <c r="Z9895" s="1"/>
  <c r="W9896"/>
  <c r="Z9896" s="1"/>
  <c r="W9897"/>
  <c r="W9898"/>
  <c r="Z9898" s="1"/>
  <c r="W9899"/>
  <c r="W9900"/>
  <c r="Z9900" s="1"/>
  <c r="W9901"/>
  <c r="W9902"/>
  <c r="W9903"/>
  <c r="W9904"/>
  <c r="Z9904" s="1"/>
  <c r="W9905"/>
  <c r="W9906"/>
  <c r="W9907"/>
  <c r="Z9907" s="1"/>
  <c r="W9908"/>
  <c r="Z9908" s="1"/>
  <c r="W9909"/>
  <c r="W9910"/>
  <c r="W9911"/>
  <c r="W9912"/>
  <c r="Z9912" s="1"/>
  <c r="W9913"/>
  <c r="W9914"/>
  <c r="W9915"/>
  <c r="X9915" s="1"/>
  <c r="Z9915"/>
  <c r="W9916"/>
  <c r="W9917"/>
  <c r="W9918"/>
  <c r="W9919"/>
  <c r="Z9919" s="1"/>
  <c r="W9920"/>
  <c r="W9921"/>
  <c r="W9922"/>
  <c r="Z9922" s="1"/>
  <c r="W9923"/>
  <c r="Z9923" s="1"/>
  <c r="W9924"/>
  <c r="W9925"/>
  <c r="W9926"/>
  <c r="W9927"/>
  <c r="Z9927" s="1"/>
  <c r="W9928"/>
  <c r="W9929"/>
  <c r="W9930"/>
  <c r="W9931"/>
  <c r="Z9931" s="1"/>
  <c r="W9932"/>
  <c r="W9933"/>
  <c r="W9934"/>
  <c r="Z9934" s="1"/>
  <c r="W9935"/>
  <c r="Z9935" s="1"/>
  <c r="W9936"/>
  <c r="W9937"/>
  <c r="W9938"/>
  <c r="W9939"/>
  <c r="Z9939" s="1"/>
  <c r="W9940"/>
  <c r="W9941"/>
  <c r="W9942"/>
  <c r="W9943"/>
  <c r="Z9943" s="1"/>
  <c r="W9944"/>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0342"/>
  <c r="Z10214"/>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9"/>
  <c r="Z11907"/>
  <c r="Z11903"/>
  <c r="Z11899"/>
  <c r="Z11895"/>
  <c r="Z11891"/>
  <c r="Z11887"/>
  <c r="Z11883"/>
  <c r="Z11879"/>
  <c r="Z11875"/>
  <c r="Z11871"/>
  <c r="Z11867"/>
  <c r="Z11863"/>
  <c r="Z11859"/>
  <c r="Z11855"/>
  <c r="Z11851"/>
  <c r="Z11847"/>
  <c r="Z11843"/>
  <c r="Z11839"/>
  <c r="Z11835"/>
  <c r="Z11831"/>
  <c r="Z11827"/>
  <c r="Z11823"/>
  <c r="Z11819"/>
  <c r="Z11815"/>
  <c r="Z11811"/>
  <c r="Z11807"/>
  <c r="Z11803"/>
  <c r="Z11799"/>
  <c r="Z11795"/>
  <c r="Z11791"/>
  <c r="Z11787"/>
  <c r="Z11783"/>
  <c r="Z11781"/>
  <c r="Z11779"/>
  <c r="Z11775"/>
  <c r="Z11771"/>
  <c r="Z11767"/>
  <c r="Z11763"/>
  <c r="Z11759"/>
  <c r="Z11755"/>
  <c r="Z11751"/>
  <c r="Z11747"/>
  <c r="Z11743"/>
  <c r="Z11739"/>
  <c r="Z11735"/>
  <c r="Z11731"/>
  <c r="Z11727"/>
  <c r="Z11723"/>
  <c r="Z11719"/>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1"/>
  <c r="Z11567"/>
  <c r="Z11563"/>
  <c r="Z11559"/>
  <c r="Z11555"/>
  <c r="Z11551"/>
  <c r="Z11547"/>
  <c r="Z11543"/>
  <c r="Z11539"/>
  <c r="Z11535"/>
  <c r="Z11531"/>
  <c r="Z11527"/>
  <c r="Z11523"/>
  <c r="Z11519"/>
  <c r="Z11515"/>
  <c r="Z11511"/>
  <c r="Z11507"/>
  <c r="Z11503"/>
  <c r="Z11499"/>
  <c r="Z11495"/>
  <c r="Z11491"/>
  <c r="Z11487"/>
  <c r="Z11483"/>
  <c r="Z11479"/>
  <c r="Z11475"/>
  <c r="Z11471"/>
  <c r="Z11467"/>
  <c r="Z11463"/>
  <c r="Z11459"/>
  <c r="Z11455"/>
  <c r="Z11451"/>
  <c r="Z11447"/>
  <c r="Z11443"/>
  <c r="Z11439"/>
  <c r="Z11435"/>
  <c r="Z11431"/>
  <c r="Z11427"/>
  <c r="Z11423"/>
  <c r="Z11419"/>
  <c r="Z11415"/>
  <c r="Z11411"/>
  <c r="Z11407"/>
  <c r="Z11403"/>
  <c r="Z11399"/>
  <c r="Z11395"/>
  <c r="Z11391"/>
  <c r="Z11387"/>
  <c r="Z11383"/>
  <c r="Z11379"/>
  <c r="Z11375"/>
  <c r="Z11371"/>
  <c r="Z11367"/>
  <c r="Z11363"/>
  <c r="Z11359"/>
  <c r="Z11355"/>
  <c r="Z11351"/>
  <c r="Z11347"/>
  <c r="Z11343"/>
  <c r="Z11339"/>
  <c r="Z11335"/>
  <c r="Z11331"/>
  <c r="Z11327"/>
  <c r="Z11323"/>
  <c r="Z11319"/>
  <c r="Z11315"/>
  <c r="Z11311"/>
  <c r="Z11307"/>
  <c r="Z11303"/>
  <c r="Z11299"/>
  <c r="Z11295"/>
  <c r="Z11291"/>
  <c r="Z11287"/>
  <c r="Z11283"/>
  <c r="Z11279"/>
  <c r="Z11275"/>
  <c r="Z11271"/>
  <c r="Z11267"/>
  <c r="Z11263"/>
  <c r="Z11259"/>
  <c r="Z11255"/>
  <c r="Z11251"/>
  <c r="Z11247"/>
  <c r="Z11243"/>
  <c r="Z11239"/>
  <c r="Z11235"/>
  <c r="Z11231"/>
  <c r="Z11227"/>
  <c r="Z11223"/>
  <c r="Z11219"/>
  <c r="Z11215"/>
  <c r="Z11211"/>
  <c r="Z11207"/>
  <c r="Z11203"/>
  <c r="Z11199"/>
  <c r="Z11195"/>
  <c r="Z11191"/>
  <c r="Z11187"/>
  <c r="Z11183"/>
  <c r="Z11179"/>
  <c r="Z11175"/>
  <c r="Z11171"/>
  <c r="Z11167"/>
  <c r="Z11165"/>
  <c r="Z11163"/>
  <c r="Z11159"/>
  <c r="Z11155"/>
  <c r="Z11151"/>
  <c r="Z11147"/>
  <c r="Z11143"/>
  <c r="Z11139"/>
  <c r="Z11135"/>
  <c r="Z11131"/>
  <c r="Z11127"/>
  <c r="Z11123"/>
  <c r="Z11119"/>
  <c r="Z11115"/>
  <c r="Z11111"/>
  <c r="Z11107"/>
  <c r="Z11103"/>
  <c r="Z11099"/>
  <c r="Z11095"/>
  <c r="Z11091"/>
  <c r="Z11087"/>
  <c r="Z11083"/>
  <c r="Z11079"/>
  <c r="Z11075"/>
  <c r="Z11071"/>
  <c r="Z11067"/>
  <c r="Z11063"/>
  <c r="Z11059"/>
  <c r="Z11055"/>
  <c r="Z11051"/>
  <c r="Z11047"/>
  <c r="Z11043"/>
  <c r="Z11039"/>
  <c r="Z11035"/>
  <c r="Z11031"/>
  <c r="Z11027"/>
  <c r="Z11023"/>
  <c r="Z11019"/>
  <c r="Z11015"/>
  <c r="Z11011"/>
  <c r="Z11007"/>
  <c r="Z11003"/>
  <c r="Z10999"/>
  <c r="Z10995"/>
  <c r="Z10991"/>
  <c r="Z10987"/>
  <c r="Z10983"/>
  <c r="Z10979"/>
  <c r="Z10975"/>
  <c r="Z10971"/>
  <c r="Z10967"/>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76"/>
  <c r="Z10864"/>
  <c r="Z10860"/>
  <c r="Z10844"/>
  <c r="Z10836"/>
  <c r="Z10832"/>
  <c r="Z10804"/>
  <c r="Z10796"/>
  <c r="Z10780"/>
  <c r="Z10764"/>
  <c r="Z10756"/>
  <c r="Z10752"/>
  <c r="Z10728"/>
  <c r="Z10724"/>
  <c r="X10724"/>
  <c r="Z10700"/>
  <c r="Z10696"/>
  <c r="Z10684"/>
  <c r="Z10672"/>
  <c r="Z10664"/>
  <c r="Z10660"/>
  <c r="Z10644"/>
  <c r="Z10640"/>
  <c r="Z10632"/>
  <c r="Z10612"/>
  <c r="Z10608"/>
  <c r="Z10600"/>
  <c r="Z10588"/>
  <c r="Z10576"/>
  <c r="Z10568"/>
  <c r="Z10540"/>
  <c r="Z10532"/>
  <c r="Z10524"/>
  <c r="Z10504"/>
  <c r="Z10500"/>
  <c r="Z10492"/>
  <c r="Z10472"/>
  <c r="Z10464"/>
  <c r="Z10452"/>
  <c r="Z10368"/>
  <c r="Z10356"/>
  <c r="Z10348"/>
  <c r="Z10312"/>
  <c r="Z10292"/>
  <c r="Z10256"/>
  <c r="Z10244"/>
  <c r="Z10236"/>
  <c r="Z10224"/>
  <c r="X13779"/>
  <c r="X13451"/>
  <c r="X13405"/>
  <c r="X13297"/>
  <c r="X13223"/>
  <c r="X13065"/>
  <c r="X12972"/>
  <c r="X12913"/>
  <c r="X12883"/>
  <c r="Z12840"/>
  <c r="Z12792"/>
  <c r="Z12584"/>
  <c r="Z12536"/>
  <c r="Z12472"/>
  <c r="Z12408"/>
  <c r="Z12344"/>
  <c r="Z12304"/>
  <c r="Z12216"/>
  <c r="Z12192"/>
  <c r="Z12180"/>
  <c r="Z12136"/>
  <c r="Z12132"/>
  <c r="Z12124"/>
  <c r="Z12112"/>
  <c r="Z12096"/>
  <c r="Z12088"/>
  <c r="Z12064"/>
  <c r="Z12060"/>
  <c r="Z12056"/>
  <c r="Z12044"/>
  <c r="Z12040"/>
  <c r="Z12032"/>
  <c r="Z12024"/>
  <c r="Z12016"/>
  <c r="Z12012"/>
  <c r="Z12000"/>
  <c r="Z11996"/>
  <c r="Z11992"/>
  <c r="Z11980"/>
  <c r="Z11976"/>
  <c r="Z11968"/>
  <c r="Z11960"/>
  <c r="Z11952"/>
  <c r="Z11948"/>
  <c r="Z11936"/>
  <c r="Z11928"/>
  <c r="Z11920"/>
  <c r="Z11896"/>
  <c r="Z11888"/>
  <c r="Z11872"/>
  <c r="Z11856"/>
  <c r="Z11840"/>
  <c r="Z11832"/>
  <c r="Z11808"/>
  <c r="Z11800"/>
  <c r="Z11792"/>
  <c r="Z11768"/>
  <c r="Z11760"/>
  <c r="Z11744"/>
  <c r="Z11728"/>
  <c r="Z11712"/>
  <c r="Z11704"/>
  <c r="Z11680"/>
  <c r="Z11672"/>
  <c r="Z11664"/>
  <c r="Z11640"/>
  <c r="Z11632"/>
  <c r="Z11616"/>
  <c r="Z11600"/>
  <c r="Z11584"/>
  <c r="Z11576"/>
  <c r="Z11552"/>
  <c r="Z11544"/>
  <c r="Z11536"/>
  <c r="Z11512"/>
  <c r="Z11504"/>
  <c r="Z11488"/>
  <c r="Z11472"/>
  <c r="Z11456"/>
  <c r="Z11448"/>
  <c r="Z11424"/>
  <c r="Z11416"/>
  <c r="Z11408"/>
  <c r="Z11384"/>
  <c r="Z11376"/>
  <c r="Z11360"/>
  <c r="Z11344"/>
  <c r="Z11328"/>
  <c r="Z11320"/>
  <c r="Z11296"/>
  <c r="Z11288"/>
  <c r="Z11280"/>
  <c r="Z11256"/>
  <c r="Z11248"/>
  <c r="Z11232"/>
  <c r="Z11216"/>
  <c r="Z11200"/>
  <c r="Z11192"/>
  <c r="Z11168"/>
  <c r="Z11160"/>
  <c r="Z11152"/>
  <c r="Z11128"/>
  <c r="Z11120"/>
  <c r="Z11104"/>
  <c r="Z11088"/>
  <c r="Z11072"/>
  <c r="Z11064"/>
  <c r="Z11040"/>
  <c r="Z11032"/>
  <c r="Z11024"/>
  <c r="Z11000"/>
  <c r="Z10992"/>
  <c r="Z10976"/>
  <c r="Z10960"/>
  <c r="Z10948"/>
  <c r="Z10944"/>
  <c r="Z10932"/>
  <c r="Z10928"/>
  <c r="Z10924"/>
  <c r="Z10912"/>
  <c r="Z10908"/>
  <c r="Z10904"/>
  <c r="Z10896"/>
  <c r="X10877"/>
  <c r="X10873"/>
  <c r="X10861"/>
  <c r="X10853"/>
  <c r="X10813"/>
  <c r="X10809"/>
  <c r="X10801"/>
  <c r="X10797"/>
  <c r="X10793"/>
  <c r="X10781"/>
  <c r="X10773"/>
  <c r="X10769"/>
  <c r="X10765"/>
  <c r="X10757"/>
  <c r="X10745"/>
  <c r="X10737"/>
  <c r="X10733"/>
  <c r="X10729"/>
  <c r="X10725"/>
  <c r="X10717"/>
  <c r="X10709"/>
  <c r="X10705"/>
  <c r="X10701"/>
  <c r="X10693"/>
  <c r="X10685"/>
  <c r="X10673"/>
  <c r="X10665"/>
  <c r="Z10661"/>
  <c r="X10661"/>
  <c r="X10649"/>
  <c r="X10637"/>
  <c r="X10629"/>
  <c r="X10617"/>
  <c r="X10605"/>
  <c r="X10597"/>
  <c r="X10585"/>
  <c r="X10577"/>
  <c r="X10569"/>
  <c r="X10557"/>
  <c r="X10553"/>
  <c r="X10545"/>
  <c r="X10541"/>
  <c r="X10537"/>
  <c r="X10525"/>
  <c r="X10517"/>
  <c r="X10513"/>
  <c r="X10509"/>
  <c r="X10501"/>
  <c r="X10481"/>
  <c r="X10477"/>
  <c r="X10473"/>
  <c r="X10461"/>
  <c r="X10457"/>
  <c r="X10453"/>
  <c r="X10449"/>
  <c r="X10445"/>
  <c r="X10437"/>
  <c r="X10409"/>
  <c r="X10405"/>
  <c r="X10393"/>
  <c r="X10389"/>
  <c r="X10373"/>
  <c r="X10361"/>
  <c r="X10349"/>
  <c r="X10341"/>
  <c r="X10329"/>
  <c r="X10321"/>
  <c r="X10313"/>
  <c r="X10301"/>
  <c r="X10297"/>
  <c r="X10289"/>
  <c r="X10285"/>
  <c r="X10281"/>
  <c r="X10269"/>
  <c r="Z10261"/>
  <c r="X10261"/>
  <c r="X10257"/>
  <c r="X10253"/>
  <c r="X1024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04"/>
  <c r="Z7888"/>
  <c r="Z7872"/>
  <c r="Z7824"/>
  <c r="Z7808"/>
  <c r="Z7806"/>
  <c r="Z7758"/>
  <c r="Z7744"/>
  <c r="Z7712"/>
  <c r="Z7704"/>
  <c r="Z7700"/>
  <c r="Z7696"/>
  <c r="Z7688"/>
  <c r="Z7684"/>
  <c r="Z7672"/>
  <c r="Z7664"/>
  <c r="Z7660"/>
  <c r="Z7656"/>
  <c r="Z7648"/>
  <c r="Z7644"/>
  <c r="Z7640"/>
  <c r="Z7632"/>
  <c r="Z7620"/>
  <c r="Z7616"/>
  <c r="Z7608"/>
  <c r="Z7604"/>
  <c r="Z7600"/>
  <c r="Z7584"/>
  <c r="Z7580"/>
  <c r="Z7576"/>
  <c r="X7572"/>
  <c r="Z7572"/>
  <c r="Z7568"/>
  <c r="Z7564"/>
  <c r="X7556"/>
  <c r="Z7556"/>
  <c r="Z7552"/>
  <c r="Z7544"/>
  <c r="X7536"/>
  <c r="Z7536"/>
  <c r="Z7528"/>
  <c r="Z7524"/>
  <c r="X7520"/>
  <c r="Z7516"/>
  <c r="Z7512"/>
  <c r="Z7508"/>
  <c r="Z7500"/>
  <c r="Z7496"/>
  <c r="Z7492"/>
  <c r="X7484"/>
  <c r="Z7484"/>
  <c r="Z7480"/>
  <c r="Z7472"/>
  <c r="X7468"/>
  <c r="Z7468"/>
  <c r="Z7464"/>
  <c r="Z7460"/>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1"/>
  <c r="Z7487"/>
  <c r="Z7485"/>
  <c r="Z7483"/>
  <c r="Z7479"/>
  <c r="Z7477"/>
  <c r="Z7475"/>
  <c r="Z7471"/>
  <c r="Z7467"/>
  <c r="Z7463"/>
  <c r="Z7459"/>
  <c r="Z7455"/>
  <c r="Z7451"/>
  <c r="Z7447"/>
  <c r="Z7443"/>
  <c r="Z7441"/>
  <c r="Z7439"/>
  <c r="Z7435"/>
  <c r="Z7433"/>
  <c r="Z7431"/>
  <c r="Z7427"/>
  <c r="Z7423"/>
  <c r="Z7419"/>
  <c r="Z7415"/>
  <c r="Z7411"/>
  <c r="Z7409"/>
  <c r="Z7407"/>
  <c r="Z7403"/>
  <c r="Z7401"/>
  <c r="Z7399"/>
  <c r="Z7395"/>
  <c r="Z7391"/>
  <c r="Z7387"/>
  <c r="Z7383"/>
  <c r="Z7379"/>
  <c r="Z7377"/>
  <c r="Z7375"/>
  <c r="Z7371"/>
  <c r="Z7369"/>
  <c r="Z7367"/>
  <c r="Z7363"/>
  <c r="Z7359"/>
  <c r="Z7355"/>
  <c r="Z7351"/>
  <c r="Z7347"/>
  <c r="Z7345"/>
  <c r="Z7343"/>
  <c r="Z7339"/>
  <c r="Z7337"/>
  <c r="Z7335"/>
  <c r="Z7331"/>
  <c r="Z7327"/>
  <c r="Z7323"/>
  <c r="Z7319"/>
  <c r="Z7315"/>
  <c r="Z7313"/>
  <c r="Z7311"/>
  <c r="Z7307"/>
  <c r="Z7305"/>
  <c r="Z7303"/>
  <c r="Z7299"/>
  <c r="Z7295"/>
  <c r="Z7291"/>
  <c r="Z7287"/>
  <c r="Z7283"/>
  <c r="Z7281"/>
  <c r="Z7279"/>
  <c r="Z7275"/>
  <c r="Z7273"/>
  <c r="Z7271"/>
  <c r="Z7267"/>
  <c r="Z7263"/>
  <c r="Z7259"/>
  <c r="Z7255"/>
  <c r="Z7251"/>
  <c r="Z7249"/>
  <c r="Z7247"/>
  <c r="Z7243"/>
  <c r="Z7241"/>
  <c r="Z7239"/>
  <c r="Z7235"/>
  <c r="Z7231"/>
  <c r="Z7227"/>
  <c r="Z7223"/>
  <c r="Z7219"/>
  <c r="Z7217"/>
  <c r="Z7215"/>
  <c r="Z7211"/>
  <c r="Z7209"/>
  <c r="Z7207"/>
  <c r="Z7203"/>
  <c r="Z7199"/>
  <c r="Z7195"/>
  <c r="Z7191"/>
  <c r="Z7187"/>
  <c r="Z7185"/>
  <c r="Z7183"/>
  <c r="Z7179"/>
  <c r="Z7177"/>
  <c r="Z7175"/>
  <c r="Z7171"/>
  <c r="Z7167"/>
  <c r="Z7163"/>
  <c r="Z7159"/>
  <c r="Z7155"/>
  <c r="Z7153"/>
  <c r="Z7151"/>
  <c r="Z7147"/>
  <c r="Z7145"/>
  <c r="Z7143"/>
  <c r="Z7139"/>
  <c r="Z7135"/>
  <c r="Z7131"/>
  <c r="Z7127"/>
  <c r="Z7123"/>
  <c r="Z7121"/>
  <c r="Z7119"/>
  <c r="Z7115"/>
  <c r="Z7113"/>
  <c r="Z7111"/>
  <c r="Z7107"/>
  <c r="Z7103"/>
  <c r="Z7099"/>
  <c r="Z7095"/>
  <c r="Z7091"/>
  <c r="Z7089"/>
  <c r="Z7087"/>
  <c r="Z7083"/>
  <c r="Z7081"/>
  <c r="Z7079"/>
  <c r="Z7075"/>
  <c r="Z7071"/>
  <c r="Z7067"/>
  <c r="Z7063"/>
  <c r="Z7059"/>
  <c r="Z7057"/>
  <c r="Z7055"/>
  <c r="Z7051"/>
  <c r="Z7049"/>
  <c r="Z7047"/>
  <c r="Z7043"/>
  <c r="Z7039"/>
  <c r="Z7035"/>
  <c r="Z7031"/>
  <c r="Z7027"/>
  <c r="Z7025"/>
  <c r="Z7023"/>
  <c r="Z7019"/>
  <c r="Z7017"/>
  <c r="Z7015"/>
  <c r="Z7011"/>
  <c r="Z7007"/>
  <c r="Z7003"/>
  <c r="Z6999"/>
  <c r="Z6995"/>
  <c r="Z6993"/>
  <c r="Z6991"/>
  <c r="Z6987"/>
  <c r="Z6985"/>
  <c r="Z6983"/>
  <c r="Z6979"/>
  <c r="Z6975"/>
  <c r="Z6971"/>
  <c r="Z6967"/>
  <c r="Z6963"/>
  <c r="Z6961"/>
  <c r="Z6959"/>
  <c r="Z6955"/>
  <c r="Z6953"/>
  <c r="Z6951"/>
  <c r="Z6947"/>
  <c r="Z6943"/>
  <c r="Z6939"/>
  <c r="Z6935"/>
  <c r="Z6931"/>
  <c r="Z6929"/>
  <c r="Z6927"/>
  <c r="Z6923"/>
  <c r="Z6921"/>
  <c r="Z6919"/>
  <c r="Z6915"/>
  <c r="Z6911"/>
  <c r="Z6907"/>
  <c r="Z6903"/>
  <c r="Z6899"/>
  <c r="Z6897"/>
  <c r="Z6895"/>
  <c r="Z6891"/>
  <c r="Z6889"/>
  <c r="Z6887"/>
  <c r="Z6883"/>
  <c r="Z6879"/>
  <c r="Z6875"/>
  <c r="Z6871"/>
  <c r="Z6867"/>
  <c r="Z6865"/>
  <c r="Z6863"/>
  <c r="Z6859"/>
  <c r="Z6857"/>
  <c r="Z6855"/>
  <c r="Z6851"/>
  <c r="Z6847"/>
  <c r="Z6843"/>
  <c r="Z6839"/>
  <c r="Z6835"/>
  <c r="Z6833"/>
  <c r="Z6831"/>
  <c r="Z6827"/>
  <c r="Z6825"/>
  <c r="Z6823"/>
  <c r="Z6819"/>
  <c r="Z6815"/>
  <c r="Z6811"/>
  <c r="Z6807"/>
  <c r="Z6803"/>
  <c r="Z6801"/>
  <c r="Z6799"/>
  <c r="Z6795"/>
  <c r="Z6793"/>
  <c r="Z6791"/>
  <c r="Z6787"/>
  <c r="Z6783"/>
  <c r="Z6779"/>
  <c r="Z6775"/>
  <c r="Z6771"/>
  <c r="Z6769"/>
  <c r="Z6767"/>
  <c r="Z6763"/>
  <c r="Z6761"/>
  <c r="Z6759"/>
  <c r="Z6755"/>
  <c r="Z6751"/>
  <c r="Z6747"/>
  <c r="Z6743"/>
  <c r="Z6739"/>
  <c r="Z6737"/>
  <c r="Z6735"/>
  <c r="Z6731"/>
  <c r="Z6729"/>
  <c r="Z6727"/>
  <c r="Z6723"/>
  <c r="Z6719"/>
  <c r="Z6715"/>
  <c r="Z6711"/>
  <c r="Z6707"/>
  <c r="Z6705"/>
  <c r="Z6703"/>
  <c r="Z6699"/>
  <c r="Z6697"/>
  <c r="Z6695"/>
  <c r="Z6691"/>
  <c r="Z6687"/>
  <c r="Z6683"/>
  <c r="Z6679"/>
  <c r="Z6675"/>
  <c r="Z6673"/>
  <c r="Z6671"/>
  <c r="Z6667"/>
  <c r="Z6665"/>
  <c r="Z6663"/>
  <c r="Z6659"/>
  <c r="Z6655"/>
  <c r="Z6651"/>
  <c r="Z6647"/>
  <c r="Z6643"/>
  <c r="Z6641"/>
  <c r="Z6639"/>
  <c r="Z6635"/>
  <c r="Z6633"/>
  <c r="Z6631"/>
  <c r="Z6627"/>
  <c r="Z6623"/>
  <c r="Z6619"/>
  <c r="Z6615"/>
  <c r="Z6611"/>
  <c r="Z6609"/>
  <c r="Z6607"/>
  <c r="Z6603"/>
  <c r="Z6601"/>
  <c r="Z6599"/>
  <c r="Z6595"/>
  <c r="Z6591"/>
  <c r="Z6587"/>
  <c r="Z6583"/>
  <c r="Z6579"/>
  <c r="Z6577"/>
  <c r="Z6575"/>
  <c r="Z6571"/>
  <c r="Z6569"/>
  <c r="Z6567"/>
  <c r="Z6563"/>
  <c r="Z6559"/>
  <c r="Z6555"/>
  <c r="Z6551"/>
  <c r="Z6547"/>
  <c r="Z6545"/>
  <c r="Z6543"/>
  <c r="Z6539"/>
  <c r="Z6537"/>
  <c r="Z6535"/>
  <c r="Z6531"/>
  <c r="Z6527"/>
  <c r="Z6523"/>
  <c r="Z6519"/>
  <c r="Z6515"/>
  <c r="Z6513"/>
  <c r="Z6511"/>
  <c r="Z6507"/>
  <c r="Z6505"/>
  <c r="Z6503"/>
  <c r="Z6499"/>
  <c r="Z6495"/>
  <c r="Z6491"/>
  <c r="Z6487"/>
  <c r="Z6483"/>
  <c r="Z6481"/>
  <c r="Z6479"/>
  <c r="Z6475"/>
  <c r="Z6473"/>
  <c r="Z6471"/>
  <c r="Z6467"/>
  <c r="Z6463"/>
  <c r="Z6459"/>
  <c r="Z6455"/>
  <c r="Z6451"/>
  <c r="Z6449"/>
  <c r="Z6447"/>
  <c r="Z6443"/>
  <c r="Z6441"/>
  <c r="Z6439"/>
  <c r="Z6435"/>
  <c r="Z6431"/>
  <c r="Z6427"/>
  <c r="Z6423"/>
  <c r="Z6419"/>
  <c r="Z6417"/>
  <c r="Z6415"/>
  <c r="Z6411"/>
  <c r="Z6409"/>
  <c r="Z6407"/>
  <c r="Z6403"/>
  <c r="Z6399"/>
  <c r="Z6395"/>
  <c r="Z6391"/>
  <c r="Z6387"/>
  <c r="Z6385"/>
  <c r="Z6383"/>
  <c r="Z6379"/>
  <c r="Z6377"/>
  <c r="Z6375"/>
  <c r="Z6371"/>
  <c r="Z6367"/>
  <c r="Z6363"/>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3"/>
  <c r="Z3491"/>
  <c r="Z3487"/>
  <c r="Z3485"/>
  <c r="Z3483"/>
  <c r="Z3479"/>
  <c r="Z3477"/>
  <c r="Z3475"/>
  <c r="Z3471"/>
  <c r="Z3469"/>
  <c r="Z3467"/>
  <c r="Z3463"/>
  <c r="Z3461"/>
  <c r="Z3459"/>
  <c r="Z3455"/>
  <c r="Z3453"/>
  <c r="Z3451"/>
  <c r="Z3447"/>
  <c r="Z3445"/>
  <c r="Z3443"/>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C292"/>
  <c r="C307"/>
  <c r="J307" s="1"/>
  <c r="C322"/>
  <c r="F322" s="1"/>
  <c r="AL336"/>
  <c r="AI352"/>
  <c r="J373"/>
  <c r="F373"/>
  <c r="C381"/>
  <c r="P381" s="1"/>
  <c r="C382"/>
  <c r="C383"/>
  <c r="F383" s="1"/>
  <c r="C384"/>
  <c r="J384" s="1"/>
  <c r="C426"/>
  <c r="C427"/>
  <c r="C429"/>
  <c r="X429" s="1"/>
  <c r="J439"/>
  <c r="C495"/>
  <c r="P495" s="1"/>
  <c r="C632"/>
  <c r="Z632" s="1"/>
  <c r="C639"/>
  <c r="L639" s="1"/>
  <c r="AG665"/>
  <c r="AG667" s="1"/>
  <c r="C676"/>
  <c r="V676" s="1"/>
  <c r="C678"/>
  <c r="Z678" s="1"/>
  <c r="C704"/>
  <c r="H704" s="1"/>
  <c r="C705"/>
  <c r="P705" s="1"/>
  <c r="C706"/>
  <c r="C712"/>
  <c r="B723"/>
  <c r="B728"/>
  <c r="B729"/>
  <c r="A749"/>
  <c r="B836"/>
  <c r="T905"/>
  <c r="D939"/>
  <c r="C1433"/>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Z1532"/>
  <c r="Z787"/>
  <c r="Z765"/>
  <c r="Z588"/>
  <c r="AD588" s="1"/>
  <c r="Z425"/>
  <c r="Z411"/>
  <c r="AD411" s="1"/>
  <c r="Z405"/>
  <c r="Z395"/>
  <c r="Z391"/>
  <c r="AD391" s="1"/>
  <c r="AD355"/>
  <c r="Z331"/>
  <c r="AD331" s="1"/>
  <c r="Z327"/>
  <c r="Z303"/>
  <c r="AD303" s="1"/>
  <c r="Z283"/>
  <c r="AD283" s="1"/>
  <c r="Z1549"/>
  <c r="AD1549" s="1"/>
  <c r="Z1547"/>
  <c r="Z1545"/>
  <c r="AD1545" s="1"/>
  <c r="Z1543"/>
  <c r="Z1541"/>
  <c r="AD1541" s="1"/>
  <c r="Z1539"/>
  <c r="Z1537"/>
  <c r="AD1537" s="1"/>
  <c r="Z1535"/>
  <c r="Z1533"/>
  <c r="AD1533" s="1"/>
  <c r="Z1531"/>
  <c r="Z1529"/>
  <c r="AD1529" s="1"/>
  <c r="Z1527"/>
  <c r="Z1525"/>
  <c r="AD1525" s="1"/>
  <c r="Z1523"/>
  <c r="Z1521"/>
  <c r="AD1521" s="1"/>
  <c r="Z1519"/>
  <c r="X1379"/>
  <c r="X1371"/>
  <c r="X1363"/>
  <c r="X1347"/>
  <c r="X1339"/>
  <c r="X1331"/>
  <c r="Z795"/>
  <c r="AD795" s="1"/>
  <c r="Z741"/>
  <c r="Z512"/>
  <c r="Z452"/>
  <c r="AD452" s="1"/>
  <c r="Z434"/>
  <c r="Z408"/>
  <c r="Z400"/>
  <c r="Z380"/>
  <c r="AD380" s="1"/>
  <c r="Z362"/>
  <c r="Z358"/>
  <c r="AD358" s="1"/>
  <c r="Z340"/>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X758"/>
  <c r="Z758"/>
  <c r="AD758" s="1"/>
  <c r="X750"/>
  <c r="Z750"/>
  <c r="X726"/>
  <c r="X614"/>
  <c r="Z825"/>
  <c r="Z805"/>
  <c r="AD805" s="1"/>
  <c r="Z793"/>
  <c r="AD793" s="1"/>
  <c r="X634"/>
  <c r="X618"/>
  <c r="Z836"/>
  <c r="Z796"/>
  <c r="Z788"/>
  <c r="AD788" s="1"/>
  <c r="Z763"/>
  <c r="Z755"/>
  <c r="AD755" s="1"/>
  <c r="Z752"/>
  <c r="Z659"/>
  <c r="AD659" s="1"/>
  <c r="X770"/>
  <c r="Z770"/>
  <c r="X762"/>
  <c r="Z762"/>
  <c r="AD762" s="1"/>
  <c r="X754"/>
  <c r="Z754"/>
  <c r="X730"/>
  <c r="X714"/>
  <c r="X686"/>
  <c r="X638"/>
  <c r="Z638"/>
  <c r="X601"/>
  <c r="Z601"/>
  <c r="Z830"/>
  <c r="Z806"/>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X230"/>
  <c r="X226"/>
  <c r="Z222"/>
  <c r="AD222" s="1"/>
  <c r="X222"/>
  <c r="Z214"/>
  <c r="X214"/>
  <c r="Z210"/>
  <c r="AD210" s="1"/>
  <c r="X210"/>
  <c r="X202"/>
  <c r="Z198"/>
  <c r="AD198" s="1"/>
  <c r="X198"/>
  <c r="X194"/>
  <c r="X186"/>
  <c r="Z178"/>
  <c r="AD178" s="1"/>
  <c r="X178"/>
  <c r="Z162"/>
  <c r="X162"/>
  <c r="Z154"/>
  <c r="AD154" s="1"/>
  <c r="X154"/>
  <c r="X126"/>
  <c r="X114"/>
  <c r="X110"/>
  <c r="X90"/>
  <c r="X64"/>
  <c r="X60"/>
  <c r="X58"/>
  <c r="X57"/>
  <c r="X48"/>
  <c r="X36"/>
  <c r="X35"/>
  <c r="X34"/>
  <c r="X33"/>
  <c r="X32"/>
  <c r="X31"/>
  <c r="X28"/>
  <c r="X22"/>
  <c r="X17"/>
  <c r="X14"/>
  <c r="X11"/>
  <c r="Z14122"/>
  <c r="X14015"/>
  <c r="X14001"/>
  <c r="X13913"/>
  <c r="Z13899"/>
  <c r="X13899"/>
  <c r="Z13891"/>
  <c r="X13891"/>
  <c r="Z13870"/>
  <c r="X13780"/>
  <c r="Z13780"/>
  <c r="Z13772"/>
  <c r="Z13735"/>
  <c r="X13727"/>
  <c r="X13597"/>
  <c r="X13589"/>
  <c r="X13479"/>
  <c r="Z13479"/>
  <c r="X13471"/>
  <c r="Z13471"/>
  <c r="X13463"/>
  <c r="Z13463"/>
  <c r="X13455"/>
  <c r="Z13455"/>
  <c r="Z13330"/>
  <c r="X13241"/>
  <c r="X13233"/>
  <c r="X13225"/>
  <c r="X13163"/>
  <c r="Z13163"/>
  <c r="Z13155"/>
  <c r="X13155"/>
  <c r="X13141"/>
  <c r="Z13103"/>
  <c r="X13103"/>
  <c r="Z13000"/>
  <c r="Z12919"/>
  <c r="X12895"/>
  <c r="Z12895"/>
  <c r="X14071"/>
  <c r="Z14071"/>
  <c r="X14063"/>
  <c r="Z14063"/>
  <c r="X14055"/>
  <c r="Z14055"/>
  <c r="Z13964"/>
  <c r="X13956"/>
  <c r="Z13956"/>
  <c r="X13793"/>
  <c r="Z13793"/>
  <c r="X13785"/>
  <c r="X13777"/>
  <c r="X13769"/>
  <c r="Z13732"/>
  <c r="Z13632"/>
  <c r="Z13602"/>
  <c r="X13557"/>
  <c r="X13541"/>
  <c r="Z13530"/>
  <c r="Z13500"/>
  <c r="Z13492"/>
  <c r="Z13476"/>
  <c r="X13355"/>
  <c r="Z13355"/>
  <c r="Z13246"/>
  <c r="Z13212"/>
  <c r="Z13168"/>
  <c r="X13114"/>
  <c r="Z13048"/>
  <c r="Z12954"/>
  <c r="Z12884"/>
  <c r="Z12868"/>
  <c r="Z14068"/>
  <c r="X14033"/>
  <c r="Z13844"/>
  <c r="Z13798"/>
  <c r="Z13774"/>
  <c r="X13761"/>
  <c r="Z13743"/>
  <c r="X13743"/>
  <c r="X13717"/>
  <c r="Z13688"/>
  <c r="Z13680"/>
  <c r="X13653"/>
  <c r="X13645"/>
  <c r="Z13607"/>
  <c r="X13607"/>
  <c r="X13497"/>
  <c r="X13489"/>
  <c r="X13441"/>
  <c r="Z13398"/>
  <c r="Z13390"/>
  <c r="Z13382"/>
  <c r="Z13320"/>
  <c r="Z13280"/>
  <c r="Z13272"/>
  <c r="Z13251"/>
  <c r="X13251"/>
  <c r="X13045"/>
  <c r="X12917"/>
  <c r="Z12911"/>
  <c r="X12911"/>
  <c r="Z12903"/>
  <c r="X12903"/>
  <c r="X14109"/>
  <c r="Z13996"/>
  <c r="X13985"/>
  <c r="X13849"/>
  <c r="Z13819"/>
  <c r="X13819"/>
  <c r="Z13642"/>
  <c r="Z13634"/>
  <c r="X13514"/>
  <c r="Z13427"/>
  <c r="X13427"/>
  <c r="X13411"/>
  <c r="Z13411"/>
  <c r="Z13403"/>
  <c r="X13403"/>
  <c r="Z13395"/>
  <c r="X13395"/>
  <c r="Z13379"/>
  <c r="X13379"/>
  <c r="X13325"/>
  <c r="Z13220"/>
  <c r="Z13190"/>
  <c r="Z13144"/>
  <c r="X13136"/>
  <c r="Z13136"/>
  <c r="Z13087"/>
  <c r="X13087"/>
  <c r="X13061"/>
  <c r="Z13034"/>
  <c r="Z13016"/>
  <c r="X12995"/>
  <c r="Z12995"/>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X8772"/>
  <c r="X7714"/>
  <c r="X7711"/>
  <c r="X6353"/>
  <c r="X6351"/>
  <c r="X6345"/>
  <c r="X6343"/>
  <c r="X6337"/>
  <c r="X6335"/>
  <c r="Z631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55"/>
  <c r="Z13187"/>
  <c r="Z13239"/>
  <c r="Z13275"/>
  <c r="Z13291"/>
  <c r="Z13327"/>
  <c r="Z13335"/>
  <c r="Z13431"/>
  <c r="Z13439"/>
  <c r="Z13507"/>
  <c r="Z13543"/>
  <c r="Z13603"/>
  <c r="Z13639"/>
  <c r="Z13719"/>
  <c r="Z13775"/>
  <c r="Z13799"/>
  <c r="Z13859"/>
  <c r="Z13867"/>
  <c r="Z13919"/>
  <c r="Z13971"/>
  <c r="Z14007"/>
  <c r="Z14043"/>
  <c r="Z1408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X9609"/>
  <c r="X9601"/>
  <c r="X9593"/>
  <c r="X9585"/>
  <c r="X9577"/>
  <c r="X9569"/>
  <c r="X9561"/>
  <c r="X9553"/>
  <c r="Z9549"/>
  <c r="X9537"/>
  <c r="X9521"/>
  <c r="X9513"/>
  <c r="X9505"/>
  <c r="X9497"/>
  <c r="Z9493"/>
  <c r="X9489"/>
  <c r="X9481"/>
  <c r="Z9469"/>
  <c r="X9465"/>
  <c r="Z9453"/>
  <c r="X9449"/>
  <c r="X9441"/>
  <c r="X9433"/>
  <c r="X9425"/>
  <c r="X9417"/>
  <c r="X9409"/>
  <c r="X9401"/>
  <c r="X9393"/>
  <c r="Z9389"/>
  <c r="X9385"/>
  <c r="X9377"/>
  <c r="X9369"/>
  <c r="X9361"/>
  <c r="Z9357"/>
  <c r="X9353"/>
  <c r="X9345"/>
  <c r="X9337"/>
  <c r="X9329"/>
  <c r="Z9325"/>
  <c r="X9321"/>
  <c r="X9313"/>
  <c r="X9305"/>
  <c r="X9297"/>
  <c r="Z9293"/>
  <c r="X9289"/>
  <c r="X9281"/>
  <c r="X9273"/>
  <c r="X9265"/>
  <c r="Z9261"/>
  <c r="X9257"/>
  <c r="X9249"/>
  <c r="X9241"/>
  <c r="X9233"/>
  <c r="Z9229"/>
  <c r="X9225"/>
  <c r="X9217"/>
  <c r="X9209"/>
  <c r="X9193"/>
  <c r="Z9189"/>
  <c r="X9185"/>
  <c r="X9177"/>
  <c r="X9169"/>
  <c r="X9161"/>
  <c r="Z9157"/>
  <c r="X9153"/>
  <c r="X9145"/>
  <c r="X9137"/>
  <c r="X9129"/>
  <c r="Z9125"/>
  <c r="X9113"/>
  <c r="X9105"/>
  <c r="X9089"/>
  <c r="X9081"/>
  <c r="X9073"/>
  <c r="Z9069"/>
  <c r="X9065"/>
  <c r="X9049"/>
  <c r="X9041"/>
  <c r="X9033"/>
  <c r="Z9029"/>
  <c r="X9025"/>
  <c r="X9017"/>
  <c r="X9009"/>
  <c r="X9001"/>
  <c r="Z8997"/>
  <c r="X8993"/>
  <c r="X8985"/>
  <c r="X8977"/>
  <c r="X8969"/>
  <c r="Z8965"/>
  <c r="X8961"/>
  <c r="X8953"/>
  <c r="Z8941"/>
  <c r="X8937"/>
  <c r="X8929"/>
  <c r="X8921"/>
  <c r="X8913"/>
  <c r="X8905"/>
  <c r="X8897"/>
  <c r="X8889"/>
  <c r="X8865"/>
  <c r="Z8861"/>
  <c r="X8857"/>
  <c r="X8849"/>
  <c r="X8841"/>
  <c r="X8825"/>
  <c r="Z8821"/>
  <c r="X8809"/>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X8601"/>
  <c r="Z8601"/>
  <c r="X8597"/>
  <c r="X8593"/>
  <c r="Z8593"/>
  <c r="X8589"/>
  <c r="X8585"/>
  <c r="Z8585"/>
  <c r="X8581"/>
  <c r="X8577"/>
  <c r="Z8577"/>
  <c r="X8573"/>
  <c r="X8569"/>
  <c r="Z8569"/>
  <c r="X8565"/>
  <c r="X8561"/>
  <c r="Z8561"/>
  <c r="X8557"/>
  <c r="X8553"/>
  <c r="Z8553"/>
  <c r="X8549"/>
  <c r="X8545"/>
  <c r="Z8545"/>
  <c r="X8541"/>
  <c r="X8537"/>
  <c r="Z8537"/>
  <c r="X8533"/>
  <c r="X8529"/>
  <c r="Z8529"/>
  <c r="X8525"/>
  <c r="X8521"/>
  <c r="Z8521"/>
  <c r="X8517"/>
  <c r="X8513"/>
  <c r="Z8513"/>
  <c r="X8509"/>
  <c r="X8505"/>
  <c r="Z8505"/>
  <c r="X8501"/>
  <c r="X8497"/>
  <c r="Z8497"/>
  <c r="X8493"/>
  <c r="X8489"/>
  <c r="Z8489"/>
  <c r="X8485"/>
  <c r="X8481"/>
  <c r="Z8481"/>
  <c r="X8477"/>
  <c r="X8473"/>
  <c r="Z8473"/>
  <c r="X8469"/>
  <c r="X8465"/>
  <c r="Z8465"/>
  <c r="X8461"/>
  <c r="X8457"/>
  <c r="Z8457"/>
  <c r="X8453"/>
  <c r="X8449"/>
  <c r="Z8449"/>
  <c r="X8445"/>
  <c r="X8441"/>
  <c r="Z8441"/>
  <c r="X8437"/>
  <c r="X8433"/>
  <c r="Z8433"/>
  <c r="X8429"/>
  <c r="X8425"/>
  <c r="Z8425"/>
  <c r="X8421"/>
  <c r="X8417"/>
  <c r="Z8417"/>
  <c r="X8413"/>
  <c r="X8409"/>
  <c r="Z8409"/>
  <c r="X8405"/>
  <c r="X8401"/>
  <c r="Z8401"/>
  <c r="X8397"/>
  <c r="X8393"/>
  <c r="Z8393"/>
  <c r="X8389"/>
  <c r="X8385"/>
  <c r="Z8385"/>
  <c r="X8381"/>
  <c r="X8377"/>
  <c r="Z8377"/>
  <c r="X8373"/>
  <c r="X8369"/>
  <c r="Z8369"/>
  <c r="X8365"/>
  <c r="X8361"/>
  <c r="Z8361"/>
  <c r="X8357"/>
  <c r="X8353"/>
  <c r="Z8353"/>
  <c r="X8349"/>
  <c r="X8345"/>
  <c r="Z8345"/>
  <c r="X8341"/>
  <c r="X8337"/>
  <c r="Z8337"/>
  <c r="X8333"/>
  <c r="Z8333"/>
  <c r="X8329"/>
  <c r="Z8329"/>
  <c r="Z8325"/>
  <c r="X8325"/>
  <c r="X8321"/>
  <c r="Z8317"/>
  <c r="X8317"/>
  <c r="X8313"/>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X8761"/>
  <c r="Z8761"/>
  <c r="X8757"/>
  <c r="X8753"/>
  <c r="X8749"/>
  <c r="X8745"/>
  <c r="Z8745"/>
  <c r="X8741"/>
  <c r="X8737"/>
  <c r="X8733"/>
  <c r="X8729"/>
  <c r="Z8729"/>
  <c r="X8725"/>
  <c r="X8721"/>
  <c r="X8717"/>
  <c r="X8713"/>
  <c r="Z8713"/>
  <c r="X8709"/>
  <c r="X8705"/>
  <c r="X8701"/>
  <c r="X8697"/>
  <c r="Z8697"/>
  <c r="X8693"/>
  <c r="X8689"/>
  <c r="X8685"/>
  <c r="X8681"/>
  <c r="Z8681"/>
  <c r="X8677"/>
  <c r="X8673"/>
  <c r="Z8673"/>
  <c r="X8669"/>
  <c r="X8665"/>
  <c r="Z8665"/>
  <c r="X8661"/>
  <c r="X8657"/>
  <c r="Z8657"/>
  <c r="X8653"/>
  <c r="X8649"/>
  <c r="Z8649"/>
  <c r="X8645"/>
  <c r="X8641"/>
  <c r="Z8641"/>
  <c r="X8637"/>
  <c r="X8633"/>
  <c r="Z8633"/>
  <c r="X8629"/>
  <c r="X8625"/>
  <c r="Z8625"/>
  <c r="X8621"/>
  <c r="X8617"/>
  <c r="Z8617"/>
  <c r="X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Z636"/>
  <c r="AD636" s="1"/>
  <c r="Z606"/>
  <c r="Z304"/>
  <c r="Z803"/>
  <c r="AD803" s="1"/>
  <c r="Z443"/>
  <c r="AD443" s="1"/>
  <c r="Z128"/>
  <c r="AD128" s="1"/>
  <c r="Z635"/>
  <c r="AD635" s="1"/>
  <c r="Z634"/>
  <c r="AD634" s="1"/>
  <c r="Z797"/>
  <c r="AD797" s="1"/>
  <c r="Z110"/>
  <c r="Z156"/>
  <c r="Z212"/>
  <c r="Z575"/>
  <c r="AD575" s="1"/>
  <c r="Z583"/>
  <c r="AD583" s="1"/>
  <c r="Z848"/>
  <c r="AD848" s="1"/>
  <c r="Z194"/>
  <c r="AD194" s="1"/>
  <c r="Z202"/>
  <c r="Z226"/>
  <c r="Z157"/>
  <c r="Z165"/>
  <c r="Z108"/>
  <c r="AD108" s="1"/>
  <c r="Z136"/>
  <c r="AD136" s="1"/>
  <c r="Z760"/>
  <c r="AD760" s="1"/>
  <c r="Z792"/>
  <c r="AD792" s="1"/>
  <c r="Z298"/>
  <c r="Z338"/>
  <c r="Z433"/>
  <c r="Z781"/>
  <c r="AD781" s="1"/>
  <c r="Z470"/>
  <c r="Z173"/>
  <c r="Z714"/>
  <c r="AD714" s="1"/>
  <c r="Z753"/>
  <c r="AD753" s="1"/>
  <c r="Z518"/>
  <c r="Z153"/>
  <c r="Z213"/>
  <c r="Z225"/>
  <c r="Z483"/>
  <c r="AD483" s="1"/>
  <c r="Z784"/>
  <c r="AD784" s="1"/>
  <c r="Z782"/>
  <c r="AD782" s="1"/>
  <c r="Z326"/>
  <c r="AD326" s="1"/>
  <c r="Z329"/>
  <c r="Z263"/>
  <c r="AD263" s="1"/>
  <c r="Z731"/>
  <c r="AD731" s="1"/>
  <c r="Z726"/>
  <c r="AD726" s="1"/>
  <c r="Z269"/>
  <c r="Z435"/>
  <c r="AD435" s="1"/>
  <c r="Z769"/>
  <c r="AD769" s="1"/>
  <c r="Z14"/>
  <c r="AD14" s="1"/>
  <c r="Z114"/>
  <c r="Z850"/>
  <c r="AD850" s="1"/>
  <c r="Z579"/>
  <c r="AD579" s="1"/>
  <c r="Z64"/>
  <c r="Z32"/>
  <c r="AD32" s="1"/>
  <c r="Z112"/>
  <c r="AD112" s="1"/>
  <c r="Z801"/>
  <c r="AD801" s="1"/>
  <c r="Z713"/>
  <c r="Z35"/>
  <c r="AD35" s="1"/>
  <c r="Z109"/>
  <c r="Z203"/>
  <c r="AD203" s="1"/>
  <c r="Z611"/>
  <c r="AD611" s="1"/>
  <c r="Z116"/>
  <c r="AD116" s="1"/>
  <c r="Z48"/>
  <c r="AD48" s="1"/>
  <c r="Z31"/>
  <c r="AD31" s="1"/>
  <c r="Z11"/>
  <c r="AD11" s="1"/>
  <c r="Z36"/>
  <c r="AD36" s="1"/>
  <c r="X1224"/>
  <c r="Z476"/>
  <c r="AD476" s="1"/>
  <c r="X1119"/>
  <c r="X8"/>
  <c r="X1416"/>
  <c r="X1170"/>
  <c r="X1116"/>
  <c r="Z166"/>
  <c r="Z780"/>
  <c r="AD780" s="1"/>
  <c r="Z614"/>
  <c r="AD614" s="1"/>
  <c r="X1175"/>
  <c r="X1140"/>
  <c r="Z25"/>
  <c r="Z402"/>
  <c r="AD402" s="1"/>
  <c r="X1325"/>
  <c r="X785"/>
  <c r="Z785"/>
  <c r="AD785" s="1"/>
  <c r="X757"/>
  <c r="X617"/>
  <c r="Z617"/>
  <c r="X570"/>
  <c r="X397"/>
  <c r="Z397"/>
  <c r="X807"/>
  <c r="Z807"/>
  <c r="AD807" s="1"/>
  <c r="X799"/>
  <c r="X641"/>
  <c r="X285"/>
  <c r="Z285"/>
  <c r="Z281"/>
  <c r="Z799"/>
  <c r="AD799" s="1"/>
  <c r="C926"/>
  <c r="Z1517"/>
  <c r="AD1517" s="1"/>
  <c r="X9415"/>
  <c r="Z9415"/>
  <c r="Z9410"/>
  <c r="X9410"/>
  <c r="X9407"/>
  <c r="Z9407"/>
  <c r="Z9358"/>
  <c r="X9358"/>
  <c r="X9163"/>
  <c r="Z9163"/>
  <c r="Z9108"/>
  <c r="X9108"/>
  <c r="X9103"/>
  <c r="Z9103"/>
  <c r="Z9090"/>
  <c r="X9090"/>
  <c r="Z9000"/>
  <c r="X9000"/>
  <c r="X8991"/>
  <c r="Z8991"/>
  <c r="X7949"/>
  <c r="X7939"/>
  <c r="Z7939"/>
  <c r="X7920"/>
  <c r="Z7920"/>
  <c r="X7894"/>
  <c r="Z7894"/>
  <c r="Z7850"/>
  <c r="X7850"/>
  <c r="Z7821"/>
  <c r="X7821"/>
  <c r="X7811"/>
  <c r="Z7811"/>
  <c r="X7792"/>
  <c r="Z7792"/>
  <c r="X7766"/>
  <c r="Z7766"/>
  <c r="Z7722"/>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Z789"/>
  <c r="AD789" s="1"/>
  <c r="Z849"/>
  <c r="AD849" s="1"/>
  <c r="Z641"/>
  <c r="Z570"/>
  <c r="AD570" s="1"/>
  <c r="Z587"/>
  <c r="AD587" s="1"/>
  <c r="Z756"/>
  <c r="AD756" s="1"/>
  <c r="Z802"/>
  <c r="AD802" s="1"/>
  <c r="Z730"/>
  <c r="AD730" s="1"/>
  <c r="Z749"/>
  <c r="AD749" s="1"/>
  <c r="Z14094"/>
  <c r="X14094"/>
  <c r="Z14083"/>
  <c r="X14083"/>
  <c r="X14078"/>
  <c r="Z14078"/>
  <c r="X14062"/>
  <c r="Z14062"/>
  <c r="Z14023"/>
  <c r="X14023"/>
  <c r="X14020"/>
  <c r="Z13981"/>
  <c r="X13981"/>
  <c r="Z13954"/>
  <c r="X13954"/>
  <c r="Z13941"/>
  <c r="X13941"/>
  <c r="Z13936"/>
  <c r="X13907"/>
  <c r="Z13907"/>
  <c r="Z13882"/>
  <c r="X13784"/>
  <c r="Z13784"/>
  <c r="Z13762"/>
  <c r="X13762"/>
  <c r="Z13751"/>
  <c r="X13751"/>
  <c r="Z13733"/>
  <c r="X13733"/>
  <c r="Z13730"/>
  <c r="X13730"/>
  <c r="X13689"/>
  <c r="X13677"/>
  <c r="Z13672"/>
  <c r="Z13655"/>
  <c r="X1365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3"/>
  <c r="Z13299"/>
  <c r="X13299"/>
  <c r="X13294"/>
  <c r="Z13294"/>
  <c r="X13289"/>
  <c r="Z13289"/>
  <c r="X13277"/>
  <c r="Z13259"/>
  <c r="X13259"/>
  <c r="X13250"/>
  <c r="Z13250"/>
  <c r="X13234"/>
  <c r="X13231"/>
  <c r="Z13231"/>
  <c r="X13228"/>
  <c r="Z13228"/>
  <c r="Z13204"/>
  <c r="X13180"/>
  <c r="Z13180"/>
  <c r="X13165"/>
  <c r="X13160"/>
  <c r="Z13160"/>
  <c r="X13153"/>
  <c r="Z13145"/>
  <c r="X13145"/>
  <c r="X13142"/>
  <c r="Z13142"/>
  <c r="X13125"/>
  <c r="X13093"/>
  <c r="Z13079"/>
  <c r="X13079"/>
  <c r="Z13074"/>
  <c r="X13074"/>
  <c r="X13067"/>
  <c r="Z13067"/>
  <c r="X13062"/>
  <c r="Z13062"/>
  <c r="Z13041"/>
  <c r="X13041"/>
  <c r="X13030"/>
  <c r="Z13030"/>
  <c r="X12989"/>
  <c r="X12984"/>
  <c r="Z12984"/>
  <c r="Z12877"/>
  <c r="X12877"/>
  <c r="X10892"/>
  <c r="Z10892"/>
  <c r="X10879"/>
  <c r="Z10879"/>
  <c r="Z10872"/>
  <c r="X10872"/>
  <c r="Z10830"/>
  <c r="X10830"/>
  <c r="X10817"/>
  <c r="Z10803"/>
  <c r="X10803"/>
  <c r="X10751"/>
  <c r="Z10751"/>
  <c r="Z10744"/>
  <c r="X10744"/>
  <c r="X10741"/>
  <c r="Z10702"/>
  <c r="X10702"/>
  <c r="X10689"/>
  <c r="Z10675"/>
  <c r="X10675"/>
  <c r="X10636"/>
  <c r="Z10636"/>
  <c r="X10623"/>
  <c r="Z10623"/>
  <c r="Z10616"/>
  <c r="X10616"/>
  <c r="Z10574"/>
  <c r="X10574"/>
  <c r="X10561"/>
  <c r="Z10547"/>
  <c r="X10547"/>
  <c r="X10495"/>
  <c r="Z10495"/>
  <c r="Z10488"/>
  <c r="X10488"/>
  <c r="X10485"/>
  <c r="Z10446"/>
  <c r="X10446"/>
  <c r="X10433"/>
  <c r="Z10419"/>
  <c r="X10419"/>
  <c r="X10380"/>
  <c r="Z10380"/>
  <c r="X10367"/>
  <c r="Z10367"/>
  <c r="Z10360"/>
  <c r="X10360"/>
  <c r="Z10318"/>
  <c r="X10318"/>
  <c r="X10305"/>
  <c r="Z10291"/>
  <c r="X10291"/>
  <c r="X10239"/>
  <c r="Z10239"/>
  <c r="Z10232"/>
  <c r="X10232"/>
  <c r="X10229"/>
  <c r="Z9506"/>
  <c r="X9506"/>
  <c r="Z9490"/>
  <c r="X9490"/>
  <c r="X9487"/>
  <c r="Z9487"/>
  <c r="Z9473"/>
  <c r="X9473"/>
  <c r="Z2838"/>
  <c r="X2838"/>
  <c r="X7879"/>
  <c r="X7661"/>
  <c r="Z757"/>
  <c r="AD757" s="1"/>
  <c r="Z186"/>
  <c r="AD186" s="1"/>
  <c r="Z764"/>
  <c r="AD764" s="1"/>
  <c r="Z1522"/>
  <c r="AD1522" s="1"/>
  <c r="X2806"/>
  <c r="X13007"/>
  <c r="Z5848"/>
  <c r="X5848"/>
  <c r="X5844"/>
  <c r="Z5844"/>
  <c r="Z124"/>
  <c r="AD124" s="1"/>
  <c r="Z204"/>
  <c r="AD204" s="1"/>
  <c r="Z211"/>
  <c r="AD211" s="1"/>
  <c r="Z14102"/>
  <c r="X14102"/>
  <c r="Z14032"/>
  <c r="X14032"/>
  <c r="Z14004"/>
  <c r="X14004"/>
  <c r="X13973"/>
  <c r="X13925"/>
  <c r="X13920"/>
  <c r="Z13914"/>
  <c r="X13914"/>
  <c r="X13911"/>
  <c r="Z13911"/>
  <c r="X13898"/>
  <c r="Z13898"/>
  <c r="X13841"/>
  <c r="X13827"/>
  <c r="Z13804"/>
  <c r="X13804"/>
  <c r="Z13791"/>
  <c r="X13791"/>
  <c r="X13758"/>
  <c r="Z13758"/>
  <c r="X13726"/>
  <c r="Z13726"/>
  <c r="Z13711"/>
  <c r="X13711"/>
  <c r="Z13691"/>
  <c r="X13637"/>
  <c r="X13573"/>
  <c r="X13553"/>
  <c r="X13537"/>
  <c r="X13532"/>
  <c r="Z13532"/>
  <c r="Z13526"/>
  <c r="X13526"/>
  <c r="Z13472"/>
  <c r="Z13456"/>
  <c r="Z13423"/>
  <c r="X13423"/>
  <c r="Z13399"/>
  <c r="X13399"/>
  <c r="Z13350"/>
  <c r="X13350"/>
  <c r="X13321"/>
  <c r="X13257"/>
  <c r="Z13254"/>
  <c r="X13254"/>
  <c r="X13224"/>
  <c r="Z13224"/>
  <c r="Z13216"/>
  <c r="X13200"/>
  <c r="Z13195"/>
  <c r="X13133"/>
  <c r="X13119"/>
  <c r="Z13119"/>
  <c r="X13113"/>
  <c r="X13097"/>
  <c r="Z13081"/>
  <c r="Z13058"/>
  <c r="X13058"/>
  <c r="Z12996"/>
  <c r="Z12961"/>
  <c r="X12961"/>
  <c r="X12958"/>
  <c r="Z12958"/>
  <c r="Z12952"/>
  <c r="X12952"/>
  <c r="Z12936"/>
  <c r="X12936"/>
  <c r="Z12931"/>
  <c r="X12931"/>
  <c r="X12926"/>
  <c r="Z12926"/>
  <c r="Z12889"/>
  <c r="X12889"/>
  <c r="X12862"/>
  <c r="Z12862"/>
  <c r="X10881"/>
  <c r="Z10867"/>
  <c r="X10867"/>
  <c r="X10815"/>
  <c r="Z10815"/>
  <c r="Z10808"/>
  <c r="X10808"/>
  <c r="Z10766"/>
  <c r="X10766"/>
  <c r="X10753"/>
  <c r="Z10739"/>
  <c r="X10739"/>
  <c r="X10687"/>
  <c r="Z10687"/>
  <c r="Z10680"/>
  <c r="X10680"/>
  <c r="Z10638"/>
  <c r="X10638"/>
  <c r="X10625"/>
  <c r="Z10611"/>
  <c r="X10611"/>
  <c r="X10559"/>
  <c r="Z10559"/>
  <c r="Z10552"/>
  <c r="X10552"/>
  <c r="Z10510"/>
  <c r="X10510"/>
  <c r="X10497"/>
  <c r="Z10483"/>
  <c r="X10483"/>
  <c r="X10431"/>
  <c r="Z10431"/>
  <c r="Z10424"/>
  <c r="X10424"/>
  <c r="Z10382"/>
  <c r="X10382"/>
  <c r="Z10355"/>
  <c r="X10355"/>
  <c r="X10303"/>
  <c r="Z10303"/>
  <c r="Z10296"/>
  <c r="X10296"/>
  <c r="Z10254"/>
  <c r="X10254"/>
  <c r="X10241"/>
  <c r="Z10227"/>
  <c r="X10227"/>
  <c r="Z9460"/>
  <c r="X9460"/>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3970"/>
  <c r="X13970"/>
  <c r="X13875"/>
  <c r="Z13875"/>
  <c r="X13856"/>
  <c r="Z13856"/>
  <c r="X13811"/>
  <c r="Z13811"/>
  <c r="X13768"/>
  <c r="Z13768"/>
  <c r="Z13755"/>
  <c r="X13755"/>
  <c r="Z13628"/>
  <c r="Z13618"/>
  <c r="X13618"/>
  <c r="Z13580"/>
  <c r="X13575"/>
  <c r="Z13575"/>
  <c r="Z13565"/>
  <c r="X13565"/>
  <c r="X13509"/>
  <c r="Z13491"/>
  <c r="X13491"/>
  <c r="X13409"/>
  <c r="X13342"/>
  <c r="Z13342"/>
  <c r="X13307"/>
  <c r="Z13307"/>
  <c r="X13302"/>
  <c r="Z13302"/>
  <c r="X13207"/>
  <c r="Z13207"/>
  <c r="X13157"/>
  <c r="X13088"/>
  <c r="Z13088"/>
  <c r="X13077"/>
  <c r="X13044"/>
  <c r="Z13044"/>
  <c r="Z12998"/>
  <c r="X12998"/>
  <c r="X12908"/>
  <c r="Z12908"/>
  <c r="X12892"/>
  <c r="X12880"/>
  <c r="Z12880"/>
  <c r="Z10862"/>
  <c r="X10862"/>
  <c r="X10849"/>
  <c r="X10842"/>
  <c r="Z10842"/>
  <c r="Z10835"/>
  <c r="X10835"/>
  <c r="Z10776"/>
  <c r="X10776"/>
  <c r="Z10734"/>
  <c r="X10734"/>
  <c r="X10721"/>
  <c r="Z10721"/>
  <c r="X10714"/>
  <c r="Z10714"/>
  <c r="Z10707"/>
  <c r="X10707"/>
  <c r="Z10648"/>
  <c r="X10648"/>
  <c r="Z10606"/>
  <c r="X10606"/>
  <c r="X10593"/>
  <c r="X10586"/>
  <c r="Z10586"/>
  <c r="Z10579"/>
  <c r="X10579"/>
  <c r="Z10520"/>
  <c r="X10520"/>
  <c r="Z10478"/>
  <c r="X10478"/>
  <c r="X10465"/>
  <c r="X10458"/>
  <c r="Z10458"/>
  <c r="Z10451"/>
  <c r="X10451"/>
  <c r="Z10392"/>
  <c r="X10392"/>
  <c r="Z10350"/>
  <c r="X10350"/>
  <c r="X10337"/>
  <c r="X10330"/>
  <c r="Z10330"/>
  <c r="Z10323"/>
  <c r="X10323"/>
  <c r="Z10264"/>
  <c r="X10264"/>
  <c r="Z10222"/>
  <c r="X10222"/>
  <c r="X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X13961"/>
  <c r="X13933"/>
  <c r="Z13863"/>
  <c r="X13863"/>
  <c r="Z13823"/>
  <c r="X13823"/>
  <c r="Z13802"/>
  <c r="X13802"/>
  <c r="X13781"/>
  <c r="X13753"/>
  <c r="Z13704"/>
  <c r="X13699"/>
  <c r="Z13699"/>
  <c r="X13694"/>
  <c r="Z13694"/>
  <c r="X13669"/>
  <c r="Z13651"/>
  <c r="X13651"/>
  <c r="X13646"/>
  <c r="Z13646"/>
  <c r="X13609"/>
  <c r="X13475"/>
  <c r="Z13475"/>
  <c r="X13459"/>
  <c r="Z13459"/>
  <c r="X13402"/>
  <c r="Z13402"/>
  <c r="X13324"/>
  <c r="Z13324"/>
  <c r="Z13247"/>
  <c r="X13247"/>
  <c r="Z13236"/>
  <c r="Z13211"/>
  <c r="X13211"/>
  <c r="X13172"/>
  <c r="Z13172"/>
  <c r="X13167"/>
  <c r="Z13167"/>
  <c r="Z13084"/>
  <c r="Z13051"/>
  <c r="X13051"/>
  <c r="X13022"/>
  <c r="Z13022"/>
  <c r="Z12976"/>
  <c r="X12976"/>
  <c r="X12969"/>
  <c r="Z12964"/>
  <c r="X12964"/>
  <c r="X12940"/>
  <c r="Z12940"/>
  <c r="Z12922"/>
  <c r="X12922"/>
  <c r="X12912"/>
  <c r="Z12912"/>
  <c r="X12901"/>
  <c r="X12873"/>
  <c r="Z10840"/>
  <c r="X10840"/>
  <c r="Z10798"/>
  <c r="X10798"/>
  <c r="X10785"/>
  <c r="X10778"/>
  <c r="Z10778"/>
  <c r="Z10771"/>
  <c r="X10771"/>
  <c r="Z10712"/>
  <c r="X10712"/>
  <c r="Z10670"/>
  <c r="X10670"/>
  <c r="X10657"/>
  <c r="X10650"/>
  <c r="Z10650"/>
  <c r="X10643"/>
  <c r="Z10584"/>
  <c r="X10584"/>
  <c r="Z10542"/>
  <c r="X10542"/>
  <c r="X10529"/>
  <c r="Z10529"/>
  <c r="X10522"/>
  <c r="Z10522"/>
  <c r="Z10515"/>
  <c r="X10515"/>
  <c r="Z10456"/>
  <c r="X10456"/>
  <c r="Z10414"/>
  <c r="X10414"/>
  <c r="X10401"/>
  <c r="Z10401"/>
  <c r="Z10387"/>
  <c r="Z10328"/>
  <c r="X10328"/>
  <c r="Z10286"/>
  <c r="X10286"/>
  <c r="X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467"/>
  <c r="X13467"/>
  <c r="X13446"/>
  <c r="Z13446"/>
  <c r="X13415"/>
  <c r="Z13415"/>
  <c r="X13346"/>
  <c r="Z13346"/>
  <c r="Z13311"/>
  <c r="X13311"/>
  <c r="X13273"/>
  <c r="X13194"/>
  <c r="Z13194"/>
  <c r="X13184"/>
  <c r="Z13184"/>
  <c r="Z13132"/>
  <c r="X13089"/>
  <c r="X13057"/>
  <c r="Z13031"/>
  <c r="X13031"/>
  <c r="Z13026"/>
  <c r="X13026"/>
  <c r="X13021"/>
  <c r="X12944"/>
  <c r="Z12944"/>
  <c r="X12939"/>
  <c r="Z12939"/>
  <c r="X12900"/>
  <c r="Z12900"/>
  <c r="X12872"/>
  <c r="Z12872"/>
  <c r="X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X14019"/>
  <c r="Z14019"/>
  <c r="X13969"/>
  <c r="X13840"/>
  <c r="Z13840"/>
  <c r="X13754"/>
  <c r="Z13754"/>
  <c r="X13703"/>
  <c r="Z13703"/>
  <c r="X13698"/>
  <c r="Z13698"/>
  <c r="X13676"/>
  <c r="Z13676"/>
  <c r="X13650"/>
  <c r="Z13650"/>
  <c r="X13601"/>
  <c r="Z13596"/>
  <c r="X13596"/>
  <c r="X13579"/>
  <c r="Z13579"/>
  <c r="X13545"/>
  <c r="Z13536"/>
  <c r="X13531"/>
  <c r="Z13531"/>
  <c r="X13518"/>
  <c r="Z13518"/>
  <c r="Z13496"/>
  <c r="X13496"/>
  <c r="Z13483"/>
  <c r="X13483"/>
  <c r="X13386"/>
  <c r="Z13386"/>
  <c r="Z13298"/>
  <c r="X13298"/>
  <c r="Z13293"/>
  <c r="X13293"/>
  <c r="Z13215"/>
  <c r="X13215"/>
  <c r="X13203"/>
  <c r="Z13203"/>
  <c r="Z13176"/>
  <c r="X13159"/>
  <c r="Z13159"/>
  <c r="X13115"/>
  <c r="Z13115"/>
  <c r="X13102"/>
  <c r="Z13102"/>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C1444"/>
  <c r="J1444" s="1"/>
  <c r="C1443"/>
  <c r="N1443" s="1"/>
  <c r="C552"/>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R711" i="55"/>
  <c r="X678"/>
  <c r="L1143"/>
  <c r="R1143"/>
  <c r="V1143"/>
  <c r="T1143"/>
  <c r="N1143"/>
  <c r="P1143"/>
  <c r="H1143"/>
  <c r="X1143"/>
  <c r="J1485"/>
  <c r="Z1485"/>
  <c r="AD1485" s="1"/>
  <c r="J382"/>
  <c r="Z382"/>
  <c r="AD382" s="1"/>
  <c r="N382"/>
  <c r="P926"/>
  <c r="T1475"/>
  <c r="P1054"/>
  <c r="F1054"/>
  <c r="T1054"/>
  <c r="J1054"/>
  <c r="X632"/>
  <c r="P632"/>
  <c r="N711"/>
  <c r="X711"/>
  <c r="L1054"/>
  <c r="H384"/>
  <c r="T678"/>
  <c r="AJ1418"/>
  <c r="AK1418"/>
  <c r="AL1418" s="1"/>
  <c r="F190" i="32"/>
  <c r="A174"/>
  <c r="F174" s="1"/>
  <c r="F188"/>
  <c r="E149"/>
  <c r="F149" s="1"/>
  <c r="F64" i="64"/>
  <c r="L706" i="55"/>
  <c r="X14035"/>
  <c r="Z14035"/>
  <c r="X14026"/>
  <c r="Z14026"/>
  <c r="X14013"/>
  <c r="Z13997"/>
  <c r="X13997"/>
  <c r="Z13771"/>
  <c r="X13771"/>
  <c r="Z13756"/>
  <c r="X13189"/>
  <c r="X12948"/>
  <c r="Z12948"/>
  <c r="X12942"/>
  <c r="Z12942"/>
  <c r="Z12927"/>
  <c r="X12927"/>
  <c r="X13671"/>
  <c r="Z13671"/>
  <c r="Z13652"/>
  <c r="X13944"/>
  <c r="Z13944"/>
  <c r="X13629"/>
  <c r="Z13629"/>
  <c r="X13626"/>
  <c r="Z13626"/>
  <c r="X13371"/>
  <c r="Z13371"/>
  <c r="X13368"/>
  <c r="Z13368"/>
  <c r="X13341"/>
  <c r="X13338"/>
  <c r="Z13338"/>
  <c r="Z13306"/>
  <c r="X13306"/>
  <c r="X13300"/>
  <c r="Z13300"/>
  <c r="Z13288"/>
  <c r="Z13162"/>
  <c r="X13162"/>
  <c r="X13151"/>
  <c r="Z13151"/>
  <c r="Z13143"/>
  <c r="X13143"/>
  <c r="Z10890"/>
  <c r="X10890"/>
  <c r="X10887"/>
  <c r="Z10887"/>
  <c r="Z10847"/>
  <c r="X10847"/>
  <c r="Z10792"/>
  <c r="X10792"/>
  <c r="X10789"/>
  <c r="X10777"/>
  <c r="Z10777"/>
  <c r="Z10759"/>
  <c r="X10759"/>
  <c r="Z10755"/>
  <c r="X10755"/>
  <c r="X10749"/>
  <c r="X10743"/>
  <c r="Z10743"/>
  <c r="Z10591"/>
  <c r="X10591"/>
  <c r="X10536"/>
  <c r="Z10536"/>
  <c r="X10533"/>
  <c r="Z10533"/>
  <c r="X10521"/>
  <c r="Z10503"/>
  <c r="X10503"/>
  <c r="Z10499"/>
  <c r="X10499"/>
  <c r="X12935"/>
  <c r="Z12951"/>
  <c r="X14018"/>
  <c r="Z13983"/>
  <c r="X13983"/>
  <c r="Z13712"/>
  <c r="X13706"/>
  <c r="Z13706"/>
  <c r="L1475"/>
  <c r="F1476"/>
  <c r="X13271"/>
  <c r="Z13271"/>
  <c r="Z13214"/>
  <c r="X13214"/>
  <c r="Z13124"/>
  <c r="X13124"/>
  <c r="Z13994"/>
  <c r="Z14006"/>
  <c r="X14113"/>
  <c r="Z14090"/>
  <c r="X14090"/>
  <c r="X13934"/>
  <c r="Z13934"/>
  <c r="Z13923"/>
  <c r="X13923"/>
  <c r="X13894"/>
  <c r="Z13894"/>
  <c r="X13809"/>
  <c r="Z13595"/>
  <c r="X13595"/>
  <c r="Z13568"/>
  <c r="X13568"/>
  <c r="X13562"/>
  <c r="Z13562"/>
  <c r="Z13547"/>
  <c r="X13547"/>
  <c r="Z13513"/>
  <c r="X13513"/>
  <c r="Z13460"/>
  <c r="X13460"/>
  <c r="X13457"/>
  <c r="Z13256"/>
  <c r="Z13060"/>
  <c r="Z13032"/>
  <c r="X13032"/>
  <c r="Z13020"/>
  <c r="X13020"/>
  <c r="X13002"/>
  <c r="Z13002"/>
  <c r="X12993"/>
  <c r="Z12979"/>
  <c r="X12979"/>
  <c r="X12973"/>
  <c r="Z12916"/>
  <c r="X12916"/>
  <c r="X12906"/>
  <c r="Z12906"/>
  <c r="X12885"/>
  <c r="Z9057"/>
  <c r="X9057"/>
  <c r="N1480"/>
  <c r="Z14086"/>
  <c r="X14086"/>
  <c r="Z14060"/>
  <c r="Z13979"/>
  <c r="X13979"/>
  <c r="Z13963"/>
  <c r="X13963"/>
  <c r="Z13949"/>
  <c r="X13949"/>
  <c r="Z13908"/>
  <c r="Z13868"/>
  <c r="X13797"/>
  <c r="Z13776"/>
  <c r="Z13759"/>
  <c r="X13759"/>
  <c r="X13508"/>
  <c r="Z13508"/>
  <c r="X13502"/>
  <c r="Z13502"/>
  <c r="X13485"/>
  <c r="Z13474"/>
  <c r="X13474"/>
  <c r="X13438"/>
  <c r="Z13438"/>
  <c r="X13406"/>
  <c r="Z13406"/>
  <c r="X13391"/>
  <c r="Z13391"/>
  <c r="X13365"/>
  <c r="X13360"/>
  <c r="Z13360"/>
  <c r="Z13334"/>
  <c r="X13334"/>
  <c r="X13318"/>
  <c r="Z13318"/>
  <c r="Z13303"/>
  <c r="X13303"/>
  <c r="Z13229"/>
  <c r="X13229"/>
  <c r="Z13148"/>
  <c r="Z12983"/>
  <c r="X12983"/>
  <c r="Z12971"/>
  <c r="X12971"/>
  <c r="Z12960"/>
  <c r="X12960"/>
  <c r="X12897"/>
  <c r="Z12876"/>
  <c r="X12876"/>
  <c r="Z10882"/>
  <c r="X10882"/>
  <c r="Z10857"/>
  <c r="X10857"/>
  <c r="Z10816"/>
  <c r="X10816"/>
  <c r="X10697"/>
  <c r="X10681"/>
  <c r="X10677"/>
  <c r="X10669"/>
  <c r="X10662"/>
  <c r="Z10662"/>
  <c r="Z10653"/>
  <c r="X10653"/>
  <c r="X10639"/>
  <c r="Z10639"/>
  <c r="X10635"/>
  <c r="Z10635"/>
  <c r="X10601"/>
  <c r="X10459"/>
  <c r="Z10459"/>
  <c r="Z10441"/>
  <c r="X10441"/>
  <c r="Z10425"/>
  <c r="X10425"/>
  <c r="X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X10277"/>
  <c r="X10265"/>
  <c r="Z10265"/>
  <c r="Z10243"/>
  <c r="X10243"/>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X10037"/>
  <c r="X10029"/>
  <c r="X10021"/>
  <c r="X10013"/>
  <c r="X10005"/>
  <c r="X9997"/>
  <c r="X9989"/>
  <c r="X9981"/>
  <c r="X9973"/>
  <c r="X9965"/>
  <c r="X9957"/>
  <c r="X9949"/>
  <c r="X9941"/>
  <c r="X9933"/>
  <c r="X9925"/>
  <c r="X9917"/>
  <c r="X9909"/>
  <c r="X9901"/>
  <c r="X9893"/>
  <c r="X9885"/>
  <c r="X9877"/>
  <c r="X9869"/>
  <c r="X9861"/>
  <c r="X9853"/>
  <c r="X9845"/>
  <c r="X9837"/>
  <c r="X9829"/>
  <c r="X9821"/>
  <c r="X9813"/>
  <c r="X9805"/>
  <c r="X9797"/>
  <c r="X9789"/>
  <c r="X9781"/>
  <c r="X9773"/>
  <c r="X9765"/>
  <c r="X9757"/>
  <c r="X9749"/>
  <c r="X9741"/>
  <c r="X9733"/>
  <c r="X9725"/>
  <c r="X9717"/>
  <c r="X9709"/>
  <c r="X9701"/>
  <c r="X9693"/>
  <c r="X9685"/>
  <c r="X9677"/>
  <c r="X9669"/>
  <c r="X9661"/>
  <c r="X9653"/>
  <c r="X9645"/>
  <c r="X9637"/>
  <c r="X9621"/>
  <c r="Z9621"/>
  <c r="X9615"/>
  <c r="Z9615"/>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X158"/>
  <c r="Z158"/>
  <c r="AD158" s="1"/>
  <c r="X152"/>
  <c r="Z152"/>
  <c r="AD152" s="1"/>
  <c r="Z129"/>
  <c r="X129"/>
  <c r="Z61"/>
  <c r="X61"/>
  <c r="Z37"/>
  <c r="X37"/>
  <c r="Z14124"/>
  <c r="Z13916"/>
  <c r="X13916"/>
  <c r="Z13750"/>
  <c r="X13750"/>
  <c r="Z13647"/>
  <c r="X13647"/>
  <c r="X13623"/>
  <c r="Z13623"/>
  <c r="X13617"/>
  <c r="Z13598"/>
  <c r="X13598"/>
  <c r="Z13559"/>
  <c r="X13559"/>
  <c r="X13527"/>
  <c r="Z13527"/>
  <c r="Z13295"/>
  <c r="X13295"/>
  <c r="Z13286"/>
  <c r="X13286"/>
  <c r="X13283"/>
  <c r="Z13283"/>
  <c r="Z13267"/>
  <c r="X13267"/>
  <c r="Z13112"/>
  <c r="X13112"/>
  <c r="Z13056"/>
  <c r="X13056"/>
  <c r="X12924"/>
  <c r="Z12924"/>
  <c r="X12909"/>
  <c r="Z9584"/>
  <c r="X9584"/>
  <c r="Z9548"/>
  <c r="X9548"/>
  <c r="X9545"/>
  <c r="Z9522"/>
  <c r="X9522"/>
  <c r="Z9498"/>
  <c r="X9498"/>
  <c r="Z9462"/>
  <c r="X9462"/>
  <c r="Z9400"/>
  <c r="X9400"/>
  <c r="Z9379"/>
  <c r="X9379"/>
  <c r="Z9374"/>
  <c r="X9374"/>
  <c r="Z9366"/>
  <c r="X9366"/>
  <c r="Z9202"/>
  <c r="X9202"/>
  <c r="Z9076"/>
  <c r="X9076"/>
  <c r="Z8968"/>
  <c r="X8968"/>
  <c r="X8945"/>
  <c r="Z8928"/>
  <c r="X8928"/>
  <c r="Z8920"/>
  <c r="X8920"/>
  <c r="Z8912"/>
  <c r="X8912"/>
  <c r="X8873"/>
  <c r="Z8858"/>
  <c r="X8858"/>
  <c r="Z8836"/>
  <c r="X8836"/>
  <c r="X8833"/>
  <c r="Z8811"/>
  <c r="X8811"/>
  <c r="Z8806"/>
  <c r="X8806"/>
  <c r="X1755"/>
  <c r="X1763"/>
  <c r="X13017"/>
  <c r="Z2573"/>
  <c r="X2351"/>
  <c r="Z2636"/>
  <c r="X9291"/>
  <c r="X1117"/>
  <c r="Z1792"/>
  <c r="AD1796" s="1"/>
  <c r="X292"/>
  <c r="Z14120"/>
  <c r="X14120"/>
  <c r="X14105"/>
  <c r="Z14105"/>
  <c r="Z14076"/>
  <c r="X14053"/>
  <c r="Z13975"/>
  <c r="X13975"/>
  <c r="Z13951"/>
  <c r="X13951"/>
  <c r="X13930"/>
  <c r="Z13930"/>
  <c r="Z13912"/>
  <c r="X13912"/>
  <c r="Z13904"/>
  <c r="X13886"/>
  <c r="Z13886"/>
  <c r="Z13836"/>
  <c r="X13836"/>
  <c r="Z13831"/>
  <c r="X13831"/>
  <c r="X13817"/>
  <c r="Z13817"/>
  <c r="Z13748"/>
  <c r="X13721"/>
  <c r="Z13702"/>
  <c r="X13702"/>
  <c r="X13683"/>
  <c r="Z13683"/>
  <c r="Z13620"/>
  <c r="X13620"/>
  <c r="Z13600"/>
  <c r="X13600"/>
  <c r="X13583"/>
  <c r="Z13583"/>
  <c r="Z13566"/>
  <c r="X13566"/>
  <c r="Z13555"/>
  <c r="X13555"/>
  <c r="X13521"/>
  <c r="Z13442"/>
  <c r="X13442"/>
  <c r="Z13432"/>
  <c r="X13432"/>
  <c r="X13413"/>
  <c r="Z13410"/>
  <c r="X13410"/>
  <c r="Z13357"/>
  <c r="X13357"/>
  <c r="Z13352"/>
  <c r="X13352"/>
  <c r="Z13308"/>
  <c r="X13308"/>
  <c r="Z13240"/>
  <c r="X13240"/>
  <c r="Z13191"/>
  <c r="X13191"/>
  <c r="Z13175"/>
  <c r="X13175"/>
  <c r="Z13094"/>
  <c r="X13094"/>
  <c r="X13091"/>
  <c r="Z13091"/>
  <c r="Z13047"/>
  <c r="X13047"/>
  <c r="X12965"/>
  <c r="X12953"/>
  <c r="Z12932"/>
  <c r="X12932"/>
  <c r="X12914"/>
  <c r="Z12914"/>
  <c r="Z12899"/>
  <c r="X12899"/>
  <c r="Z12881"/>
  <c r="X12881"/>
  <c r="X12878"/>
  <c r="Z12878"/>
  <c r="X10828"/>
  <c r="Z10828"/>
  <c r="X10779"/>
  <c r="Z10779"/>
  <c r="X10775"/>
  <c r="Z10775"/>
  <c r="X10761"/>
  <c r="X10572"/>
  <c r="Z10572"/>
  <c r="Z10523"/>
  <c r="X10523"/>
  <c r="X10519"/>
  <c r="Z10519"/>
  <c r="Z10505"/>
  <c r="X10505"/>
  <c r="X10316"/>
  <c r="Z10316"/>
  <c r="X10267"/>
  <c r="Z10267"/>
  <c r="X10263"/>
  <c r="Z10263"/>
  <c r="X10249"/>
  <c r="X10197"/>
  <c r="X10189"/>
  <c r="X10181"/>
  <c r="X10173"/>
  <c r="X10165"/>
  <c r="X10157"/>
  <c r="X10149"/>
  <c r="X10141"/>
  <c r="X10133"/>
  <c r="X10125"/>
  <c r="X10117"/>
  <c r="X10109"/>
  <c r="X10101"/>
  <c r="X10093"/>
  <c r="X10085"/>
  <c r="X10077"/>
  <c r="X10069"/>
  <c r="X10061"/>
  <c r="X10053"/>
  <c r="X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X9571"/>
  <c r="Z9571"/>
  <c r="Z9508"/>
  <c r="X9508"/>
  <c r="Z9484"/>
  <c r="X9484"/>
  <c r="X9475"/>
  <c r="Z9475"/>
  <c r="X9421"/>
  <c r="X9383"/>
  <c r="Z9383"/>
  <c r="X9351"/>
  <c r="Z9351"/>
  <c r="X9343"/>
  <c r="Z9343"/>
  <c r="Z9195"/>
  <c r="X9195"/>
  <c r="Z9132"/>
  <c r="X9132"/>
  <c r="Z9121"/>
  <c r="X9121"/>
  <c r="X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70"/>
  <c r="Z14003"/>
  <c r="X14003"/>
  <c r="Z14000"/>
  <c r="Z13992"/>
  <c r="X13992"/>
  <c r="X13987"/>
  <c r="Z13987"/>
  <c r="X13977"/>
  <c r="Z13977"/>
  <c r="X13953"/>
  <c r="Z13927"/>
  <c r="X13927"/>
  <c r="Z13880"/>
  <c r="X13880"/>
  <c r="X13877"/>
  <c r="Z13877"/>
  <c r="Z13860"/>
  <c r="X13860"/>
  <c r="Z13795"/>
  <c r="X13795"/>
  <c r="Z13792"/>
  <c r="X13745"/>
  <c r="Z13718"/>
  <c r="X13718"/>
  <c r="Z13708"/>
  <c r="Z13664"/>
  <c r="X13664"/>
  <c r="X13659"/>
  <c r="Z13659"/>
  <c r="Z13636"/>
  <c r="X13636"/>
  <c r="X13633"/>
  <c r="Z13571"/>
  <c r="X13571"/>
  <c r="Z13551"/>
  <c r="X13551"/>
  <c r="Z13542"/>
  <c r="X13542"/>
  <c r="X13495"/>
  <c r="Z13495"/>
  <c r="Z13464"/>
  <c r="X13464"/>
  <c r="X13401"/>
  <c r="Z13290"/>
  <c r="X13290"/>
  <c r="Z13276"/>
  <c r="X13276"/>
  <c r="Z13253"/>
  <c r="X13253"/>
  <c r="X13221"/>
  <c r="Z13209"/>
  <c r="X13209"/>
  <c r="Z13135"/>
  <c r="X13135"/>
  <c r="Z13105"/>
  <c r="X13105"/>
  <c r="X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26"/>
  <c r="Z13926"/>
  <c r="X13900"/>
  <c r="Z13900"/>
  <c r="X13835"/>
  <c r="Z13835"/>
  <c r="X13749"/>
  <c r="Z13744"/>
  <c r="Z13716"/>
  <c r="X13709"/>
  <c r="X13641"/>
  <c r="Z13641"/>
  <c r="Z13588"/>
  <c r="Z13584"/>
  <c r="Z13576"/>
  <c r="X13558"/>
  <c r="Z13558"/>
  <c r="X13550"/>
  <c r="Z13550"/>
  <c r="Z13540"/>
  <c r="Z13480"/>
  <c r="Z13462"/>
  <c r="X13462"/>
  <c r="X13381"/>
  <c r="X13351"/>
  <c r="Z13351"/>
  <c r="X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Z13982"/>
  <c r="X13982"/>
  <c r="Z13957"/>
  <c r="X13957"/>
  <c r="X13945"/>
  <c r="X13935"/>
  <c r="Z13935"/>
  <c r="Z13922"/>
  <c r="X13922"/>
  <c r="Z13909"/>
  <c r="X13909"/>
  <c r="Z13847"/>
  <c r="X13847"/>
  <c r="Z13832"/>
  <c r="X13832"/>
  <c r="X13805"/>
  <c r="X13789"/>
  <c r="X13757"/>
  <c r="Z13740"/>
  <c r="X13725"/>
  <c r="X13707"/>
  <c r="Z13707"/>
  <c r="Z13662"/>
  <c r="X13662"/>
  <c r="X13638"/>
  <c r="Z13638"/>
  <c r="Z13624"/>
  <c r="Z13619"/>
  <c r="X13619"/>
  <c r="Z13572"/>
  <c r="X13572"/>
  <c r="X13567"/>
  <c r="Z13567"/>
  <c r="X13554"/>
  <c r="Z13554"/>
  <c r="Z13523"/>
  <c r="X13523"/>
  <c r="Z13488"/>
  <c r="X13488"/>
  <c r="X13445"/>
  <c r="Z13445"/>
  <c r="Z13372"/>
  <c r="X13372"/>
  <c r="Z13364"/>
  <c r="Z13301"/>
  <c r="X13301"/>
  <c r="X13285"/>
  <c r="Z13278"/>
  <c r="X13278"/>
  <c r="Z13263"/>
  <c r="X13263"/>
  <c r="Z13202"/>
  <c r="X13202"/>
  <c r="Z13164"/>
  <c r="X13164"/>
  <c r="Z13140"/>
  <c r="Z13126"/>
  <c r="X13126"/>
  <c r="X13123"/>
  <c r="Z13123"/>
  <c r="Z13116"/>
  <c r="Z13092"/>
  <c r="Z13068"/>
  <c r="Z13063"/>
  <c r="X13063"/>
  <c r="X12985"/>
  <c r="Z12982"/>
  <c r="X12982"/>
  <c r="Z12956"/>
  <c r="X12956"/>
  <c r="X12925"/>
  <c r="Z12925"/>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P1475"/>
  <c r="Z1473"/>
  <c r="AD1473" s="1"/>
  <c r="V632"/>
  <c r="V1445"/>
  <c r="H632"/>
  <c r="L1477"/>
  <c r="P382"/>
  <c r="N1482"/>
  <c r="F1479"/>
  <c r="J1479"/>
  <c r="R1482"/>
  <c r="V1482"/>
  <c r="X1474"/>
  <c r="R1478"/>
  <c r="R705"/>
  <c r="H705"/>
  <c r="J705"/>
  <c r="H292"/>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841" i="55"/>
  <c r="R678"/>
  <c r="V678"/>
  <c r="N712"/>
  <c r="T841"/>
  <c r="J843"/>
  <c r="T843"/>
  <c r="N1426"/>
  <c r="H678"/>
  <c r="P678"/>
  <c r="F1426"/>
  <c r="J1445"/>
  <c r="T712"/>
  <c r="N678"/>
  <c r="X841"/>
  <c r="X843"/>
  <c r="Z843"/>
  <c r="AD843" s="1"/>
  <c r="X1426"/>
  <c r="J841"/>
  <c r="P843"/>
  <c r="R712"/>
  <c r="V373"/>
  <c r="J712"/>
  <c r="F712"/>
  <c r="T373"/>
  <c r="T495"/>
  <c r="P712"/>
  <c r="Z712"/>
  <c r="AD712" s="1"/>
  <c r="Z373"/>
  <c r="F495"/>
  <c r="E209" i="25"/>
  <c r="G209" s="1"/>
  <c r="L712" i="55"/>
  <c r="F705"/>
  <c r="R552"/>
  <c r="D620" i="25"/>
  <c r="D656" s="1"/>
  <c r="F656" s="1"/>
  <c r="F585"/>
  <c r="H495" i="55"/>
  <c r="P373"/>
  <c r="X373"/>
  <c r="N373"/>
  <c r="L373"/>
  <c r="H373"/>
  <c r="R373"/>
  <c r="D591" i="25"/>
  <c r="F591" s="1"/>
  <c r="H322" i="55"/>
  <c r="X322"/>
  <c r="N322"/>
  <c r="L322"/>
  <c r="Z322"/>
  <c r="AD322" s="1"/>
  <c r="J322"/>
  <c r="V322"/>
  <c r="F429"/>
  <c r="Z429"/>
  <c r="V382"/>
  <c r="L382"/>
  <c r="X382"/>
  <c r="R382"/>
  <c r="T382"/>
  <c r="F382"/>
  <c r="H382"/>
  <c r="D547" i="25"/>
  <c r="T322" i="55"/>
  <c r="L678"/>
  <c r="F678"/>
  <c r="N384"/>
  <c r="D24" i="25"/>
  <c r="F639" i="55"/>
  <c r="R639"/>
  <c r="V381"/>
  <c r="X307"/>
  <c r="R307"/>
  <c r="L307"/>
  <c r="F778"/>
  <c r="F1449"/>
  <c r="N1449"/>
  <c r="J1449"/>
  <c r="P1449"/>
  <c r="T1449"/>
  <c r="V1449"/>
  <c r="X1449"/>
  <c r="R1449"/>
  <c r="L1449"/>
  <c r="R1433"/>
  <c r="J1433"/>
  <c r="T1433"/>
  <c r="P1433"/>
  <c r="L1433"/>
  <c r="H1433"/>
  <c r="V1433"/>
  <c r="F1433"/>
  <c r="X1433"/>
  <c r="R292"/>
  <c r="V292"/>
  <c r="D23" i="25"/>
  <c r="D36" s="1"/>
  <c r="H426" i="55"/>
  <c r="H711"/>
  <c r="L711"/>
  <c r="Z711"/>
  <c r="AD711" s="1"/>
  <c r="V711"/>
  <c r="F711"/>
  <c r="P711"/>
  <c r="J711"/>
  <c r="P1426"/>
  <c r="H1426"/>
  <c r="L1426"/>
  <c r="R1426"/>
  <c r="V1426"/>
  <c r="D219" i="64"/>
  <c r="D279" s="1"/>
  <c r="Z17" i="27"/>
  <c r="AC17" s="1"/>
  <c r="F60" i="64"/>
  <c r="T1144" i="55"/>
  <c r="X29" i="27"/>
  <c r="D48" i="25"/>
  <c r="F48" s="1"/>
  <c r="H1481" i="55"/>
  <c r="X427"/>
  <c r="T427"/>
  <c r="Z427"/>
  <c r="AD427" s="1"/>
  <c r="H427"/>
  <c r="V427"/>
  <c r="L427"/>
  <c r="T772"/>
  <c r="L1473"/>
  <c r="H1473"/>
  <c r="J1473"/>
  <c r="R1473"/>
  <c r="T1473"/>
  <c r="V1473"/>
  <c r="J62"/>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P676"/>
  <c r="P639"/>
  <c r="N639"/>
  <c r="J639"/>
  <c r="Z639"/>
  <c r="AD639" s="1"/>
  <c r="X639"/>
  <c r="N427"/>
  <c r="R427"/>
  <c r="P1473"/>
  <c r="F427"/>
  <c r="N1473"/>
  <c r="Z1481"/>
  <c r="AD1481" s="1"/>
  <c r="R1443"/>
  <c r="L841"/>
  <c r="H841"/>
  <c r="V841"/>
  <c r="F841"/>
  <c r="P841"/>
  <c r="R841"/>
  <c r="L292"/>
  <c r="N292"/>
  <c r="F292"/>
  <c r="P292"/>
  <c r="T292"/>
  <c r="J292"/>
  <c r="Z1477"/>
  <c r="AD1477" s="1"/>
  <c r="R1477"/>
  <c r="X1477"/>
  <c r="H1477"/>
  <c r="N1477"/>
  <c r="P1477"/>
  <c r="J1477"/>
  <c r="F1477"/>
  <c r="J706"/>
  <c r="R706"/>
  <c r="V383"/>
  <c r="H383"/>
  <c r="R383"/>
  <c r="X383"/>
  <c r="N383"/>
  <c r="J383"/>
  <c r="Z383"/>
  <c r="AD383" s="1"/>
  <c r="P427"/>
  <c r="J427"/>
  <c r="N843"/>
  <c r="R843"/>
  <c r="F843"/>
  <c r="V843"/>
  <c r="V1475"/>
  <c r="X1475"/>
  <c r="V1474"/>
  <c r="R1474"/>
  <c r="J1474"/>
  <c r="J1476"/>
  <c r="X1476"/>
  <c r="N1476"/>
  <c r="V1480"/>
  <c r="H712"/>
  <c r="X712"/>
  <c r="R704"/>
  <c r="N632"/>
  <c r="F632"/>
  <c r="T632"/>
  <c r="N429"/>
  <c r="V429"/>
  <c r="N1445"/>
  <c r="H1445"/>
  <c r="T1482"/>
  <c r="J1482"/>
  <c r="L1482"/>
  <c r="H1482"/>
  <c r="P954"/>
  <c r="A255" i="32"/>
  <c r="F255" s="1"/>
  <c r="A270"/>
  <c r="A271" s="1"/>
  <c r="C1131" i="55"/>
  <c r="D49" i="25"/>
  <c r="D72" s="1"/>
  <c r="E199"/>
  <c r="G199" s="1"/>
  <c r="E207"/>
  <c r="G207" s="1"/>
  <c r="D50"/>
  <c r="F50" s="1"/>
  <c r="J678" i="55"/>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H366"/>
  <c r="Z366"/>
  <c r="AD366" s="1"/>
  <c r="R366"/>
  <c r="X366"/>
  <c r="P366"/>
  <c r="T366"/>
  <c r="V366"/>
  <c r="L366"/>
  <c r="F366"/>
  <c r="J366"/>
  <c r="N366"/>
  <c r="J410"/>
  <c r="X410"/>
  <c r="V410"/>
  <c r="F410"/>
  <c r="L410"/>
  <c r="H410"/>
  <c r="P410"/>
  <c r="R410"/>
  <c r="T410"/>
  <c r="N410"/>
  <c r="Z410"/>
  <c r="AD410" s="1"/>
  <c r="X413"/>
  <c r="L413"/>
  <c r="Z413"/>
  <c r="AD413" s="1"/>
  <c r="J413"/>
  <c r="F413"/>
  <c r="H413"/>
  <c r="N413"/>
  <c r="V413"/>
  <c r="P413"/>
  <c r="T413"/>
  <c r="R413"/>
  <c r="P409"/>
  <c r="Z409"/>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292"/>
  <c r="AD292" s="1"/>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F44" i="71" s="1"/>
  <c r="F78" s="1"/>
  <c r="K2856" i="27"/>
  <c r="W37" i="64"/>
  <c r="AU196" i="1"/>
  <c r="AV196" s="1"/>
  <c r="R2849" i="27"/>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I1019"/>
  <c r="P1093" s="1"/>
  <c r="R1093" s="1"/>
  <c r="I95"/>
  <c r="K95" s="1"/>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J3044"/>
  <c r="K3044" s="1"/>
  <c r="I2106"/>
  <c r="K2106" s="1"/>
  <c r="I2077"/>
  <c r="I2027"/>
  <c r="K2027" s="1"/>
  <c r="I3768"/>
  <c r="K3768" s="1"/>
  <c r="P3722"/>
  <c r="R3722" s="1"/>
  <c r="I3705"/>
  <c r="K3705" s="1"/>
  <c r="P2671"/>
  <c r="I2164"/>
  <c r="K2164" s="1"/>
  <c r="I2151"/>
  <c r="P2158" s="1"/>
  <c r="R2158" s="1"/>
  <c r="I2177"/>
  <c r="K2177" s="1"/>
  <c r="I2131"/>
  <c r="K2131" s="1"/>
  <c r="I3539"/>
  <c r="I2835"/>
  <c r="X12"/>
  <c r="D17"/>
  <c r="X24"/>
  <c r="AC31"/>
  <c r="I3461" s="1"/>
  <c r="D32"/>
  <c r="I1104" s="1"/>
  <c r="K1104" s="1"/>
  <c r="I229"/>
  <c r="I360"/>
  <c r="K360" s="1"/>
  <c r="P364"/>
  <c r="R364" s="1"/>
  <c r="P3514"/>
  <c r="R3514" s="1"/>
  <c r="P2359"/>
  <c r="R2359" s="1"/>
  <c r="I2298"/>
  <c r="K2298" s="1"/>
  <c r="V1335"/>
  <c r="X1335" s="1"/>
  <c r="P1376"/>
  <c r="R1376" s="1"/>
  <c r="I2739"/>
  <c r="K2739" s="1"/>
  <c r="I2369"/>
  <c r="K2369" s="1"/>
  <c r="I2132"/>
  <c r="K2132" s="1"/>
  <c r="I1810"/>
  <c r="K1810" s="1"/>
  <c r="I2686"/>
  <c r="K2686" s="1"/>
  <c r="I1944"/>
  <c r="I3565" s="1"/>
  <c r="I2055"/>
  <c r="I1467"/>
  <c r="K1467" s="1"/>
  <c r="I1507"/>
  <c r="K1507" s="1"/>
  <c r="I1394"/>
  <c r="I1258"/>
  <c r="I1435"/>
  <c r="K1435" s="1"/>
  <c r="I1224"/>
  <c r="K1224" s="1"/>
  <c r="I1381"/>
  <c r="K1381" s="1"/>
  <c r="V530"/>
  <c r="AB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I1227"/>
  <c r="K1227" s="1"/>
  <c r="V710"/>
  <c r="D46" i="32" s="1"/>
  <c r="F46" s="1"/>
  <c r="H46" s="1"/>
  <c r="I447" i="1"/>
  <c r="K447" s="1"/>
  <c r="I2699"/>
  <c r="K2699" s="1"/>
  <c r="I2153"/>
  <c r="K2153" s="1"/>
  <c r="I2133"/>
  <c r="K2133" s="1"/>
  <c r="I1508"/>
  <c r="K1508" s="1"/>
  <c r="I1648"/>
  <c r="I1235"/>
  <c r="K1235" s="1"/>
  <c r="I1259"/>
  <c r="I1225"/>
  <c r="I1254"/>
  <c r="P506"/>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E338" s="1"/>
  <c r="AG338" s="1"/>
  <c r="K723"/>
  <c r="I725" s="1"/>
  <c r="K725" s="1"/>
  <c r="I1548"/>
  <c r="I1535"/>
  <c r="I1147"/>
  <c r="K1147" s="1"/>
  <c r="P2410"/>
  <c r="R2410" s="1"/>
  <c r="P1303"/>
  <c r="R1303" s="1"/>
  <c r="I3722"/>
  <c r="K3722" s="1"/>
  <c r="V3670"/>
  <c r="I3794"/>
  <c r="K3794" s="1"/>
  <c r="I3767"/>
  <c r="K3767" s="1"/>
  <c r="I3704"/>
  <c r="K3704" s="1"/>
  <c r="AF3105"/>
  <c r="P1547"/>
  <c r="R1547" s="1"/>
  <c r="P1402"/>
  <c r="V1363" s="1"/>
  <c r="J706"/>
  <c r="I3283"/>
  <c r="K3283" s="1"/>
  <c r="I2636"/>
  <c r="P2643" s="1"/>
  <c r="R2643" s="1"/>
  <c r="V3133"/>
  <c r="V3158" s="1"/>
  <c r="I1063"/>
  <c r="K1026"/>
  <c r="P1117"/>
  <c r="R1117" s="1"/>
  <c r="R1096"/>
  <c r="P1119"/>
  <c r="R1119" s="1"/>
  <c r="R1098"/>
  <c r="I55"/>
  <c r="P68"/>
  <c r="R68" s="1"/>
  <c r="I199"/>
  <c r="I314"/>
  <c r="P351"/>
  <c r="R351"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04" i="55"/>
  <c r="L704"/>
  <c r="V704"/>
  <c r="L384"/>
  <c r="D626" i="25"/>
  <c r="F626" s="1"/>
  <c r="Z384" i="55"/>
  <c r="AD384" s="1"/>
  <c r="N704"/>
  <c r="R62"/>
  <c r="X704"/>
  <c r="Z704"/>
  <c r="AD704" s="1"/>
  <c r="T384"/>
  <c r="X384"/>
  <c r="T704"/>
  <c r="P704"/>
  <c r="V384"/>
  <c r="R384"/>
  <c r="F384"/>
  <c r="AJ1197" i="1"/>
  <c r="T711" i="55"/>
  <c r="V712"/>
  <c r="F1474"/>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Z1602"/>
  <c r="AD1602" s="1"/>
  <c r="Z1601"/>
  <c r="X1597"/>
  <c r="X1651"/>
  <c r="X1650"/>
  <c r="X1616"/>
  <c r="X1615"/>
  <c r="K3107" i="1"/>
  <c r="P2081"/>
  <c r="R2081" s="1"/>
  <c r="V3543"/>
  <c r="V3559" s="1"/>
  <c r="AD1352"/>
  <c r="I3060"/>
  <c r="P3067" s="1"/>
  <c r="R3067" s="1"/>
  <c r="K2975"/>
  <c r="AB1388"/>
  <c r="AD1388" s="1"/>
  <c r="P1458"/>
  <c r="P1489" s="1"/>
  <c r="K3724"/>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339"/>
  <c r="K743"/>
  <c r="X1336"/>
  <c r="P3401"/>
  <c r="R3401" s="1"/>
  <c r="R3298"/>
  <c r="K3524"/>
  <c r="R1410"/>
  <c r="P1427"/>
  <c r="R1427" s="1"/>
  <c r="X1374"/>
  <c r="V1391"/>
  <c r="X1391" s="1"/>
  <c r="V1359"/>
  <c r="I3994" s="1"/>
  <c r="K3994" s="1"/>
  <c r="AB1389"/>
  <c r="AD1389" s="1"/>
  <c r="K3759"/>
  <c r="K3760" s="1"/>
  <c r="K3523"/>
  <c r="P3723"/>
  <c r="R3723" s="1"/>
  <c r="D662" i="25"/>
  <c r="D698" s="1"/>
  <c r="F698" s="1"/>
  <c r="D45" i="32"/>
  <c r="F45" s="1"/>
  <c r="H45" s="1"/>
  <c r="AC1597" i="55"/>
  <c r="V1407" i="1"/>
  <c r="X3561"/>
  <c r="X1387"/>
  <c r="P3370"/>
  <c r="R3370" s="1"/>
  <c r="I4023"/>
  <c r="K4023" s="1"/>
  <c r="P1475"/>
  <c r="P1482" s="1"/>
  <c r="V3715"/>
  <c r="X3715" s="1"/>
  <c r="D108" i="32"/>
  <c r="F108" s="1"/>
  <c r="D26" i="25"/>
  <c r="D39" s="1"/>
  <c r="F39" s="1"/>
  <c r="V1450" i="1"/>
  <c r="V3592"/>
  <c r="X3592" s="1"/>
  <c r="AB1405"/>
  <c r="AD1405" s="1"/>
  <c r="X1407"/>
  <c r="F26" i="25"/>
  <c r="AB1422" i="1"/>
  <c r="AD1422" s="1"/>
  <c r="AC1600" i="55"/>
  <c r="AC1601"/>
  <c r="AC1631"/>
  <c r="X13" i="1"/>
  <c r="X14"/>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X35" i="1"/>
  <c r="I910" i="27"/>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AC32"/>
  <c r="C139" s="1"/>
  <c r="Z33"/>
  <c r="AC33" s="1"/>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F84" i="71" l="1"/>
  <c r="F79"/>
  <c r="F80" s="1"/>
  <c r="F83" s="1"/>
  <c r="AD338" i="55"/>
  <c r="AD226"/>
  <c r="AD110"/>
  <c r="AD606"/>
  <c r="AD214"/>
  <c r="AD806"/>
  <c r="AD638"/>
  <c r="AD752"/>
  <c r="AD796"/>
  <c r="AD362"/>
  <c r="AD434"/>
  <c r="AD1532"/>
  <c r="AD166"/>
  <c r="AD114"/>
  <c r="AD518"/>
  <c r="AD470"/>
  <c r="AD298"/>
  <c r="AD202"/>
  <c r="AD162"/>
  <c r="AD230"/>
  <c r="AD830"/>
  <c r="AD754"/>
  <c r="AD770"/>
  <c r="AD836"/>
  <c r="AD750"/>
  <c r="AD766"/>
  <c r="AD1523"/>
  <c r="AD1531"/>
  <c r="AD1539"/>
  <c r="AD1547"/>
  <c r="AD1544"/>
  <c r="AD678"/>
  <c r="AD22"/>
  <c r="AD397"/>
  <c r="AD713"/>
  <c r="AD61"/>
  <c r="AD617"/>
  <c r="AD269"/>
  <c r="AD329"/>
  <c r="AD705"/>
  <c r="AD409"/>
  <c r="AD37"/>
  <c r="AD129"/>
  <c r="AD429"/>
  <c r="AD373"/>
  <c r="AD49"/>
  <c r="AD293"/>
  <c r="AD641"/>
  <c r="AD285"/>
  <c r="AD25"/>
  <c r="AD109"/>
  <c r="AD153"/>
  <c r="AD173"/>
  <c r="Z9944"/>
  <c r="Z9940"/>
  <c r="Z9936"/>
  <c r="Z9928"/>
  <c r="Z9916"/>
  <c r="AD64"/>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I94"/>
  <c r="K94" s="1"/>
  <c r="I3102"/>
  <c r="X3116"/>
  <c r="I1056"/>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Z229" i="55"/>
  <c r="AD229" s="1"/>
  <c r="I1970" i="1"/>
  <c r="K1970" s="1"/>
  <c r="N229" i="55"/>
  <c r="X229"/>
  <c r="P432" i="1"/>
  <c r="I3661" s="1"/>
  <c r="I176"/>
  <c r="K176" s="1"/>
  <c r="P577"/>
  <c r="R577" s="1"/>
  <c r="I2126"/>
  <c r="K2126" s="1"/>
  <c r="I168"/>
  <c r="K168" s="1"/>
  <c r="R141"/>
  <c r="P229" i="55"/>
  <c r="J229"/>
  <c r="L229"/>
  <c r="P451" i="1"/>
  <c r="R451" s="1"/>
  <c r="I1757"/>
  <c r="K1757" s="1"/>
  <c r="F229" i="55"/>
  <c r="R229"/>
  <c r="P469" i="1"/>
  <c r="R469" s="1"/>
  <c r="I83"/>
  <c r="I2146"/>
  <c r="K2146" s="1"/>
  <c r="K283"/>
  <c r="V715"/>
  <c r="X715" s="1"/>
  <c r="I37"/>
  <c r="K37" s="1"/>
  <c r="I29"/>
  <c r="I74"/>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I1972"/>
  <c r="P1972" s="1"/>
  <c r="I3121"/>
  <c r="I1943"/>
  <c r="I1993"/>
  <c r="K1993" s="1"/>
  <c r="I2011"/>
  <c r="P2012" s="1"/>
  <c r="I2008"/>
  <c r="K2008" s="1"/>
  <c r="I2053"/>
  <c r="K1564"/>
  <c r="I1590"/>
  <c r="K1590" s="1"/>
  <c r="I1506"/>
  <c r="I3169" s="1"/>
  <c r="K3169" s="1"/>
  <c r="I2718"/>
  <c r="K2718" s="1"/>
  <c r="I2712"/>
  <c r="K1548"/>
  <c r="I1533"/>
  <c r="P1522"/>
  <c r="R1522" s="1"/>
  <c r="I1161"/>
  <c r="K1161" s="1"/>
  <c r="I1518"/>
  <c r="K1518" s="1"/>
  <c r="P339"/>
  <c r="R339" s="1"/>
  <c r="P69"/>
  <c r="R69" s="1"/>
  <c r="V712"/>
  <c r="I449"/>
  <c r="K449" s="1"/>
  <c r="I868"/>
  <c r="V647"/>
  <c r="I1339"/>
  <c r="I1307"/>
  <c r="K1307" s="1"/>
  <c r="I1395"/>
  <c r="I1382"/>
  <c r="K1382" s="1"/>
  <c r="I1829"/>
  <c r="K1829" s="1"/>
  <c r="I1709"/>
  <c r="K1709" s="1"/>
  <c r="I2429"/>
  <c r="I2385"/>
  <c r="I2714"/>
  <c r="I275"/>
  <c r="K275" s="1"/>
  <c r="P393"/>
  <c r="I340"/>
  <c r="K340" s="1"/>
  <c r="V360"/>
  <c r="X360" s="1"/>
  <c r="I384"/>
  <c r="I214"/>
  <c r="K214" s="1"/>
  <c r="I886"/>
  <c r="K886" s="1"/>
  <c r="I491"/>
  <c r="K491" s="1"/>
  <c r="I902"/>
  <c r="K902" s="1"/>
  <c r="I1203"/>
  <c r="I1360"/>
  <c r="I1325"/>
  <c r="K1325" s="1"/>
  <c r="I1436"/>
  <c r="K1436" s="1"/>
  <c r="I1421"/>
  <c r="I1913"/>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I1520"/>
  <c r="K1520" s="1"/>
  <c r="P1524"/>
  <c r="R1524" s="1"/>
  <c r="I1493"/>
  <c r="I2028"/>
  <c r="P2028" s="1"/>
  <c r="R2028" s="1"/>
  <c r="I2009"/>
  <c r="K2009" s="1"/>
  <c r="I1847"/>
  <c r="I2687"/>
  <c r="K2687" s="1"/>
  <c r="P287"/>
  <c r="R287" s="1"/>
  <c r="P84"/>
  <c r="R84" s="1"/>
  <c r="I316"/>
  <c r="AS3106"/>
  <c r="I414"/>
  <c r="K414" s="1"/>
  <c r="I228"/>
  <c r="I198"/>
  <c r="P321"/>
  <c r="R321" s="1"/>
  <c r="V646"/>
  <c r="X646" s="1"/>
  <c r="P523"/>
  <c r="R523" s="1"/>
  <c r="I811"/>
  <c r="K811" s="1"/>
  <c r="P551"/>
  <c r="R551" s="1"/>
  <c r="I866"/>
  <c r="I3306" s="1"/>
  <c r="K3306" s="1"/>
  <c r="I900"/>
  <c r="K900" s="1"/>
  <c r="P1523"/>
  <c r="R1523" s="1"/>
  <c r="I1228"/>
  <c r="K1228" s="1"/>
  <c r="P1360"/>
  <c r="R1360" s="1"/>
  <c r="I1306"/>
  <c r="P1304" s="1"/>
  <c r="R1304" s="1"/>
  <c r="I1407"/>
  <c r="I2031"/>
  <c r="K2031" s="1"/>
  <c r="I1480"/>
  <c r="K1480" s="1"/>
  <c r="I2165"/>
  <c r="K2165" s="1"/>
  <c r="I1995"/>
  <c r="P1995" s="1"/>
  <c r="I2791"/>
  <c r="K2791" s="1"/>
  <c r="L2757" s="1"/>
  <c r="I1912"/>
  <c r="K1912" s="1"/>
  <c r="I2152"/>
  <c r="P2159" s="1"/>
  <c r="R2159" s="1"/>
  <c r="I2428"/>
  <c r="P2435" s="1"/>
  <c r="R2435" s="1"/>
  <c r="J3045"/>
  <c r="K3045" s="1"/>
  <c r="I383"/>
  <c r="I3809"/>
  <c r="K3809" s="1"/>
  <c r="I490"/>
  <c r="K490" s="1"/>
  <c r="P392"/>
  <c r="P83"/>
  <c r="R83" s="1"/>
  <c r="P53"/>
  <c r="R53" s="1"/>
  <c r="I359"/>
  <c r="K359" s="1"/>
  <c r="I300"/>
  <c r="K300" s="1"/>
  <c r="P309"/>
  <c r="R309" s="1"/>
  <c r="I652"/>
  <c r="K652" s="1"/>
  <c r="V711"/>
  <c r="X711" s="1"/>
  <c r="Z711" s="1"/>
  <c r="I884"/>
  <c r="K884" s="1"/>
  <c r="I552"/>
  <c r="K552" s="1"/>
  <c r="P1146"/>
  <c r="I1149"/>
  <c r="K1149" s="1"/>
  <c r="I1162"/>
  <c r="K1162" s="1"/>
  <c r="I1273"/>
  <c r="I1420"/>
  <c r="I1324"/>
  <c r="K1324" s="1"/>
  <c r="I1519"/>
  <c r="K1519" s="1"/>
  <c r="P2337"/>
  <c r="R2337" s="1"/>
  <c r="I1846"/>
  <c r="K1846" s="1"/>
  <c r="I2335"/>
  <c r="K2335" s="1"/>
  <c r="I2107"/>
  <c r="K2107" s="1"/>
  <c r="I1647"/>
  <c r="I1974"/>
  <c r="K1974" s="1"/>
  <c r="I2178"/>
  <c r="K2178" s="1"/>
  <c r="I2713"/>
  <c r="I3459"/>
  <c r="I3826" s="1"/>
  <c r="K3826" s="1"/>
  <c r="I315"/>
  <c r="V479"/>
  <c r="AB479" s="1"/>
  <c r="AD479" s="1"/>
  <c r="P350"/>
  <c r="R350" s="1"/>
  <c r="P298"/>
  <c r="R298" s="1"/>
  <c r="I213"/>
  <c r="K213" s="1"/>
  <c r="I727"/>
  <c r="K727" s="1"/>
  <c r="I763"/>
  <c r="K763" s="1"/>
  <c r="P891"/>
  <c r="R891" s="1"/>
  <c r="I584"/>
  <c r="K584" s="1"/>
  <c r="I507"/>
  <c r="I1253"/>
  <c r="I1202"/>
  <c r="I1338"/>
  <c r="I1455"/>
  <c r="K1455" s="1"/>
  <c r="I1359"/>
  <c r="I1492"/>
  <c r="I2349"/>
  <c r="I2012"/>
  <c r="P2013" s="1"/>
  <c r="I1828"/>
  <c r="K1828" s="1"/>
  <c r="I2399"/>
  <c r="I1708"/>
  <c r="K1708" s="1"/>
  <c r="I2079"/>
  <c r="I2322"/>
  <c r="K2322" s="1"/>
  <c r="I2994"/>
  <c r="K2994" s="1"/>
  <c r="P378"/>
  <c r="R378" s="1"/>
  <c r="P338"/>
  <c r="R338" s="1"/>
  <c r="I274"/>
  <c r="K274" s="1"/>
  <c r="P82"/>
  <c r="R82" s="1"/>
  <c r="I382"/>
  <c r="I506"/>
  <c r="I2900" s="1"/>
  <c r="K2900" s="1"/>
  <c r="I1337"/>
  <c r="I1252"/>
  <c r="I2078"/>
  <c r="I2427"/>
  <c r="P2434" s="1"/>
  <c r="R2434" s="1"/>
  <c r="I2993"/>
  <c r="K2993" s="1"/>
  <c r="I413"/>
  <c r="K413" s="1"/>
  <c r="I358"/>
  <c r="V358" s="1"/>
  <c r="I273"/>
  <c r="K273" s="1"/>
  <c r="P67"/>
  <c r="R67" s="1"/>
  <c r="I299"/>
  <c r="K299" s="1"/>
  <c r="P52"/>
  <c r="R52" s="1"/>
  <c r="P391"/>
  <c r="V645"/>
  <c r="X645" s="1"/>
  <c r="I1380"/>
  <c r="K1380" s="1"/>
  <c r="I1257"/>
  <c r="I2334"/>
  <c r="K2334" s="1"/>
  <c r="I1994"/>
  <c r="P1994" s="1"/>
  <c r="I3458"/>
  <c r="K3458" s="1"/>
  <c r="I197"/>
  <c r="P377"/>
  <c r="R377" s="1"/>
  <c r="I810"/>
  <c r="V804" s="1"/>
  <c r="X804" s="1"/>
  <c r="P1145"/>
  <c r="I1223"/>
  <c r="K1223" s="1"/>
  <c r="I1358"/>
  <c r="I1491"/>
  <c r="I1973"/>
  <c r="P285"/>
  <c r="R285" s="1"/>
  <c r="I227"/>
  <c r="I1353"/>
  <c r="C67"/>
  <c r="P3467"/>
  <c r="R3467" s="1"/>
  <c r="I3828"/>
  <c r="K3828" s="1"/>
  <c r="K3461"/>
  <c r="I18"/>
  <c r="P1379"/>
  <c r="R1379" s="1"/>
  <c r="I2296"/>
  <c r="K2296" s="1"/>
  <c r="AB1386"/>
  <c r="AD1386" s="1"/>
  <c r="AD1369"/>
  <c r="I3530"/>
  <c r="R3403"/>
  <c r="P1463"/>
  <c r="R1446"/>
  <c r="X1403"/>
  <c r="AB1401"/>
  <c r="V1402"/>
  <c r="X1386"/>
  <c r="I989" i="11"/>
  <c r="K989" s="1"/>
  <c r="K1535" i="1"/>
  <c r="K1408"/>
  <c r="K1493"/>
  <c r="P165"/>
  <c r="R165" s="1"/>
  <c r="K1407"/>
  <c r="K3797" i="27"/>
  <c r="P706" i="55"/>
  <c r="N706"/>
  <c r="V426"/>
  <c r="F426"/>
  <c r="J426"/>
  <c r="L426"/>
  <c r="Z426"/>
  <c r="AD426" s="1"/>
  <c r="P62"/>
  <c r="L62"/>
  <c r="P3497" i="27"/>
  <c r="R3497" s="1"/>
  <c r="I3535"/>
  <c r="K3535" s="1"/>
  <c r="K18" i="1"/>
  <c r="R391"/>
  <c r="R1995"/>
  <c r="K229"/>
  <c r="K2077"/>
  <c r="T552" i="55"/>
  <c r="V552"/>
  <c r="K3801" i="27"/>
  <c r="I3708"/>
  <c r="K3708" s="1"/>
  <c r="K448" i="11"/>
  <c r="I1085"/>
  <c r="K1085" s="1"/>
  <c r="I901"/>
  <c r="K143"/>
  <c r="K141"/>
  <c r="Z12" i="27"/>
  <c r="I19"/>
  <c r="K19" s="1"/>
  <c r="K23" s="1"/>
  <c r="I271"/>
  <c r="K271" s="1"/>
  <c r="I45"/>
  <c r="K45" s="1"/>
  <c r="I976"/>
  <c r="K976" s="1"/>
  <c r="K4007" i="1"/>
  <c r="K36" i="25" s="1"/>
  <c r="I1304" i="1"/>
  <c r="K1304" s="1"/>
  <c r="X3543"/>
  <c r="D45" i="50"/>
  <c r="P1415" i="1"/>
  <c r="V1376" s="1"/>
  <c r="P3528"/>
  <c r="R3528" s="1"/>
  <c r="R1426"/>
  <c r="I3057"/>
  <c r="K3057" s="1"/>
  <c r="X1369"/>
  <c r="AE3543"/>
  <c r="X3554"/>
  <c r="H62" i="55"/>
  <c r="X62"/>
  <c r="R392" i="1"/>
  <c r="P199"/>
  <c r="K2712"/>
  <c r="V1283"/>
  <c r="X1283" s="1"/>
  <c r="K1259"/>
  <c r="K1358"/>
  <c r="AB1266"/>
  <c r="AD1266" s="1"/>
  <c r="K1420"/>
  <c r="V383"/>
  <c r="V414" s="1"/>
  <c r="X414" s="1"/>
  <c r="P233"/>
  <c r="R233" s="1"/>
  <c r="K20"/>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P947"/>
  <c r="R947" s="1"/>
  <c r="V733"/>
  <c r="X733" s="1"/>
  <c r="V898"/>
  <c r="X898" s="1"/>
  <c r="I2507"/>
  <c r="P2514" s="1"/>
  <c r="P1466"/>
  <c r="P3368"/>
  <c r="R3368" s="1"/>
  <c r="P3547"/>
  <c r="R3547" s="1"/>
  <c r="T62" i="55"/>
  <c r="N62"/>
  <c r="R2006" i="1"/>
  <c r="R1072"/>
  <c r="K384"/>
  <c r="K314"/>
  <c r="K55"/>
  <c r="K1533"/>
  <c r="K74"/>
  <c r="K1339"/>
  <c r="K1395"/>
  <c r="I2720"/>
  <c r="K2720" s="1"/>
  <c r="K2054"/>
  <c r="K1253"/>
  <c r="K1202"/>
  <c r="K1338"/>
  <c r="K1359"/>
  <c r="K1492"/>
  <c r="R2013"/>
  <c r="K2079"/>
  <c r="R2012"/>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V1286" i="1"/>
  <c r="X1286" s="1"/>
  <c r="R393"/>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P166"/>
  <c r="R166" s="1"/>
  <c r="K65"/>
  <c r="K1203"/>
  <c r="K1360"/>
  <c r="K1421"/>
  <c r="K1337"/>
  <c r="V1281"/>
  <c r="X1281" s="1"/>
  <c r="K2078"/>
  <c r="K1258"/>
  <c r="K1394"/>
  <c r="K2055"/>
  <c r="K316"/>
  <c r="K29"/>
  <c r="K2053"/>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E1066"/>
  <c r="AG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W35"/>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K868"/>
  <c r="I1588"/>
  <c r="K1588" s="1"/>
  <c r="P1305"/>
  <c r="R1305" s="1"/>
  <c r="V584"/>
  <c r="X584" s="1"/>
  <c r="V314"/>
  <c r="AQ66" s="1"/>
  <c r="AQ90" s="1"/>
  <c r="AQ110" s="1"/>
  <c r="AQ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I228"/>
  <c r="K228" s="1"/>
  <c r="I4010" i="1"/>
  <c r="P1539" s="1"/>
  <c r="R1539" s="1"/>
  <c r="K2507"/>
  <c r="I63"/>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I1645"/>
  <c r="K1645" s="1"/>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I1561"/>
  <c r="V1282"/>
  <c r="X1282" s="1"/>
  <c r="V1412"/>
  <c r="K2011"/>
  <c r="I3541"/>
  <c r="AE3541" s="1"/>
  <c r="X879"/>
  <c r="K3341"/>
  <c r="I3440"/>
  <c r="K3440" s="1"/>
  <c r="K3342"/>
  <c r="I3441"/>
  <c r="K3441" s="1"/>
  <c r="K3515" i="27"/>
  <c r="P2060" i="1"/>
  <c r="I4038"/>
  <c r="K4038" s="1"/>
  <c r="I1073" i="11"/>
  <c r="K1073" s="1"/>
  <c r="I201"/>
  <c r="K201" s="1"/>
  <c r="P3712" i="1"/>
  <c r="R3712" s="1"/>
  <c r="F662" i="25"/>
  <c r="V3540" i="1"/>
  <c r="P1074"/>
  <c r="I271"/>
  <c r="K271" s="1"/>
  <c r="AH3106"/>
  <c r="K338"/>
  <c r="AB1367"/>
  <c r="P3529"/>
  <c r="R3529" s="1"/>
  <c r="R2078"/>
  <c r="K1020"/>
  <c r="P1073"/>
  <c r="K130" i="11"/>
  <c r="P2296" i="1"/>
  <c r="R2296" s="1"/>
  <c r="K3540"/>
  <c r="X1359"/>
  <c r="I808"/>
  <c r="V643" s="1"/>
  <c r="I3987"/>
  <c r="AE3561"/>
  <c r="P990"/>
  <c r="R990" s="1"/>
  <c r="P3396"/>
  <c r="R3396" s="1"/>
  <c r="K3539"/>
  <c r="F264" i="25"/>
  <c r="F265" s="1"/>
  <c r="K2260" i="27"/>
  <c r="R2854"/>
  <c r="K419" i="11"/>
  <c r="K420" s="1"/>
  <c r="K412" s="1"/>
  <c r="V3609" i="1"/>
  <c r="X3609" s="1"/>
  <c r="P1460"/>
  <c r="R1460" s="1"/>
  <c r="AE3540"/>
  <c r="AB1357"/>
  <c r="I27"/>
  <c r="X3570"/>
  <c r="K3353" i="27"/>
  <c r="P467"/>
  <c r="R467" s="1"/>
  <c r="Q4" i="4"/>
  <c r="Q5" s="1"/>
  <c r="Q6" s="1"/>
  <c r="P1071" i="1"/>
  <c r="K936" i="11"/>
  <c r="D589" i="25"/>
  <c r="K1306" i="1"/>
  <c r="K1972"/>
  <c r="P2010"/>
  <c r="P2160"/>
  <c r="R2160" s="1"/>
  <c r="K2151"/>
  <c r="K2302"/>
  <c r="K2304" s="1"/>
  <c r="C441" i="55" s="1"/>
  <c r="R441" s="1"/>
  <c r="K2030" i="1"/>
  <c r="K227"/>
  <c r="V340"/>
  <c r="X340" s="1"/>
  <c r="AD646"/>
  <c r="AF646" s="1"/>
  <c r="P2298"/>
  <c r="R2298" s="1"/>
  <c r="C1504" i="55"/>
  <c r="X1504" s="1"/>
  <c r="K2666" i="1"/>
  <c r="K1506"/>
  <c r="K2428"/>
  <c r="AB1335"/>
  <c r="AC1335" s="1"/>
  <c r="P1974"/>
  <c r="P2673"/>
  <c r="R1402"/>
  <c r="P2031"/>
  <c r="R2031" s="1"/>
  <c r="P2027"/>
  <c r="R2027" s="1"/>
  <c r="P1862"/>
  <c r="R1862" s="1"/>
  <c r="X83"/>
  <c r="P1860"/>
  <c r="K506"/>
  <c r="I3367"/>
  <c r="K3367" s="1"/>
  <c r="V2604"/>
  <c r="Z2602" s="1"/>
  <c r="I3423"/>
  <c r="K3423" s="1"/>
  <c r="P1604"/>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2261" i="27"/>
  <c r="I2663"/>
  <c r="K2663" s="1"/>
  <c r="I142" i="11"/>
  <c r="I1083"/>
  <c r="K1083" s="1"/>
  <c r="K121"/>
  <c r="D624" i="25"/>
  <c r="F589"/>
  <c r="V3520" i="1"/>
  <c r="X3520" s="1"/>
  <c r="X3540"/>
  <c r="V3556"/>
  <c r="X1402"/>
  <c r="AB1400"/>
  <c r="V1419"/>
  <c r="X1419" s="1"/>
  <c r="V768"/>
  <c r="X768" s="1"/>
  <c r="AE369"/>
  <c r="AG369" s="1"/>
  <c r="X3138"/>
  <c r="P1144"/>
  <c r="P1175" s="1"/>
  <c r="R1175" s="1"/>
  <c r="K3991"/>
  <c r="V3541"/>
  <c r="P3545"/>
  <c r="R3545" s="1"/>
  <c r="K3541"/>
  <c r="X3161"/>
  <c r="D550" i="25"/>
  <c r="K2977" i="1"/>
  <c r="P2984"/>
  <c r="R2984" s="1"/>
  <c r="I3062"/>
  <c r="P1220"/>
  <c r="K1225"/>
  <c r="I3643"/>
  <c r="K1648"/>
  <c r="P1176"/>
  <c r="R1176" s="1"/>
  <c r="R1145"/>
  <c r="K1973"/>
  <c r="P1973"/>
  <c r="J695" i="55"/>
  <c r="F695"/>
  <c r="I3731" i="27"/>
  <c r="K3731" s="1"/>
  <c r="K3624"/>
  <c r="P3504"/>
  <c r="R3504" s="1"/>
  <c r="I3571"/>
  <c r="K3571" s="1"/>
  <c r="I3588"/>
  <c r="K3588" s="1"/>
  <c r="I3809"/>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I53"/>
  <c r="I2696"/>
  <c r="K2696" s="1"/>
  <c r="I2555" i="27"/>
  <c r="I2586" s="1"/>
  <c r="K2586" s="1"/>
  <c r="K3591"/>
  <c r="K3592" s="1"/>
  <c r="K3582" s="1"/>
  <c r="K437" i="11"/>
  <c r="K438" s="1"/>
  <c r="K430" s="1"/>
  <c r="V736" i="1"/>
  <c r="X736" s="1"/>
  <c r="K3987"/>
  <c r="I3061"/>
  <c r="P1432"/>
  <c r="R1415"/>
  <c r="V1408"/>
  <c r="I3076"/>
  <c r="K3076" s="1"/>
  <c r="P3064"/>
  <c r="R3064" s="1"/>
  <c r="I3056"/>
  <c r="K3181"/>
  <c r="K3168"/>
  <c r="K2145"/>
  <c r="P1335"/>
  <c r="R1335" s="1"/>
  <c r="V805"/>
  <c r="I1782"/>
  <c r="K1782" s="1"/>
  <c r="V884"/>
  <c r="X1370"/>
  <c r="I3323"/>
  <c r="R3263"/>
  <c r="X3135"/>
  <c r="V3160"/>
  <c r="V1395"/>
  <c r="X1378"/>
  <c r="AQ3105"/>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K1273"/>
  <c r="I3642"/>
  <c r="K1647"/>
  <c r="I2719"/>
  <c r="K2719" s="1"/>
  <c r="K2713"/>
  <c r="I3464"/>
  <c r="K3459"/>
  <c r="AE3539"/>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K508"/>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R1489" i="1"/>
  <c r="P1535"/>
  <c r="R1535" s="1"/>
  <c r="P3618" i="27"/>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339"/>
  <c r="AG339" s="1"/>
  <c r="X680"/>
  <c r="AE393"/>
  <c r="AE429" s="1"/>
  <c r="AG429" s="1"/>
  <c r="K1944"/>
  <c r="V316"/>
  <c r="AE316" s="1"/>
  <c r="AG316" s="1"/>
  <c r="K83"/>
  <c r="V735"/>
  <c r="X735" s="1"/>
  <c r="K1994"/>
  <c r="P197"/>
  <c r="I3463"/>
  <c r="P3469" s="1"/>
  <c r="R3469" s="1"/>
  <c r="P1178"/>
  <c r="R1178" s="1"/>
  <c r="AE2618"/>
  <c r="AG2618" s="1"/>
  <c r="AE392"/>
  <c r="P1893"/>
  <c r="P1114"/>
  <c r="C23" i="55"/>
  <c r="I3825" i="1"/>
  <c r="K3825" s="1"/>
  <c r="K1257"/>
  <c r="K1847"/>
  <c r="K2028"/>
  <c r="V554"/>
  <c r="X554" s="1"/>
  <c r="K197"/>
  <c r="D71" i="25"/>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AB1191"/>
  <c r="R3192"/>
  <c r="X338"/>
  <c r="R1552"/>
  <c r="P1541" s="1"/>
  <c r="R1541" s="1"/>
  <c r="AC25"/>
  <c r="C87" s="1"/>
  <c r="Z24"/>
  <c r="AC24" s="1"/>
  <c r="C86" s="1"/>
  <c r="Z26"/>
  <c r="W1148" i="55"/>
  <c r="X1148" s="1"/>
  <c r="W1154"/>
  <c r="X1154" s="1"/>
  <c r="W1158"/>
  <c r="X1158" s="1"/>
  <c r="W1156"/>
  <c r="X1156" s="1"/>
  <c r="AD1604"/>
  <c r="AD1620"/>
  <c r="W1162"/>
  <c r="W1147"/>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I530"/>
  <c r="AI554" s="1"/>
  <c r="AD530"/>
  <c r="AB554"/>
  <c r="K3565"/>
  <c r="P3568"/>
  <c r="R3568" s="1"/>
  <c r="X358"/>
  <c r="AE367"/>
  <c r="AG367" s="1"/>
  <c r="K1511"/>
  <c r="K1513" s="1"/>
  <c r="C350" i="55" s="1"/>
  <c r="Z310"/>
  <c r="AD310" s="1"/>
  <c r="D109" i="32"/>
  <c r="F109" s="1"/>
  <c r="I3182" i="1"/>
  <c r="K3056"/>
  <c r="V739"/>
  <c r="X739" s="1"/>
  <c r="I3832"/>
  <c r="K3832" s="1"/>
  <c r="X384"/>
  <c r="D51" i="32"/>
  <c r="R3294" i="1"/>
  <c r="P2375"/>
  <c r="R2375" s="1"/>
  <c r="I3170"/>
  <c r="P1219"/>
  <c r="P1218"/>
  <c r="I3171"/>
  <c r="V1288"/>
  <c r="X1288" s="1"/>
  <c r="K1254"/>
  <c r="P1321"/>
  <c r="X3670"/>
  <c r="R382"/>
  <c r="R384" s="1"/>
  <c r="C1501" i="55" s="1"/>
  <c r="V3555" i="1"/>
  <c r="K3465"/>
  <c r="X530"/>
  <c r="P2009"/>
  <c r="K358"/>
  <c r="P126"/>
  <c r="R126" s="1"/>
  <c r="AE3664"/>
  <c r="AG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K3368"/>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P23" i="55"/>
  <c r="K3346" i="1"/>
  <c r="K3348" s="1"/>
  <c r="C727" i="55" s="1"/>
  <c r="P167" i="1"/>
  <c r="R167" s="1"/>
  <c r="I2336"/>
  <c r="K2336" s="1"/>
  <c r="K2337" s="1"/>
  <c r="K2338" s="1"/>
  <c r="I2342" s="1"/>
  <c r="K2342" s="1"/>
  <c r="AS90"/>
  <c r="X23" i="55"/>
  <c r="K1524" i="1"/>
  <c r="K1526" s="1"/>
  <c r="C669" i="55" s="1"/>
  <c r="L2759" i="1"/>
  <c r="K2793" s="1"/>
  <c r="I3547"/>
  <c r="I3109"/>
  <c r="C353" i="55"/>
  <c r="N353" s="1"/>
  <c r="AK530" i="1"/>
  <c r="R2379"/>
  <c r="R2381" s="1"/>
  <c r="K3708"/>
  <c r="K3709" s="1"/>
  <c r="K3799"/>
  <c r="I3789" s="1"/>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I379"/>
  <c r="I335"/>
  <c r="K335" s="1"/>
  <c r="I311"/>
  <c r="I410"/>
  <c r="K410" s="1"/>
  <c r="I355"/>
  <c r="K355" s="1"/>
  <c r="Z29"/>
  <c r="X19"/>
  <c r="X20" s="1"/>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R412"/>
  <c r="R413" s="1"/>
  <c r="C1503" i="55"/>
  <c r="K534" i="11"/>
  <c r="I1573" i="1"/>
  <c r="K1573" s="1"/>
  <c r="K1580" s="1"/>
  <c r="K1582"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K3370" s="1"/>
  <c r="K3371" s="1"/>
  <c r="C1515" i="55" s="1"/>
  <c r="I3353" i="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F85" i="71" l="1"/>
  <c r="F86"/>
  <c r="K3267" i="27"/>
  <c r="I3280"/>
  <c r="P2892"/>
  <c r="R2892" s="1"/>
  <c r="K390" i="11"/>
  <c r="K2276" i="1" s="1"/>
  <c r="C431" i="55" s="1"/>
  <c r="R431" s="1"/>
  <c r="Z937"/>
  <c r="AD937" s="1"/>
  <c r="K3831" i="27"/>
  <c r="R2302" i="1"/>
  <c r="R2304" s="1"/>
  <c r="F88" i="50"/>
  <c r="AR401" i="1"/>
  <c r="AR402" s="1"/>
  <c r="AR403" s="1"/>
  <c r="AR404" s="1"/>
  <c r="AR405" s="1"/>
  <c r="AR406" s="1"/>
  <c r="X406" i="55"/>
  <c r="F406"/>
  <c r="H406"/>
  <c r="J406"/>
  <c r="Z406"/>
  <c r="AD406" s="1"/>
  <c r="L406"/>
  <c r="K3149" i="1"/>
  <c r="P3156"/>
  <c r="R3156" s="1"/>
  <c r="P1067"/>
  <c r="R1067" s="1"/>
  <c r="P1049"/>
  <c r="R1049" s="1"/>
  <c r="L82"/>
  <c r="K82"/>
  <c r="K81"/>
  <c r="K86" s="1"/>
  <c r="K88" s="1"/>
  <c r="K3660"/>
  <c r="R1969"/>
  <c r="P1970"/>
  <c r="I96"/>
  <c r="R1970"/>
  <c r="K1179"/>
  <c r="K1183" s="1"/>
  <c r="K1185" s="1"/>
  <c r="C306" i="55" s="1"/>
  <c r="AS3105" i="1"/>
  <c r="AS3109" s="1"/>
  <c r="R1972"/>
  <c r="K1943"/>
  <c r="I3564"/>
  <c r="K2714"/>
  <c r="X712"/>
  <c r="Z712" s="1"/>
  <c r="D48" i="32"/>
  <c r="K2385" i="1"/>
  <c r="K2715"/>
  <c r="K2716" s="1"/>
  <c r="C670" i="55" s="1"/>
  <c r="P670" s="1"/>
  <c r="P861" i="1"/>
  <c r="R861" s="1"/>
  <c r="I3929"/>
  <c r="R1974"/>
  <c r="K2996"/>
  <c r="I2901"/>
  <c r="K2901" s="1"/>
  <c r="K507"/>
  <c r="AK554"/>
  <c r="K2349"/>
  <c r="K2351" s="1"/>
  <c r="K2352" s="1"/>
  <c r="K2353" s="1"/>
  <c r="C819" i="55" s="1"/>
  <c r="I3578" i="1"/>
  <c r="P1177"/>
  <c r="R1177" s="1"/>
  <c r="R1146"/>
  <c r="K2399"/>
  <c r="I2411"/>
  <c r="K2411" s="1"/>
  <c r="V819"/>
  <c r="X819" s="1"/>
  <c r="R1973"/>
  <c r="R1994"/>
  <c r="AD645"/>
  <c r="AF645" s="1"/>
  <c r="AE427"/>
  <c r="AG427" s="1"/>
  <c r="K1491"/>
  <c r="K1496" s="1"/>
  <c r="K1498" s="1"/>
  <c r="C348" i="55" s="1"/>
  <c r="F348" s="1"/>
  <c r="K810" i="1"/>
  <c r="K1353"/>
  <c r="H441" i="55"/>
  <c r="I3640" i="1"/>
  <c r="K3640" s="1"/>
  <c r="R1144"/>
  <c r="K2425"/>
  <c r="K808"/>
  <c r="I1255"/>
  <c r="I35"/>
  <c r="K1561"/>
  <c r="K1567" s="1"/>
  <c r="C455" i="55" s="1"/>
  <c r="H455" s="1"/>
  <c r="H840"/>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I3482"/>
  <c r="K3482" s="1"/>
  <c r="I2572"/>
  <c r="K2537"/>
  <c r="R352" i="55"/>
  <c r="L352"/>
  <c r="V352"/>
  <c r="H352"/>
  <c r="N352"/>
  <c r="Z352"/>
  <c r="AD352" s="1"/>
  <c r="J352"/>
  <c r="X352"/>
  <c r="T352"/>
  <c r="P352"/>
  <c r="F352"/>
  <c r="R2852" i="27"/>
  <c r="P2885"/>
  <c r="R2885" s="1"/>
  <c r="K3810"/>
  <c r="R2514" i="1"/>
  <c r="D410" i="64"/>
  <c r="F287"/>
  <c r="K3530" i="1"/>
  <c r="I3546"/>
  <c r="P3534"/>
  <c r="R3534" s="1"/>
  <c r="K959" i="11"/>
  <c r="AD554" i="1"/>
  <c r="R541" i="27"/>
  <c r="R543" s="1"/>
  <c r="K3912"/>
  <c r="R1633" i="1"/>
  <c r="K3642"/>
  <c r="K53"/>
  <c r="K3643"/>
  <c r="I3996"/>
  <c r="R1071"/>
  <c r="K44"/>
  <c r="K446" i="11"/>
  <c r="R1993" i="1"/>
  <c r="I3049" i="27"/>
  <c r="K2931"/>
  <c r="I2951"/>
  <c r="K3247"/>
  <c r="K3250" s="1"/>
  <c r="K3251" s="1"/>
  <c r="K3243" s="1"/>
  <c r="K3244" s="1"/>
  <c r="I3265"/>
  <c r="R3404" i="1"/>
  <c r="P3448"/>
  <c r="K223" i="11"/>
  <c r="I1069"/>
  <c r="K1069" s="1"/>
  <c r="I3402" i="27"/>
  <c r="K3368"/>
  <c r="I3363" s="1"/>
  <c r="K3363" s="1"/>
  <c r="D655" i="25"/>
  <c r="F619"/>
  <c r="AE3559" i="1"/>
  <c r="AG3543"/>
  <c r="Z13" i="27"/>
  <c r="Z36"/>
  <c r="AC36" s="1"/>
  <c r="I242" s="1"/>
  <c r="K242" s="1"/>
  <c r="K488" i="11"/>
  <c r="K1524" i="27"/>
  <c r="K1526" s="1"/>
  <c r="K3909"/>
  <c r="K142" i="11"/>
  <c r="R1604" i="1"/>
  <c r="K27"/>
  <c r="R1073"/>
  <c r="K72"/>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AQ393"/>
  <c r="AS393" s="1"/>
  <c r="X314"/>
  <c r="AS110"/>
  <c r="F727" i="55"/>
  <c r="AE314" i="1"/>
  <c r="AG314" s="1"/>
  <c r="AQ3114"/>
  <c r="AQ3115" s="1"/>
  <c r="AQ3116" s="1"/>
  <c r="C851" i="55" s="1"/>
  <c r="AR3114" i="1"/>
  <c r="AR3115" s="1"/>
  <c r="AR3116" s="1"/>
  <c r="C852" i="55" s="1"/>
  <c r="L441"/>
  <c r="P2857" i="1"/>
  <c r="R2857" s="1"/>
  <c r="Z441" i="55"/>
  <c r="AD441" s="1"/>
  <c r="N441"/>
  <c r="C732"/>
  <c r="F732" s="1"/>
  <c r="X441"/>
  <c r="R3124" i="1"/>
  <c r="T441" i="55"/>
  <c r="P441"/>
  <c r="V2785" i="1"/>
  <c r="X2785" s="1"/>
  <c r="J441" i="55"/>
  <c r="F441"/>
  <c r="V441"/>
  <c r="AE2789" i="1"/>
  <c r="AG2789" s="1"/>
  <c r="AG3541"/>
  <c r="AE3557"/>
  <c r="Q13" i="4"/>
  <c r="Z43" i="1" s="1"/>
  <c r="AC43" s="1"/>
  <c r="P150" s="1"/>
  <c r="R150" s="1"/>
  <c r="R154" s="1"/>
  <c r="C560" i="55" s="1"/>
  <c r="V560" s="1"/>
  <c r="I154" i="11"/>
  <c r="I1086"/>
  <c r="K1086" s="1"/>
  <c r="K124"/>
  <c r="AG3561" i="1"/>
  <c r="V3624"/>
  <c r="I224" i="11"/>
  <c r="K224" s="1"/>
  <c r="K106"/>
  <c r="P1221" i="1"/>
  <c r="K1226"/>
  <c r="K1009" i="11"/>
  <c r="K1074"/>
  <c r="P1483" i="55"/>
  <c r="J1483"/>
  <c r="K2973" i="1"/>
  <c r="I3058"/>
  <c r="P2980"/>
  <c r="R2980" s="1"/>
  <c r="P1100"/>
  <c r="R1074"/>
  <c r="AB1410"/>
  <c r="X1412"/>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X886"/>
  <c r="I3491"/>
  <c r="K3491" s="1"/>
  <c r="J670" i="55"/>
  <c r="V23"/>
  <c r="T23"/>
  <c r="P1452" i="1"/>
  <c r="R1452" s="1"/>
  <c r="J23" i="55"/>
  <c r="Z23"/>
  <c r="AD23" s="1"/>
  <c r="R1419" i="1"/>
  <c r="V1380"/>
  <c r="V1397" s="1"/>
  <c r="R1860"/>
  <c r="P1891"/>
  <c r="R1891" s="1"/>
  <c r="K2817"/>
  <c r="AG393"/>
  <c r="R444"/>
  <c r="R446" s="1"/>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3659" s="1"/>
  <c r="V1302"/>
  <c r="X1302" s="1"/>
  <c r="I3681"/>
  <c r="K3681" s="1"/>
  <c r="K3695" s="1"/>
  <c r="K3697" s="1"/>
  <c r="C862" i="55" s="1"/>
  <c r="Z862" s="1"/>
  <c r="AD862" s="1"/>
  <c r="K3675" i="1"/>
  <c r="K3677" s="1"/>
  <c r="C861" i="55" s="1"/>
  <c r="T861" s="1"/>
  <c r="R129" i="1"/>
  <c r="P413"/>
  <c r="R413" s="1"/>
  <c r="R1637"/>
  <c r="T1640" s="1"/>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D1359"/>
  <c r="AB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K516" s="1"/>
  <c r="K517" s="1"/>
  <c r="R381" i="27"/>
  <c r="R383" s="1"/>
  <c r="P412" s="1"/>
  <c r="R412" s="1"/>
  <c r="K1442"/>
  <c r="K1444" s="1"/>
  <c r="K1984"/>
  <c r="K1986" s="1"/>
  <c r="X716" i="55"/>
  <c r="Z407"/>
  <c r="AD407" s="1"/>
  <c r="C351"/>
  <c r="R351"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C354" i="55"/>
  <c r="I3490" i="1"/>
  <c r="K3490" s="1"/>
  <c r="Z35"/>
  <c r="AC35" s="1"/>
  <c r="I254" s="1"/>
  <c r="K254" s="1"/>
  <c r="Z36"/>
  <c r="AC36" s="1"/>
  <c r="I243" s="1"/>
  <c r="K243" s="1"/>
  <c r="Z37"/>
  <c r="AC37" s="1"/>
  <c r="I242" s="1"/>
  <c r="K242" s="1"/>
  <c r="Z44"/>
  <c r="AC44" s="1"/>
  <c r="AB1331" s="1"/>
  <c r="AC1331" s="1"/>
  <c r="Z12"/>
  <c r="AC12" s="1"/>
  <c r="AC11"/>
  <c r="V642" s="1"/>
  <c r="C270" i="55"/>
  <c r="J270" s="1"/>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P431"/>
  <c r="J431"/>
  <c r="I3934" i="27"/>
  <c r="K3934" s="1"/>
  <c r="K1113" i="11"/>
  <c r="K111"/>
  <c r="K229" s="1"/>
  <c r="K245" s="1"/>
  <c r="K271" s="1"/>
  <c r="R244" s="1"/>
  <c r="AG244" s="1"/>
  <c r="K144"/>
  <c r="K26"/>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V3707" i="1"/>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T898"/>
  <c r="F45" i="25"/>
  <c r="F46" s="1"/>
  <c r="C393" i="55"/>
  <c r="P393" s="1"/>
  <c r="P898"/>
  <c r="N348"/>
  <c r="J348"/>
  <c r="F353"/>
  <c r="X353"/>
  <c r="R353"/>
  <c r="Z353"/>
  <c r="AD353" s="1"/>
  <c r="N897"/>
  <c r="F897"/>
  <c r="R348"/>
  <c r="V348"/>
  <c r="P897"/>
  <c r="L897"/>
  <c r="L348"/>
  <c r="X897"/>
  <c r="J897"/>
  <c r="H724"/>
  <c r="T724"/>
  <c r="V198" i="1"/>
  <c r="X198" s="1"/>
  <c r="R198"/>
  <c r="P140"/>
  <c r="C141"/>
  <c r="I3004"/>
  <c r="K3004" s="1"/>
  <c r="K3006" s="1"/>
  <c r="I244"/>
  <c r="K244" s="1"/>
  <c r="C35"/>
  <c r="P3551"/>
  <c r="R3551" s="1"/>
  <c r="AE3547"/>
  <c r="AE3563" s="1"/>
  <c r="V3547"/>
  <c r="K3109"/>
  <c r="P2083"/>
  <c r="R2083" s="1"/>
  <c r="R405"/>
  <c r="R407" s="1"/>
  <c r="H353" i="55"/>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N270" i="55"/>
  <c r="T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V15"/>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U110"/>
  <c r="AV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I1357"/>
  <c r="I1201"/>
  <c r="I1454"/>
  <c r="K1454" s="1"/>
  <c r="I1393"/>
  <c r="I865"/>
  <c r="I527"/>
  <c r="K527" s="1"/>
  <c r="P522"/>
  <c r="R522" s="1"/>
  <c r="R529" s="1"/>
  <c r="R531" s="1"/>
  <c r="I381"/>
  <c r="I2130"/>
  <c r="K2130" s="1"/>
  <c r="I1845"/>
  <c r="I2384"/>
  <c r="I1419"/>
  <c r="I1222"/>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J851"/>
  <c r="X851"/>
  <c r="F851"/>
  <c r="R851"/>
  <c r="N851"/>
  <c r="L851"/>
  <c r="H851"/>
  <c r="P851"/>
  <c r="V851"/>
  <c r="Z851"/>
  <c r="AD851" s="1"/>
  <c r="T851"/>
  <c r="Z351"/>
  <c r="AD351" s="1"/>
  <c r="F351"/>
  <c r="P351"/>
  <c r="H351"/>
  <c r="J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F87" i="71" l="1"/>
  <c r="E88" s="1"/>
  <c r="K3280" i="27"/>
  <c r="I3298"/>
  <c r="K3408"/>
  <c r="K3409" s="1"/>
  <c r="K3398" s="1"/>
  <c r="K3041"/>
  <c r="K3688"/>
  <c r="X270" i="55"/>
  <c r="F270"/>
  <c r="R270"/>
  <c r="C6"/>
  <c r="P595" i="1"/>
  <c r="R595" s="1"/>
  <c r="P608"/>
  <c r="R608" s="1"/>
  <c r="K90"/>
  <c r="K89"/>
  <c r="C18" i="55"/>
  <c r="F18" s="1"/>
  <c r="K96" i="1"/>
  <c r="K99" s="1"/>
  <c r="K101" s="1"/>
  <c r="M96"/>
  <c r="M97" s="1"/>
  <c r="K3564"/>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K89" i="11"/>
  <c r="L90" s="1"/>
  <c r="L91" s="1"/>
  <c r="K35" i="1"/>
  <c r="V1284"/>
  <c r="X1284" s="1"/>
  <c r="K1255"/>
  <c r="J455" i="55"/>
  <c r="N455"/>
  <c r="F455"/>
  <c r="L455"/>
  <c r="R455"/>
  <c r="P455"/>
  <c r="X455"/>
  <c r="Z455"/>
  <c r="AD455" s="1"/>
  <c r="V455"/>
  <c r="T455"/>
  <c r="K1201" i="1"/>
  <c r="R1602"/>
  <c r="R1607" s="1"/>
  <c r="R1609" s="1"/>
  <c r="H354" i="55"/>
  <c r="K3227" i="1"/>
  <c r="K154" i="11"/>
  <c r="K2937" i="27"/>
  <c r="I3055"/>
  <c r="K3055" s="1"/>
  <c r="L446" i="11"/>
  <c r="K2277" i="1"/>
  <c r="C432" i="55" s="1"/>
  <c r="AE3546" i="1"/>
  <c r="K3546"/>
  <c r="P3550"/>
  <c r="R3550" s="1"/>
  <c r="V3546"/>
  <c r="K3891" i="27"/>
  <c r="K1357" i="1"/>
  <c r="K1880"/>
  <c r="K1882" s="1"/>
  <c r="C376" i="55" s="1"/>
  <c r="K2689" i="1"/>
  <c r="K2690" s="1"/>
  <c r="C717" i="55" s="1"/>
  <c r="K3354" i="1"/>
  <c r="K3357" s="1"/>
  <c r="K3358" s="1"/>
  <c r="C1514" i="55"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L6" i="55"/>
  <c r="AG3559" i="1"/>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F6"/>
  <c r="J861"/>
  <c r="R861"/>
  <c r="L862"/>
  <c r="V898"/>
  <c r="H898"/>
  <c r="H861"/>
  <c r="P861"/>
  <c r="T560"/>
  <c r="J560"/>
  <c r="F560"/>
  <c r="P1498" i="1"/>
  <c r="R1467"/>
  <c r="V678"/>
  <c r="D44" i="32"/>
  <c r="X708" i="1"/>
  <c r="Z708" s="1"/>
  <c r="AD1410"/>
  <c r="AB1427"/>
  <c r="AD1427" s="1"/>
  <c r="AB3624"/>
  <c r="AD3624" s="1"/>
  <c r="X3624"/>
  <c r="P1499"/>
  <c r="R1468"/>
  <c r="X3590"/>
  <c r="V3607"/>
  <c r="X3607" s="1"/>
  <c r="P1121"/>
  <c r="R1100"/>
  <c r="K3057" i="27"/>
  <c r="I3892"/>
  <c r="Z42" i="1"/>
  <c r="AC42" s="1"/>
  <c r="Z45"/>
  <c r="AC45" s="1"/>
  <c r="AC41"/>
  <c r="K990" i="11"/>
  <c r="K1093"/>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T1514" i="55"/>
  <c r="R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I3073"/>
  <c r="K3050"/>
  <c r="J1505" i="55"/>
  <c r="N1505"/>
  <c r="F1505"/>
  <c r="L1505"/>
  <c r="P1505"/>
  <c r="X1505"/>
  <c r="H1505"/>
  <c r="Z1505"/>
  <c r="AD1505" s="1"/>
  <c r="R1505"/>
  <c r="T1505"/>
  <c r="V150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AD1376" i="1"/>
  <c r="AB1393"/>
  <c r="AD1393" s="1"/>
  <c r="P2857" i="27"/>
  <c r="K2853"/>
  <c r="K2859" s="1"/>
  <c r="L2861" s="1"/>
  <c r="I3004"/>
  <c r="K3004" s="1"/>
  <c r="K3010" s="1"/>
  <c r="I2916"/>
  <c r="P1540" i="1"/>
  <c r="R1540" s="1"/>
  <c r="K3995"/>
  <c r="AS67"/>
  <c r="AQ91"/>
  <c r="X1404"/>
  <c r="AB1402"/>
  <c r="I3990"/>
  <c r="K3990" s="1"/>
  <c r="K3989"/>
  <c r="K3998" s="1"/>
  <c r="K3999" s="1"/>
  <c r="K595" i="11"/>
  <c r="I616"/>
  <c r="AB1409" i="1"/>
  <c r="X1411"/>
  <c r="I1309" i="27"/>
  <c r="K1309" s="1"/>
  <c r="I1287"/>
  <c r="K1287" s="1"/>
  <c r="L181" i="11"/>
  <c r="L182" s="1"/>
  <c r="K187"/>
  <c r="K191" s="1"/>
  <c r="K192" s="1"/>
  <c r="C1461" i="55" s="1"/>
  <c r="Z1461" s="1"/>
  <c r="AD1461" s="1"/>
  <c r="K180" i="11"/>
  <c r="C1460" i="55" s="1"/>
  <c r="Z1460" s="1"/>
  <c r="AD1460" s="1"/>
  <c r="M180" i="11"/>
  <c r="K843"/>
  <c r="K817"/>
  <c r="K786"/>
  <c r="K463"/>
  <c r="L464"/>
  <c r="H394" i="55"/>
  <c r="L394"/>
  <c r="R394"/>
  <c r="X394"/>
  <c r="P394"/>
  <c r="F394"/>
  <c r="J394"/>
  <c r="N394"/>
  <c r="V394"/>
  <c r="Z394"/>
  <c r="AD394" s="1"/>
  <c r="T394"/>
  <c r="K2508" i="1"/>
  <c r="K2512" s="1"/>
  <c r="K2515" s="1"/>
  <c r="C1420" i="55" s="1"/>
  <c r="P2515" i="1"/>
  <c r="R2515" s="1"/>
  <c r="R2519" s="1"/>
  <c r="R2521" s="1"/>
  <c r="C842" i="55" s="1"/>
  <c r="AD1351" i="1"/>
  <c r="AB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P430"/>
  <c r="L430"/>
  <c r="F430"/>
  <c r="X430"/>
  <c r="C70" i="1"/>
  <c r="I1303" s="1"/>
  <c r="K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R2578" s="1"/>
  <c r="R2580" s="1"/>
  <c r="C1421" i="55" s="1"/>
  <c r="I2608" i="1"/>
  <c r="K2573"/>
  <c r="K2577" s="1"/>
  <c r="K2580" s="1"/>
  <c r="K210" i="11"/>
  <c r="K212" s="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Z17"/>
  <c r="AC17" s="1"/>
  <c r="AC16"/>
  <c r="AC46"/>
  <c r="Z47"/>
  <c r="AC47" s="1"/>
  <c r="AD642"/>
  <c r="AF642" s="1"/>
  <c r="X642"/>
  <c r="I1644"/>
  <c r="K1644" s="1"/>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B1370" i="1"/>
  <c r="AD1353"/>
  <c r="AD1363" s="1"/>
  <c r="C316" i="55" s="1"/>
  <c r="K337" i="1"/>
  <c r="V337"/>
  <c r="V381"/>
  <c r="K381"/>
  <c r="K865"/>
  <c r="P858"/>
  <c r="R858" s="1"/>
  <c r="I3305"/>
  <c r="K3305" s="1"/>
  <c r="I3926"/>
  <c r="V865"/>
  <c r="X865" s="1"/>
  <c r="V395"/>
  <c r="K395"/>
  <c r="P2008"/>
  <c r="K2007"/>
  <c r="K2015" s="1"/>
  <c r="C389" i="55" s="1"/>
  <c r="AB478" i="1"/>
  <c r="AD478" s="1"/>
  <c r="X478"/>
  <c r="K1945"/>
  <c r="K1948" s="1"/>
  <c r="C379" i="55" s="1"/>
  <c r="I3566" i="1"/>
  <c r="N271" i="55"/>
  <c r="Z271"/>
  <c r="AD271" s="1"/>
  <c r="R271"/>
  <c r="L271"/>
  <c r="H271"/>
  <c r="T271"/>
  <c r="F271"/>
  <c r="P271"/>
  <c r="V271"/>
  <c r="X271"/>
  <c r="J271"/>
  <c r="F416" i="64"/>
  <c r="F420" s="1"/>
  <c r="D541"/>
  <c r="AD1375" i="1"/>
  <c r="AB1392"/>
  <c r="AD1392" s="1"/>
  <c r="P2981"/>
  <c r="R2981" s="1"/>
  <c r="R2986" s="1"/>
  <c r="R2988" s="1"/>
  <c r="C1451" i="55" s="1"/>
  <c r="Z1451" s="1"/>
  <c r="AD1451" s="1"/>
  <c r="K2974" i="1"/>
  <c r="K2979" s="1"/>
  <c r="K2981" s="1"/>
  <c r="C616" i="55" s="1"/>
  <c r="I3059" i="1"/>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U166"/>
  <c r="AV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K2150"/>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L192"/>
  <c r="K3427" i="27"/>
  <c r="K3428" s="1"/>
  <c r="K3417" s="1"/>
  <c r="L3417" s="1"/>
  <c r="R3075"/>
  <c r="K635" i="11"/>
  <c r="L548"/>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2879" i="27"/>
  <c r="K3836"/>
  <c r="K3815"/>
  <c r="L3815" s="1"/>
  <c r="K3689"/>
  <c r="K3692" s="1"/>
  <c r="K3695" s="1"/>
  <c r="L3690"/>
  <c r="L3398"/>
  <c r="L3502"/>
  <c r="K3501"/>
  <c r="I3888"/>
  <c r="K3052"/>
  <c r="L2862" l="1"/>
  <c r="M89" i="11"/>
  <c r="K2860" i="27"/>
  <c r="K90" i="11"/>
  <c r="C690" i="55" s="1"/>
  <c r="K596" i="11"/>
  <c r="K597" s="1"/>
  <c r="K586" s="1"/>
  <c r="L586" s="1"/>
  <c r="M586" s="1"/>
  <c r="N586" s="1"/>
  <c r="O586" s="1"/>
  <c r="H430" i="55"/>
  <c r="R430"/>
  <c r="Z430"/>
  <c r="AD430" s="1"/>
  <c r="M463" i="11"/>
  <c r="J430" i="55"/>
  <c r="V430"/>
  <c r="I3323" i="27"/>
  <c r="K3323" s="1"/>
  <c r="K3298"/>
  <c r="C894" i="55"/>
  <c r="Z894" s="1"/>
  <c r="AD894" s="1"/>
  <c r="J1514"/>
  <c r="N1514"/>
  <c r="H1514"/>
  <c r="F1514"/>
  <c r="C7"/>
  <c r="L89" i="1"/>
  <c r="M89" s="1"/>
  <c r="N18" i="55"/>
  <c r="J18"/>
  <c r="R18"/>
  <c r="I1767" i="1"/>
  <c r="K1767" s="1"/>
  <c r="K1775" s="1"/>
  <c r="C371" i="55" s="1"/>
  <c r="P2344" i="1"/>
  <c r="R2344" s="1"/>
  <c r="C9" i="55"/>
  <c r="K91" i="1"/>
  <c r="C10" i="55" s="1"/>
  <c r="X18"/>
  <c r="V6"/>
  <c r="H6"/>
  <c r="P6"/>
  <c r="Z6"/>
  <c r="AD6" s="1"/>
  <c r="J6"/>
  <c r="X6"/>
  <c r="T6"/>
  <c r="R6"/>
  <c r="N6"/>
  <c r="F562"/>
  <c r="C12"/>
  <c r="K102" i="1"/>
  <c r="C13" i="55" s="1"/>
  <c r="K104" i="1"/>
  <c r="P1514" i="55"/>
  <c r="V1514"/>
  <c r="Z1514"/>
  <c r="AD1514" s="1"/>
  <c r="L1514"/>
  <c r="X1514"/>
  <c r="I3963" i="1"/>
  <c r="K3947"/>
  <c r="K2386"/>
  <c r="K3592"/>
  <c r="I3593" s="1"/>
  <c r="K3593" s="1"/>
  <c r="I3594" s="1"/>
  <c r="N1460" i="55"/>
  <c r="R1460"/>
  <c r="T1460"/>
  <c r="L1460"/>
  <c r="V1460"/>
  <c r="H1460"/>
  <c r="P1460"/>
  <c r="F1460"/>
  <c r="X1460"/>
  <c r="J1460"/>
  <c r="K3907" i="27"/>
  <c r="R2008" i="1"/>
  <c r="R2018" s="1"/>
  <c r="C871" i="55" s="1"/>
  <c r="V871" s="1"/>
  <c r="K3886" i="27"/>
  <c r="K3892"/>
  <c r="AB3622" i="1"/>
  <c r="AD3622" s="1"/>
  <c r="X3622"/>
  <c r="K2266"/>
  <c r="C421" i="55" s="1"/>
  <c r="C692"/>
  <c r="L146" i="11"/>
  <c r="C918" i="55"/>
  <c r="I3544" i="1"/>
  <c r="P3532"/>
  <c r="R3532" s="1"/>
  <c r="R3536" s="1"/>
  <c r="R3537" s="1"/>
  <c r="K3528"/>
  <c r="K3532" s="1"/>
  <c r="K3533" s="1"/>
  <c r="C813" i="55" s="1"/>
  <c r="AC14" i="27"/>
  <c r="Z15"/>
  <c r="AC15" s="1"/>
  <c r="AE3562" i="1"/>
  <c r="AG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B1456"/>
  <c r="AD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B1407"/>
  <c r="I3931" i="27"/>
  <c r="I3075"/>
  <c r="K3072"/>
  <c r="K3278"/>
  <c r="K3281" s="1"/>
  <c r="K3282" s="1"/>
  <c r="K3275" s="1"/>
  <c r="K3277" s="1"/>
  <c r="I3337"/>
  <c r="K3337" s="1"/>
  <c r="K3339" s="1"/>
  <c r="K3340" s="1"/>
  <c r="I3297"/>
  <c r="Z14" i="1"/>
  <c r="V890" i="55"/>
  <c r="F890"/>
  <c r="T890"/>
  <c r="L890"/>
  <c r="P890"/>
  <c r="I503" i="1"/>
  <c r="K503" s="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L1078"/>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13"/>
  <c r="V3604" i="1"/>
  <c r="X3604" s="1"/>
  <c r="X3587"/>
  <c r="F622" i="25"/>
  <c r="D658"/>
  <c r="W539" i="1"/>
  <c r="AC539" s="1"/>
  <c r="AJ539" s="1"/>
  <c r="J540"/>
  <c r="I1153" i="11"/>
  <c r="K1153" s="1"/>
  <c r="I1174"/>
  <c r="K1141"/>
  <c r="R50" i="55"/>
  <c r="X50"/>
  <c r="K213" i="11"/>
  <c r="C1462" i="55" s="1"/>
  <c r="Z1462" s="1"/>
  <c r="AD1462" s="1"/>
  <c r="L213" i="1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P787"/>
  <c r="AD1368" i="1"/>
  <c r="AB1385"/>
  <c r="AD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K2264"/>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D42" i="32" s="1"/>
  <c r="C337" i="55"/>
  <c r="T337" s="1"/>
  <c r="I255" i="1"/>
  <c r="K255" s="1"/>
  <c r="K259" s="1"/>
  <c r="K261" s="1"/>
  <c r="C51" i="55" s="1"/>
  <c r="C79" i="1"/>
  <c r="I36"/>
  <c r="C78"/>
  <c r="I3504"/>
  <c r="R1142"/>
  <c r="P1173"/>
  <c r="R1173" s="1"/>
  <c r="X771"/>
  <c r="X801"/>
  <c r="V816"/>
  <c r="X816" s="1"/>
  <c r="Z15"/>
  <c r="AC14"/>
  <c r="I2897"/>
  <c r="K2897" s="1"/>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P871"/>
  <c r="AE337" i="1"/>
  <c r="AG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AD1380" s="1"/>
  <c r="C314" i="55" s="1"/>
  <c r="Z728"/>
  <c r="AD728" s="1"/>
  <c r="J728"/>
  <c r="H728"/>
  <c r="P728"/>
  <c r="L728"/>
  <c r="V728"/>
  <c r="T728"/>
  <c r="R728"/>
  <c r="X728"/>
  <c r="F728"/>
  <c r="N728"/>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K2184"/>
  <c r="C881" i="55"/>
  <c r="Z881" s="1"/>
  <c r="AD881" s="1"/>
  <c r="X690" l="1"/>
  <c r="L690"/>
  <c r="F690"/>
  <c r="V690"/>
  <c r="H1462"/>
  <c r="C1497"/>
  <c r="X1497" s="1"/>
  <c r="N894"/>
  <c r="V894"/>
  <c r="X894"/>
  <c r="P894"/>
  <c r="F894"/>
  <c r="N9"/>
  <c r="Z9"/>
  <c r="AD9" s="1"/>
  <c r="J9"/>
  <c r="H9"/>
  <c r="L9"/>
  <c r="R9"/>
  <c r="P9"/>
  <c r="X9"/>
  <c r="V9"/>
  <c r="F9"/>
  <c r="T9"/>
  <c r="F10"/>
  <c r="Z10"/>
  <c r="AD10" s="1"/>
  <c r="V10"/>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1091" i="11"/>
  <c r="K1095" s="1"/>
  <c r="K1096"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E3544" i="1"/>
  <c r="P3548"/>
  <c r="R3548" s="1"/>
  <c r="R3552" s="1"/>
  <c r="R3553" s="1"/>
  <c r="V3544"/>
  <c r="P421" i="55"/>
  <c r="X421"/>
  <c r="H421"/>
  <c r="J421"/>
  <c r="R421"/>
  <c r="T421"/>
  <c r="F421"/>
  <c r="N421"/>
  <c r="L421"/>
  <c r="Z421"/>
  <c r="AD421" s="1"/>
  <c r="V421"/>
  <c r="Z871"/>
  <c r="AD871" s="1"/>
  <c r="K3226" i="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B1424" i="1"/>
  <c r="AD1424" s="1"/>
  <c r="AD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G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Z363" i="55"/>
  <c r="AD363" s="1"/>
  <c r="J363"/>
  <c r="N363"/>
  <c r="Z690"/>
  <c r="AD690" s="1"/>
  <c r="J690"/>
  <c r="P690"/>
  <c r="N1462"/>
  <c r="X1462"/>
  <c r="J541" i="1"/>
  <c r="W540"/>
  <c r="AC540" s="1"/>
  <c r="AJ540" s="1"/>
  <c r="L3045" i="27"/>
  <c r="K3044"/>
  <c r="W489" i="1"/>
  <c r="AC489" s="1"/>
  <c r="J665"/>
  <c r="R1497" i="55"/>
  <c r="H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B3621"/>
  <c r="AD3621" s="1"/>
  <c r="D590" i="25"/>
  <c r="F553"/>
  <c r="J3853" i="1"/>
  <c r="J3857" s="1"/>
  <c r="J3859" s="1"/>
  <c r="H3874"/>
  <c r="Z929" i="55"/>
  <c r="AD929" s="1"/>
  <c r="H929"/>
  <c r="V929"/>
  <c r="J929"/>
  <c r="F929"/>
  <c r="R929"/>
  <c r="X929"/>
  <c r="L929"/>
  <c r="P929"/>
  <c r="T929"/>
  <c r="N929"/>
  <c r="W805" i="11"/>
  <c r="R805"/>
  <c r="R807" s="1"/>
  <c r="K52"/>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Z691" s="1"/>
  <c r="AD691" s="1"/>
  <c r="K2265" i="1"/>
  <c r="C420" i="55" s="1"/>
  <c r="P2822" i="1"/>
  <c r="K2815"/>
  <c r="K2825" s="1"/>
  <c r="K2827" s="1"/>
  <c r="C619"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K36"/>
  <c r="K40" s="1"/>
  <c r="I45"/>
  <c r="I19"/>
  <c r="I2148"/>
  <c r="I272"/>
  <c r="K272" s="1"/>
  <c r="I54"/>
  <c r="I1753"/>
  <c r="K1753" s="1"/>
  <c r="K1760" s="1"/>
  <c r="K1762" s="1"/>
  <c r="C370" i="55" s="1"/>
  <c r="I505" i="1"/>
  <c r="I73"/>
  <c r="I2128"/>
  <c r="K2128" s="1"/>
  <c r="K2136" s="1"/>
  <c r="K2138" s="1"/>
  <c r="C403" i="55" s="1"/>
  <c r="I809" i="1"/>
  <c r="P10"/>
  <c r="R10" s="1"/>
  <c r="R14" s="1"/>
  <c r="I10"/>
  <c r="P1143"/>
  <c r="I28"/>
  <c r="I64"/>
  <c r="F42" i="32"/>
  <c r="H42" s="1"/>
  <c r="D105"/>
  <c r="F105" s="1"/>
  <c r="V800" i="1"/>
  <c r="C73"/>
  <c r="V705"/>
  <c r="I175"/>
  <c r="K175" s="1"/>
  <c r="K179" s="1"/>
  <c r="C44" i="55" s="1"/>
  <c r="V762" i="1"/>
  <c r="X762"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X317" i="55"/>
  <c r="T1454"/>
  <c r="L1454"/>
  <c r="P1454"/>
  <c r="V1454"/>
  <c r="H1454"/>
  <c r="X1454"/>
  <c r="N1454"/>
  <c r="F1454"/>
  <c r="J1454"/>
  <c r="R1454"/>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I612"/>
  <c r="P691" i="55"/>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Z1497" l="1"/>
  <c r="AD1497" s="1"/>
  <c r="N1497"/>
  <c r="T1497"/>
  <c r="T691"/>
  <c r="J691"/>
  <c r="N691"/>
  <c r="V1497"/>
  <c r="F1497"/>
  <c r="L1497"/>
  <c r="V691"/>
  <c r="P1497"/>
  <c r="R26"/>
  <c r="P26"/>
  <c r="X26"/>
  <c r="Z26"/>
  <c r="AD26" s="1"/>
  <c r="T26"/>
  <c r="V26"/>
  <c r="N26"/>
  <c r="F26"/>
  <c r="L26"/>
  <c r="H26"/>
  <c r="J26"/>
  <c r="L27"/>
  <c r="N27"/>
  <c r="R27"/>
  <c r="Z27"/>
  <c r="AD27" s="1"/>
  <c r="H27"/>
  <c r="X27"/>
  <c r="F27"/>
  <c r="T27"/>
  <c r="V27"/>
  <c r="P27"/>
  <c r="J27"/>
  <c r="N317"/>
  <c r="AK553" i="1"/>
  <c r="L1097" i="11"/>
  <c r="R691" i="55"/>
  <c r="F691"/>
  <c r="L691"/>
  <c r="M1096" i="11"/>
  <c r="H691" i="55"/>
  <c r="X691"/>
  <c r="R1064" i="1"/>
  <c r="AG3544"/>
  <c r="AG3548" s="1"/>
  <c r="AG3549" s="1"/>
  <c r="C817" i="55" s="1"/>
  <c r="AE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K64"/>
  <c r="K68" s="1"/>
  <c r="V730"/>
  <c r="X730" s="1"/>
  <c r="K3494"/>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R693" s="1"/>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K809"/>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AQ108"/>
  <c r="AS108" s="1"/>
  <c r="AU108" s="1"/>
  <c r="AV108" s="1"/>
  <c r="P164"/>
  <c r="R164" s="1"/>
  <c r="P232"/>
  <c r="R232" s="1"/>
  <c r="I1405"/>
  <c r="I411"/>
  <c r="K411" s="1"/>
  <c r="K418" s="1"/>
  <c r="K420" s="1"/>
  <c r="I487"/>
  <c r="K487" s="1"/>
  <c r="K495" s="1"/>
  <c r="K497" s="1"/>
  <c r="C63" i="55" s="1"/>
  <c r="I356" i="1"/>
  <c r="I1200"/>
  <c r="AQ133"/>
  <c r="I445"/>
  <c r="K445" s="1"/>
  <c r="K452" s="1"/>
  <c r="K454" s="1"/>
  <c r="I459" s="1"/>
  <c r="K459" s="1"/>
  <c r="K463" s="1"/>
  <c r="K465" s="1"/>
  <c r="K467" s="1"/>
  <c r="I380"/>
  <c r="P362"/>
  <c r="R362" s="1"/>
  <c r="R370" s="1"/>
  <c r="R372" s="1"/>
  <c r="H39" i="55"/>
  <c r="N39"/>
  <c r="T39"/>
  <c r="J39"/>
  <c r="P39"/>
  <c r="L39"/>
  <c r="R39"/>
  <c r="V39"/>
  <c r="X39"/>
  <c r="Z39"/>
  <c r="AD39" s="1"/>
  <c r="F39"/>
  <c r="D41" i="32"/>
  <c r="V675" i="1"/>
  <c r="X705"/>
  <c r="P2346"/>
  <c r="C74"/>
  <c r="P231"/>
  <c r="R231" s="1"/>
  <c r="I167"/>
  <c r="K167" s="1"/>
  <c r="K171" s="1"/>
  <c r="C43" i="55" s="1"/>
  <c r="F44"/>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L1121"/>
  <c r="K1120"/>
  <c r="C1499" i="55" s="1"/>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L693" i="55" l="1"/>
  <c r="P693"/>
  <c r="Z693"/>
  <c r="AD693" s="1"/>
  <c r="H693"/>
  <c r="N693"/>
  <c r="J693"/>
  <c r="F693"/>
  <c r="X693"/>
  <c r="P51" i="1"/>
  <c r="R51" s="1"/>
  <c r="R57" s="1"/>
  <c r="R60" s="1"/>
  <c r="P610" s="1"/>
  <c r="R610" s="1"/>
  <c r="T693" i="55"/>
  <c r="V693"/>
  <c r="K984" i="11"/>
  <c r="K992" s="1"/>
  <c r="K1014" s="1"/>
  <c r="R1065" i="1"/>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G3560" i="1"/>
  <c r="AG3564" s="1"/>
  <c r="AG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K1200" i="1"/>
  <c r="K1211" s="1"/>
  <c r="K1213" s="1"/>
  <c r="C330" i="55" s="1"/>
  <c r="K1405" i="1"/>
  <c r="K1412" s="1"/>
  <c r="K1414" s="1"/>
  <c r="C342" i="55" s="1"/>
  <c r="R630"/>
  <c r="H630"/>
  <c r="N630"/>
  <c r="T630"/>
  <c r="L630"/>
  <c r="Z630"/>
  <c r="AD630" s="1"/>
  <c r="P630"/>
  <c r="V630"/>
  <c r="J630"/>
  <c r="X630"/>
  <c r="F630"/>
  <c r="X2612" i="1"/>
  <c r="AE2660"/>
  <c r="AG2660" s="1"/>
  <c r="X2613"/>
  <c r="X2615" s="1"/>
  <c r="AS201"/>
  <c r="AU199"/>
  <c r="AV199" s="1"/>
  <c r="AG2661"/>
  <c r="AG2663"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Z621"/>
  <c r="AD621" s="1"/>
  <c r="J621"/>
  <c r="R621"/>
  <c r="X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K821" s="1"/>
  <c r="R2832"/>
  <c r="R2834" s="1"/>
  <c r="R238"/>
  <c r="R240" s="1"/>
  <c r="C591" i="55" s="1"/>
  <c r="X591" s="1"/>
  <c r="I1971" i="1"/>
  <c r="P596"/>
  <c r="R596" s="1"/>
  <c r="I1271"/>
  <c r="AB1332"/>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AQ164"/>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P196"/>
  <c r="K1418"/>
  <c r="K1424" s="1"/>
  <c r="K1426" s="1"/>
  <c r="C343" i="55" s="1"/>
  <c r="I1354" i="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J47" i="55"/>
  <c r="H404"/>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Z705"/>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K993" i="11" l="1"/>
  <c r="M993"/>
  <c r="N621" i="55"/>
  <c r="P621"/>
  <c r="T621"/>
  <c r="L621"/>
  <c r="V875"/>
  <c r="N875"/>
  <c r="X875"/>
  <c r="H875"/>
  <c r="J875"/>
  <c r="F875"/>
  <c r="R875"/>
  <c r="L875"/>
  <c r="P875"/>
  <c r="I2105" i="1"/>
  <c r="K2105" s="1"/>
  <c r="K2111" s="1"/>
  <c r="C399" i="55" s="1"/>
  <c r="I1991" i="1"/>
  <c r="K1991" s="1"/>
  <c r="P623"/>
  <c r="R623" s="1"/>
  <c r="P47" i="55"/>
  <c r="I2441" i="1"/>
  <c r="K2441" s="1"/>
  <c r="K2446" s="1"/>
  <c r="K2448" s="1"/>
  <c r="X342" i="55"/>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B3623" i="1"/>
  <c r="AD3623" s="1"/>
  <c r="AD3628" s="1"/>
  <c r="AD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I173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S75"/>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R539" i="55" l="1"/>
  <c r="I1377" i="1"/>
  <c r="K1377" s="1"/>
  <c r="K1385" s="1"/>
  <c r="K1387" s="1"/>
  <c r="I1355"/>
  <c r="P1991"/>
  <c r="C540" i="55"/>
  <c r="V540" s="1"/>
  <c r="R1971" i="1"/>
  <c r="R1978" s="1"/>
  <c r="C869" i="55"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K324" s="1"/>
  <c r="V3608"/>
  <c r="X3608" s="1"/>
  <c r="X3612" s="1"/>
  <c r="X3613" s="1"/>
  <c r="C810" i="55" s="1"/>
  <c r="X3591" i="1"/>
  <c r="X3595" s="1"/>
  <c r="X3596" s="1"/>
  <c r="C809" i="55" s="1"/>
  <c r="P625" i="1"/>
  <c r="R625" s="1"/>
  <c r="X3645"/>
  <c r="X3647" s="1"/>
  <c r="R811" i="55"/>
  <c r="Z811"/>
  <c r="AD811" s="1"/>
  <c r="V811"/>
  <c r="P811"/>
  <c r="H811"/>
  <c r="L811"/>
  <c r="F811"/>
  <c r="N811"/>
  <c r="X811"/>
  <c r="T811"/>
  <c r="J811"/>
  <c r="K1355" i="1"/>
  <c r="L1337" s="1"/>
  <c r="Z369" i="55"/>
  <c r="AD369" s="1"/>
  <c r="C396"/>
  <c r="V396" s="1"/>
  <c r="K2383" i="1"/>
  <c r="K2390" s="1"/>
  <c r="K2392" s="1"/>
  <c r="C674" i="55" s="1"/>
  <c r="T369"/>
  <c r="L369"/>
  <c r="H539"/>
  <c r="N539"/>
  <c r="X539"/>
  <c r="AU203" i="1"/>
  <c r="AV203" s="1"/>
  <c r="AR203"/>
  <c r="AS204"/>
  <c r="F539" i="55"/>
  <c r="L539"/>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E336" i="1"/>
  <c r="AG336" s="1"/>
  <c r="AG343" s="1"/>
  <c r="AG345" s="1"/>
  <c r="AG347" s="1"/>
  <c r="X336"/>
  <c r="X343" s="1"/>
  <c r="X345" s="1"/>
  <c r="X347" s="1"/>
  <c r="Z396" i="55"/>
  <c r="AD396" s="1"/>
  <c r="X20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X544" s="1"/>
  <c r="V545" s="1"/>
  <c r="V552"/>
  <c r="X552" s="1"/>
  <c r="X557" s="1"/>
  <c r="X559" s="1"/>
  <c r="V561" s="1"/>
  <c r="X561" s="1"/>
  <c r="V562" s="1"/>
  <c r="X562" s="1"/>
  <c r="V563" s="1"/>
  <c r="X563" s="1"/>
  <c r="V564" s="1"/>
  <c r="X564" s="1"/>
  <c r="V565" s="1"/>
  <c r="X565" s="1"/>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R869"/>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L323" i="1"/>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L1335" i="1" l="1"/>
  <c r="R1991"/>
  <c r="H869" i="55"/>
  <c r="N540"/>
  <c r="J540"/>
  <c r="L540"/>
  <c r="T540"/>
  <c r="F540"/>
  <c r="R540"/>
  <c r="H540"/>
  <c r="X540"/>
  <c r="P869"/>
  <c r="T869"/>
  <c r="X869"/>
  <c r="R634" i="1"/>
  <c r="L869" i="55"/>
  <c r="V869"/>
  <c r="Z869"/>
  <c r="AD869" s="1"/>
  <c r="J869"/>
  <c r="F869"/>
  <c r="N869"/>
  <c r="K1363" i="1"/>
  <c r="K1365" s="1"/>
  <c r="C339" i="55" s="1"/>
  <c r="F396"/>
  <c r="J396"/>
  <c r="K1056" i="11"/>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D552" i="1"/>
  <c r="AD557" s="1"/>
  <c r="AD559" s="1"/>
  <c r="P2347" s="1"/>
  <c r="R2347" s="1"/>
  <c r="R2350" s="1"/>
  <c r="C708" i="55" s="1"/>
  <c r="P674"/>
  <c r="AR204" i="1"/>
  <c r="AS205"/>
  <c r="AU204"/>
  <c r="AV204" s="1"/>
  <c r="C323" i="55"/>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K47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V323"/>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C1494"/>
  <c r="X700"/>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C477" i="55" l="1"/>
  <c r="X477" s="1"/>
  <c r="AB561" i="1"/>
  <c r="AD561" s="1"/>
  <c r="AB562" s="1"/>
  <c r="AD562" s="1"/>
  <c r="X339" i="55"/>
  <c r="N339"/>
  <c r="L339"/>
  <c r="R339"/>
  <c r="F339"/>
  <c r="P339"/>
  <c r="H339"/>
  <c r="Z339"/>
  <c r="AD339" s="1"/>
  <c r="T339"/>
  <c r="V339"/>
  <c r="J339"/>
  <c r="H372"/>
  <c r="K1057" i="11"/>
  <c r="N372" i="55"/>
  <c r="L1058" i="11"/>
  <c r="X372" i="55"/>
  <c r="P372"/>
  <c r="J372"/>
  <c r="Z915"/>
  <c r="AD915" s="1"/>
  <c r="R1989" i="1"/>
  <c r="R1999" s="1"/>
  <c r="C870" i="55" s="1"/>
  <c r="F870" s="1"/>
  <c r="L323"/>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28"/>
  <c r="AK533" s="1"/>
  <c r="AK535" s="1"/>
  <c r="AI537" s="1"/>
  <c r="AK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L477"/>
  <c r="F477"/>
  <c r="P477"/>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U103" i="1"/>
  <c r="AV103" s="1"/>
  <c r="C543" i="55"/>
  <c r="R1494"/>
  <c r="T1494"/>
  <c r="P1494"/>
  <c r="H1494"/>
  <c r="L1494"/>
  <c r="F1494"/>
  <c r="X1494"/>
  <c r="J1494"/>
  <c r="V1494"/>
  <c r="N1494"/>
  <c r="Z1494"/>
  <c r="AD1494" s="1"/>
  <c r="AQ147" i="1"/>
  <c r="AU142"/>
  <c r="AV142" s="1"/>
  <c r="Z477" i="55" l="1"/>
  <c r="AD477" s="1"/>
  <c r="C919"/>
  <c r="Z919" s="1"/>
  <c r="AD919" s="1"/>
  <c r="C1496"/>
  <c r="J870"/>
  <c r="T870"/>
  <c r="X870"/>
  <c r="R870"/>
  <c r="L870"/>
  <c r="V870"/>
  <c r="P870"/>
  <c r="N870"/>
  <c r="H870"/>
  <c r="AK552" i="1"/>
  <c r="AK557" s="1"/>
  <c r="AK559" s="1"/>
  <c r="C464" i="55" s="1"/>
  <c r="L324"/>
  <c r="Z870"/>
  <c r="AD870" s="1"/>
  <c r="Z1429"/>
  <c r="AD1429" s="1"/>
  <c r="Z1428"/>
  <c r="AD1428" s="1"/>
  <c r="T324"/>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AI561" i="1"/>
  <c r="AK561" s="1"/>
  <c r="F478" i="55"/>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J919"/>
  <c r="T919"/>
  <c r="P919"/>
  <c r="N919"/>
  <c r="L919" l="1"/>
  <c r="X919"/>
  <c r="F919"/>
  <c r="V919"/>
  <c r="H919"/>
  <c r="AU207" i="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Z1431" i="55" l="1"/>
  <c r="AD1431" s="1"/>
  <c r="X722" i="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X723" l="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<sst xmlns="http://schemas.openxmlformats.org/spreadsheetml/2006/main" count="37761" uniqueCount="6564">
  <si>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</si>
  <si>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</si>
  <si>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</si>
  <si>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</si>
  <si>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</si>
  <si>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</si>
  <si>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</si>
  <si>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</si>
  <si>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</si>
  <si>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</si>
  <si>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</si>
  <si>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</si>
  <si>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</si>
  <si>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</si>
  <si>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</si>
  <si>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</si>
  <si>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</si>
  <si>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</si>
  <si>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</si>
  <si>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</si>
  <si>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</si>
  <si>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</si>
  <si>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</si>
  <si>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</si>
  <si>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</si>
  <si>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</si>
  <si>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</si>
  <si>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</si>
  <si>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</si>
  <si>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</si>
  <si>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</si>
  <si>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</si>
  <si>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</si>
  <si>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</si>
  <si>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</si>
  <si>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</si>
  <si>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</si>
  <si>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</si>
  <si>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</si>
  <si>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</si>
  <si>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</si>
  <si>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</si>
  <si>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</si>
  <si>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</si>
  <si>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</si>
  <si>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</si>
  <si>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</si>
  <si>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</si>
  <si>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</si>
  <si>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</si>
  <si>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</si>
  <si>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</si>
  <si>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</si>
  <si>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</si>
  <si>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</si>
  <si>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</si>
  <si>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</si>
  <si>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</si>
  <si>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</si>
  <si>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</si>
  <si>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</si>
  <si>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</si>
  <si>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</si>
  <si>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</si>
  <si>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</si>
  <si>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</si>
  <si>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</si>
  <si>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</si>
  <si>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</si>
  <si>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</si>
  <si>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</si>
  <si>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</si>
  <si>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</si>
  <si>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</si>
  <si>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</si>
  <si>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</si>
  <si>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</si>
  <si>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</si>
  <si>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</si>
  <si>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</si>
  <si>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</si>
  <si>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</si>
  <si>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</si>
  <si>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</si>
  <si>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</si>
  <si>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</si>
  <si>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</si>
  <si>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</si>
  <si>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</si>
  <si>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</si>
  <si>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</si>
  <si>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</si>
  <si>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</si>
  <si>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</si>
  <si>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</si>
  <si>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</si>
  <si>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</si>
  <si>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</si>
  <si>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</si>
  <si>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</si>
  <si>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</si>
  <si>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</si>
  <si>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</si>
  <si>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</si>
  <si>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</si>
  <si>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</si>
  <si>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</si>
  <si>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</si>
  <si>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</si>
  <si>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</si>
  <si>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</si>
  <si>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</si>
  <si>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</si>
  <si>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</si>
  <si>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</si>
  <si>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</si>
  <si>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</si>
  <si>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</si>
  <si>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</si>
  <si>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</si>
  <si>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</si>
  <si>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</si>
  <si>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</si>
  <si>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</si>
  <si>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</si>
  <si>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</si>
  <si>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</si>
  <si>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</si>
  <si>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</si>
  <si>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</si>
  <si>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</si>
  <si>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</si>
  <si>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</si>
  <si>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</si>
  <si>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</si>
  <si>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</si>
  <si>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</si>
  <si>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</si>
  <si>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</si>
  <si>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</si>
  <si>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</si>
  <si>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</si>
  <si>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</si>
  <si>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</si>
  <si>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</si>
  <si>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</si>
  <si>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</si>
  <si>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</si>
  <si>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</si>
  <si>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</si>
  <si>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</si>
  <si>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</si>
  <si>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</si>
  <si>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</si>
  <si>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</si>
  <si>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</si>
  <si>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</si>
  <si>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</si>
  <si>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</si>
  <si>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</si>
  <si>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</si>
  <si>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</si>
  <si>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</si>
  <si>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</si>
  <si>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</si>
  <si>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</si>
  <si>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</si>
  <si>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</si>
  <si>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</si>
  <si>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</si>
  <si>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</si>
  <si>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</si>
  <si>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</si>
  <si>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</si>
  <si>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</si>
  <si>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</si>
  <si>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</si>
  <si>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</si>
  <si>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</si>
  <si>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</si>
  <si>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</si>
  <si>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</si>
  <si>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</si>
  <si>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</si>
  <si>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</si>
  <si>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</si>
  <si>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</si>
  <si>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</si>
  <si>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</si>
  <si>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</si>
  <si>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</si>
  <si>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</si>
  <si>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</si>
  <si>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</si>
  <si>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</si>
  <si>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</si>
  <si>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</si>
  <si>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</si>
  <si>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</si>
  <si>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</si>
  <si>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</si>
  <si>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</si>
  <si>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</si>
  <si>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</si>
  <si>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</si>
  <si>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</si>
  <si>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</si>
  <si>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</si>
  <si>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</si>
  <si>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</si>
  <si>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</si>
  <si>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</si>
  <si>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</si>
  <si>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</si>
  <si>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</si>
  <si>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</si>
  <si>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</si>
  <si>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</si>
  <si>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</si>
  <si>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</si>
  <si>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</si>
  <si>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</si>
  <si>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</si>
  <si>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</si>
  <si>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</si>
  <si>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</si>
  <si>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</si>
  <si>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</si>
  <si>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</si>
  <si>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</si>
  <si>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</si>
  <si>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</si>
  <si>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</si>
  <si>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</si>
  <si>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</si>
  <si>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</si>
  <si>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</si>
  <si>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</si>
  <si>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</si>
  <si>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</si>
  <si>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</si>
  <si>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</si>
  <si>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</si>
  <si>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</si>
  <si>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</si>
  <si>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</si>
  <si>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</si>
  <si>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</si>
  <si>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</si>
  <si>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</si>
  <si>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</si>
  <si>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</si>
  <si>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</si>
  <si>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</si>
  <si>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</si>
  <si>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</si>
  <si>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</si>
  <si>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</si>
  <si>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</si>
  <si>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</si>
  <si>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</si>
  <si>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</si>
  <si>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</si>
  <si>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</si>
  <si>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</si>
  <si>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</si>
  <si>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</si>
  <si>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</si>
  <si>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</si>
  <si>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</si>
  <si>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</si>
  <si>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</si>
  <si>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</si>
  <si>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</si>
  <si>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</si>
  <si>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</si>
  <si>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</si>
  <si>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</si>
  <si>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</si>
  <si>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</si>
  <si>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</si>
  <si>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</si>
  <si>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</si>
  <si>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</si>
  <si>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</si>
  <si>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</si>
  <si>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</si>
  <si>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</si>
  <si>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</si>
  <si>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</si>
  <si>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</si>
  <si>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</si>
  <si>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</si>
  <si>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</si>
  <si>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</si>
  <si>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</si>
  <si>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</si>
  <si>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</si>
  <si>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</si>
  <si>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</si>
  <si>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</si>
  <si>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</si>
  <si>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</si>
  <si>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</si>
  <si>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</si>
  <si>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</si>
  <si>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</si>
  <si>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</si>
  <si>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</si>
  <si>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</si>
  <si>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</si>
  <si>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</si>
  <si>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</si>
  <si>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</si>
  <si>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</si>
  <si>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</si>
  <si>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</si>
  <si>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</si>
  <si>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</si>
  <si>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</si>
  <si>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</si>
  <si>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</si>
  <si>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</si>
  <si>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</si>
  <si>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</si>
  <si>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</si>
  <si>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</si>
  <si>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</si>
  <si>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</si>
  <si>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</si>
  <si>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</si>
  <si>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</si>
  <si>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</si>
  <si>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</si>
  <si>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</si>
  <si>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</si>
  <si>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</si>
  <si>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</si>
  <si>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</si>
  <si>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</si>
  <si>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</si>
  <si>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</si>
  <si>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</si>
  <si>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</si>
  <si>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</si>
  <si>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</si>
  <si>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</si>
  <si>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</si>
  <si>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</si>
  <si>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</si>
  <si>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</si>
  <si>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</si>
  <si>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</si>
  <si>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</si>
  <si>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</si>
  <si>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</si>
  <si>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</si>
  <si>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</si>
  <si>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</si>
  <si>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</si>
  <si>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</si>
  <si>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</si>
  <si>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</si>
  <si>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</si>
  <si>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</si>
  <si>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</si>
  <si>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</si>
  <si>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</si>
  <si>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</si>
  <si>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</si>
  <si>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</si>
  <si>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</si>
  <si>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</si>
  <si>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</si>
  <si>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</si>
  <si>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</si>
  <si>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</si>
  <si>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</si>
  <si>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</si>
  <si>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</si>
  <si>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</si>
  <si>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</si>
  <si>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</si>
  <si>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</si>
  <si>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</si>
  <si>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</si>
  <si>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</si>
  <si>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</si>
  <si>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</si>
  <si>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</si>
  <si>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</si>
  <si>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</si>
  <si>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</si>
  <si>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</si>
  <si>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</si>
  <si>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</si>
  <si>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</si>
  <si>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</si>
  <si>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</si>
  <si>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</si>
  <si>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</si>
  <si>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</si>
  <si>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</si>
  <si>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</si>
  <si>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</si>
  <si>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</si>
  <si>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</si>
  <si>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</si>
  <si>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</si>
  <si>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</si>
  <si>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</si>
  <si>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</si>
  <si>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</si>
  <si>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</si>
  <si>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</si>
  <si>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</si>
  <si>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</si>
  <si>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</si>
  <si>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</si>
  <si>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</si>
  <si>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</si>
  <si>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</si>
  <si>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</si>
  <si>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</si>
  <si>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</si>
  <si>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</si>
  <si>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</si>
  <si>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</si>
  <si>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</si>
  <si>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</si>
  <si>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</si>
  <si>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</si>
  <si>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</si>
  <si>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</si>
  <si>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</si>
  <si>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</si>
  <si>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</si>
  <si>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</si>
  <si>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</si>
  <si>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</si>
  <si>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</si>
  <si>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</si>
  <si>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</si>
  <si>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</si>
  <si>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</si>
  <si>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</si>
  <si>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</si>
  <si>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</si>
  <si>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</si>
  <si>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</si>
  <si>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</si>
  <si>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</si>
  <si>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</si>
  <si>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</si>
  <si>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</si>
  <si>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</si>
  <si>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</si>
  <si>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</si>
  <si>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</si>
  <si>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</si>
  <si>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</si>
  <si>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</si>
  <si>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</si>
  <si>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</si>
  <si>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</si>
  <si>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</si>
  <si>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</si>
  <si>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</si>
  <si>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</si>
  <si>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</si>
  <si>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</si>
  <si>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</si>
  <si>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</si>
  <si>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</si>
  <si>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</si>
  <si>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</si>
  <si>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</si>
  <si>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</si>
  <si>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</si>
  <si>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</si>
  <si>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</si>
  <si>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</si>
  <si>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</si>
  <si>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</si>
  <si>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</si>
  <si>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</si>
  <si>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</si>
  <si>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</si>
  <si>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</si>
  <si>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</si>
  <si>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</si>
  <si>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</si>
  <si>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</si>
  <si>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</si>
  <si>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</si>
  <si>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</si>
  <si>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</si>
  <si>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</si>
  <si>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</si>
  <si>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</si>
  <si>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</si>
  <si>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</si>
  <si>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</si>
  <si>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</si>
  <si>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</si>
  <si>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</si>
  <si>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</si>
  <si>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</si>
  <si>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</si>
  <si>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</si>
  <si>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</si>
  <si>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</si>
  <si>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</si>
  <si>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</si>
  <si>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</si>
  <si>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</si>
  <si>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</si>
  <si>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</si>
  <si>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</si>
  <si>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</si>
  <si>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</si>
  <si>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</si>
  <si>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</si>
  <si>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</si>
  <si>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</si>
  <si>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</si>
  <si>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</si>
  <si>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</si>
  <si>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</si>
  <si>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</si>
  <si>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</si>
  <si>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</si>
  <si>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</si>
  <si>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</si>
  <si>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</si>
  <si>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</si>
  <si>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</si>
  <si>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</si>
  <si>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</si>
  <si>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</si>
  <si>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</si>
  <si>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</si>
  <si>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</si>
  <si>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</si>
  <si>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</si>
  <si>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</si>
  <si>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</si>
  <si>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</si>
  <si>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</si>
  <si>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</si>
  <si>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</si>
  <si>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</si>
  <si>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</si>
  <si>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</si>
  <si>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</si>
  <si>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</si>
  <si>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</si>
  <si>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</si>
  <si>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</si>
  <si>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</si>
  <si>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</si>
  <si>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</si>
  <si>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</si>
  <si>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</si>
  <si>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</si>
  <si>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</si>
  <si>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</si>
  <si>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</si>
  <si>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</si>
  <si>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</si>
  <si>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</si>
  <si>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</si>
  <si>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</si>
  <si>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</si>
  <si>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</si>
  <si>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</si>
  <si>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</si>
  <si>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</si>
  <si>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</si>
  <si>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</si>
  <si>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</si>
  <si>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</si>
  <si>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</si>
  <si>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</si>
  <si>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</si>
  <si>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</si>
  <si>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</si>
  <si>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</si>
  <si>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</si>
  <si>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</si>
  <si>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</si>
  <si>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</si>
  <si>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</si>
  <si>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</si>
  <si>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</si>
  <si>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</si>
  <si>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</si>
  <si>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</si>
  <si>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</si>
  <si>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</si>
  <si>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</si>
  <si>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</si>
  <si>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</si>
  <si>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</si>
  <si>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</si>
  <si>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</si>
  <si>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</si>
  <si>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</si>
  <si>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</si>
  <si>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</si>
  <si>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</si>
  <si>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</si>
  <si>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</si>
  <si>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</si>
  <si>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</si>
  <si>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</si>
  <si>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</si>
  <si>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</si>
  <si>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</si>
  <si>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</si>
  <si>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</si>
  <si>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</si>
  <si>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</si>
  <si>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</si>
  <si>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</si>
  <si>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</si>
  <si>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</si>
  <si>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</si>
  <si>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</si>
  <si>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</si>
  <si>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</si>
  <si>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</si>
  <si>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</si>
  <si>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</si>
  <si>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</si>
  <si>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</si>
  <si>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</si>
  <si>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</si>
  <si>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</si>
  <si>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</si>
  <si>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</si>
  <si>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</si>
  <si>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</si>
  <si>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</si>
  <si>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</si>
  <si>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</si>
  <si>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</si>
  <si>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</si>
  <si>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</si>
  <si>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</si>
  <si>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</si>
  <si>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</si>
  <si>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</si>
  <si>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</si>
  <si>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</si>
  <si>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</si>
  <si>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</si>
  <si>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</si>
  <si>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</si>
  <si>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</si>
  <si>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</si>
  <si>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</si>
  <si>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</si>
  <si>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</si>
  <si>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</si>
  <si>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</si>
  <si>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</si>
  <si>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</si>
  <si>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</si>
  <si>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</si>
  <si>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</si>
  <si>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</si>
  <si>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</si>
  <si>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</si>
  <si>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</si>
  <si>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</si>
  <si>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</si>
  <si>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</si>
  <si>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</si>
  <si>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</si>
  <si>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</si>
  <si>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</si>
  <si>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</si>
  <si>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</si>
  <si>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</si>
  <si>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</si>
  <si>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</si>
  <si>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</si>
  <si>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</si>
  <si>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</si>
  <si>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</si>
  <si>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</si>
  <si>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</si>
  <si>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</si>
  <si>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</si>
  <si>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</si>
  <si>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</si>
  <si>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</si>
  <si>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</si>
  <si>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</si>
  <si>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</si>
  <si>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</si>
  <si>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</si>
  <si>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</si>
  <si>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</si>
  <si>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</si>
  <si>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</si>
  <si>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</si>
  <si>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</si>
  <si>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</si>
  <si>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</si>
  <si>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</si>
  <si>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</si>
  <si>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</si>
  <si>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</si>
  <si>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</si>
  <si>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</si>
  <si>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</si>
  <si>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</si>
  <si>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</si>
  <si>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</si>
  <si>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</si>
  <si>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</si>
  <si>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</si>
  <si>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</si>
  <si>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</si>
  <si>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</si>
  <si>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</si>
  <si>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</si>
  <si>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</si>
  <si>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</si>
  <si>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</si>
  <si>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</si>
  <si>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</si>
  <si>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</si>
  <si>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</si>
  <si>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</si>
  <si>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</si>
  <si>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</si>
  <si>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</si>
  <si>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</si>
  <si>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</si>
  <si>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</si>
  <si>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</si>
  <si>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</si>
  <si>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</si>
  <si>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</si>
  <si>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</si>
  <si>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</si>
  <si>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</si>
  <si>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</si>
  <si>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</si>
  <si>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</si>
  <si>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</si>
  <si>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</si>
  <si>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</si>
  <si>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</si>
  <si>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</si>
  <si>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</si>
  <si>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</si>
  <si>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</si>
  <si>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</si>
  <si>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</si>
  <si>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</si>
  <si>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</si>
  <si>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</si>
  <si>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</si>
  <si>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</si>
  <si>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</si>
  <si>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</si>
  <si>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</si>
  <si>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</si>
  <si>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</si>
  <si>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</si>
  <si>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</si>
  <si>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</si>
  <si>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</si>
  <si>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</si>
  <si>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</si>
  <si>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</si>
  <si>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</si>
  <si>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</si>
  <si>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</si>
  <si>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</si>
  <si>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</si>
  <si>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</si>
  <si>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</si>
  <si>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</si>
  <si>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</si>
  <si>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</si>
  <si>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</si>
  <si>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</si>
  <si>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</si>
  <si>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</si>
  <si>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</si>
  <si>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</si>
  <si>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</si>
  <si>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</si>
  <si>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</si>
  <si>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</si>
  <si>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</si>
  <si>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</si>
  <si>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</si>
  <si>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</si>
  <si>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</si>
  <si>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</si>
  <si>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</si>
  <si>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</si>
  <si>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</si>
  <si>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</si>
  <si>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</si>
  <si>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</si>
  <si>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</si>
  <si>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</si>
  <si>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</si>
  <si>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</si>
  <si>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</si>
  <si>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</si>
  <si>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</si>
  <si>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</si>
  <si>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</si>
  <si>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</si>
  <si>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</si>
  <si>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</si>
  <si>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</si>
  <si>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</si>
  <si>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</si>
  <si>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</si>
  <si>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</si>
  <si>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</si>
  <si>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</si>
  <si>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</si>
  <si>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</si>
  <si>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</si>
  <si>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</si>
  <si>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</si>
  <si>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</si>
  <si>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</si>
  <si>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</si>
  <si>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</si>
  <si>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</si>
  <si>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</si>
  <si>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</si>
  <si>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</si>
  <si>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</si>
  <si>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</si>
  <si>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</si>
  <si>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</si>
  <si>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</si>
  <si>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</si>
  <si>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</si>
  <si>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</si>
  <si>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</si>
  <si>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</si>
  <si>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</si>
  <si>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</si>
  <si>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</si>
  <si>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</si>
  <si>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</si>
  <si>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</si>
  <si>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</si>
  <si>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</si>
  <si>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</si>
  <si>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</si>
  <si>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</si>
  <si>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</si>
  <si>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</si>
  <si>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</si>
  <si>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</si>
  <si>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</si>
  <si>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</si>
  <si>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</si>
  <si>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</si>
  <si>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</si>
  <si>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</si>
  <si>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</si>
  <si>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</si>
  <si>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</si>
  <si>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</si>
  <si>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</si>
  <si>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</si>
  <si>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</si>
  <si>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</si>
  <si>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</si>
  <si>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</si>
  <si>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</si>
  <si>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</si>
  <si>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</si>
  <si>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</si>
  <si>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</si>
  <si>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</si>
  <si>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</si>
  <si>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</si>
  <si>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</si>
  <si>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</si>
  <si>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</si>
  <si>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</si>
  <si>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</si>
  <si>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</si>
  <si>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</si>
  <si>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</si>
  <si>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</si>
  <si>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</si>
  <si>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</si>
  <si>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</si>
  <si>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</si>
  <si>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</si>
  <si>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</si>
  <si>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</si>
  <si>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</si>
  <si>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</si>
  <si>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</si>
  <si>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</si>
  <si>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</si>
  <si>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</si>
  <si>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</si>
  <si>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</si>
  <si>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</si>
  <si>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</si>
  <si>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</si>
  <si>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</si>
  <si>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</si>
  <si>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</si>
  <si>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</si>
  <si>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</si>
  <si>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</si>
  <si>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</si>
  <si>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</si>
  <si>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</si>
  <si>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</si>
  <si>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</si>
  <si>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</si>
  <si>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</si>
  <si>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</si>
  <si>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</si>
  <si>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</si>
  <si>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</si>
  <si>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</si>
  <si>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</si>
  <si>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</si>
  <si>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</si>
  <si>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</si>
  <si>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</si>
  <si>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</si>
  <si>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</si>
  <si>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</si>
  <si>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</si>
  <si>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</si>
  <si>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</si>
  <si>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</si>
  <si>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</si>
  <si>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</si>
  <si>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</si>
  <si>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</si>
  <si>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</si>
  <si>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</si>
  <si>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</si>
  <si>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</si>
  <si>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</si>
  <si>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</si>
  <si>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</si>
  <si>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</si>
  <si>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</si>
  <si>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</si>
  <si>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</si>
  <si>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</si>
  <si>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</si>
  <si>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</si>
  <si>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</si>
  <si>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</si>
  <si>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</si>
  <si>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</si>
  <si>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</si>
  <si>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</si>
  <si>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</si>
  <si>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</si>
  <si>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</si>
  <si>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</si>
  <si>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</si>
  <si>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</si>
  <si>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</si>
  <si>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</si>
  <si>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</si>
  <si>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</si>
  <si>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</si>
  <si>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</si>
  <si>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</si>
  <si>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</si>
  <si>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</si>
  <si>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</si>
  <si>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</si>
  <si>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</si>
  <si>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</si>
  <si>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</si>
  <si>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</si>
  <si>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</si>
  <si>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</si>
  <si>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</si>
  <si>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</si>
  <si>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</si>
  <si>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</si>
  <si>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</si>
  <si>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</si>
  <si>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</si>
  <si>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</si>
  <si>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</si>
  <si>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</si>
  <si>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</si>
  <si>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</si>
  <si>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</si>
  <si>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</si>
  <si>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</si>
  <si>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</si>
  <si>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</si>
  <si>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</si>
  <si>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</si>
  <si>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</si>
  <si>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</si>
  <si>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</si>
  <si>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</si>
  <si>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</si>
  <si>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</si>
  <si>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</si>
  <si>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</si>
  <si>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</si>
  <si>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</si>
  <si>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</si>
  <si>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</si>
  <si>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</si>
  <si>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</si>
  <si>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</si>
  <si>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</si>
  <si>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</si>
  <si>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</si>
  <si>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</si>
  <si>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</si>
  <si>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</si>
  <si>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</si>
  <si>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</si>
  <si>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</si>
  <si>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</si>
  <si>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</si>
  <si>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</si>
  <si>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</si>
  <si>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</si>
  <si>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</si>
  <si>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</si>
  <si>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</si>
  <si>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</si>
  <si>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</si>
  <si>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</si>
  <si>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</si>
  <si>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</si>
  <si>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</si>
  <si>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</si>
  <si>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</si>
  <si>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</si>
  <si>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</si>
  <si>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</si>
  <si>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</si>
  <si>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</si>
  <si>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</si>
  <si>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</si>
  <si>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</si>
  <si>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</si>
  <si>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</si>
  <si>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</si>
  <si>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</si>
  <si>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</si>
  <si>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</si>
  <si>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</si>
  <si>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</si>
  <si>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</si>
  <si>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</si>
  <si>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</si>
  <si>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</si>
  <si>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</si>
  <si>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</si>
  <si>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</si>
  <si>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</si>
  <si>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</si>
  <si>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</si>
  <si>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</si>
  <si>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</si>
  <si>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</si>
  <si>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</si>
  <si>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</si>
  <si>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</si>
  <si>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</si>
  <si>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</si>
  <si>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</si>
  <si>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</si>
  <si>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</si>
  <si>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</si>
  <si>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</si>
  <si>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</si>
  <si>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</si>
  <si>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</si>
  <si>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</si>
  <si>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</si>
  <si>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</si>
  <si>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</si>
  <si>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</si>
  <si>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</si>
  <si>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</si>
  <si>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</si>
  <si>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</si>
  <si>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</si>
  <si>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</si>
  <si>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</si>
  <si>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</si>
  <si>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</si>
  <si>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</si>
  <si>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</si>
  <si>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</si>
  <si>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</si>
  <si>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</si>
  <si>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</si>
  <si>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</si>
  <si>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</si>
  <si>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</si>
  <si>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</si>
  <si>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</si>
  <si>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</si>
  <si>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</si>
  <si>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</si>
  <si>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</si>
  <si>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</si>
  <si>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</si>
  <si>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</si>
  <si>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</si>
  <si>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</si>
  <si>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</si>
  <si>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</si>
  <si>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</si>
  <si>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</si>
  <si>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</si>
  <si>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</si>
  <si>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</si>
  <si>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</si>
  <si>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</si>
  <si>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</si>
  <si>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</si>
  <si>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</si>
  <si>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</si>
  <si>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</si>
  <si>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</si>
  <si>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</si>
  <si>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</si>
  <si>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</si>
  <si>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</si>
  <si>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</si>
  <si>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</si>
  <si>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</si>
  <si>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</si>
  <si>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</si>
  <si>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</si>
  <si>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</si>
  <si>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</si>
  <si>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</si>
  <si>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</si>
  <si>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</si>
  <si>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</si>
  <si>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</si>
  <si>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</si>
  <si>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</si>
  <si>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</si>
  <si>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</si>
  <si>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</si>
  <si>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</si>
  <si>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</si>
  <si>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</si>
  <si>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</si>
  <si>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</si>
  <si>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</si>
  <si>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</si>
  <si>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</si>
  <si>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</si>
  <si>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</si>
  <si>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</si>
  <si>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</si>
  <si>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</si>
  <si>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</si>
  <si>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</si>
  <si>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</si>
  <si>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</si>
  <si>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</si>
  <si>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</si>
  <si>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</si>
  <si>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</si>
  <si>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</si>
  <si>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</si>
  <si>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</si>
  <si>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</si>
  <si>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</si>
  <si>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</si>
  <si>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</si>
  <si>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</si>
  <si>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</si>
  <si>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</si>
  <si>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</si>
  <si>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</si>
  <si>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</si>
  <si>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</si>
  <si>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</si>
  <si>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</si>
  <si>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</si>
  <si>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</si>
  <si>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</si>
  <si>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</si>
  <si>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</si>
  <si>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</si>
  <si>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</si>
  <si>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</si>
  <si>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</si>
  <si>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</si>
  <si>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</si>
  <si>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</si>
  <si>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</si>
  <si>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</si>
  <si>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</si>
  <si>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</si>
  <si>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</si>
  <si>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</si>
  <si>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</si>
  <si>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</si>
  <si>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</si>
  <si>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</si>
  <si>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</si>
  <si>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</si>
  <si>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</si>
  <si>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</si>
  <si>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</si>
  <si>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</si>
  <si>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</si>
  <si>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</si>
  <si>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</si>
  <si>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</si>
  <si>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</si>
  <si>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</si>
  <si>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</si>
  <si>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</si>
  <si>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</si>
  <si>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</si>
  <si>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</si>
  <si>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</si>
  <si>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</si>
  <si>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</si>
  <si>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</si>
  <si>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</si>
  <si>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</si>
  <si>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</si>
  <si>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</si>
  <si>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</si>
  <si>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</si>
  <si>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</si>
  <si>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</si>
  <si>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</si>
  <si>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</si>
  <si>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</si>
  <si>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</si>
  <si>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</si>
  <si>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</si>
  <si>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</si>
  <si>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</si>
  <si>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</si>
  <si>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</si>
  <si>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</si>
  <si>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</si>
  <si>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</si>
  <si>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</si>
  <si>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</si>
  <si>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</si>
  <si>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</si>
  <si>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</si>
  <si>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</si>
  <si>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</si>
  <si>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</si>
  <si>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</si>
  <si>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</si>
  <si>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</si>
  <si>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</si>
  <si>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</si>
  <si>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</si>
  <si>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</si>
  <si>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</si>
  <si>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</si>
  <si>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</si>
  <si>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</si>
  <si>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</si>
  <si>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</si>
  <si>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</si>
  <si>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</si>
  <si>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</si>
  <si>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</si>
  <si>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</si>
  <si>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</si>
  <si>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</si>
  <si>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</si>
  <si>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</si>
  <si>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</si>
  <si>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</si>
  <si>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</si>
  <si>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</si>
  <si>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</si>
  <si>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</si>
  <si>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</si>
  <si>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</si>
  <si>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</si>
  <si>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</si>
  <si>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</si>
  <si>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</si>
  <si>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</si>
  <si>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</si>
  <si>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</si>
  <si>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</si>
  <si>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</si>
  <si>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</si>
  <si>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</si>
  <si>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</si>
  <si>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</si>
  <si>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</si>
  <si>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</si>
  <si>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</si>
  <si>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</si>
  <si>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</si>
  <si>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</si>
  <si>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</si>
  <si>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</si>
  <si>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</si>
  <si>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</si>
  <si>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</si>
  <si>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</si>
  <si>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</si>
  <si>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</si>
  <si>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</si>
  <si>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</si>
  <si>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</si>
  <si>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</si>
  <si>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</si>
  <si>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</si>
  <si>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</si>
  <si>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</si>
  <si>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</si>
  <si>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</si>
  <si>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</si>
  <si>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</si>
  <si>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</si>
  <si>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</si>
  <si>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</si>
  <si>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</si>
  <si>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</si>
  <si>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</si>
  <si>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</si>
  <si>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</si>
  <si>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</si>
  <si>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</si>
  <si>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</si>
  <si>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</si>
  <si>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</si>
  <si>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</si>
  <si>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</si>
  <si>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</si>
  <si>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</si>
  <si>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</si>
  <si>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</si>
  <si>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</si>
  <si>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</si>
  <si>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</si>
  <si>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</si>
  <si>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</si>
  <si>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</si>
  <si>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</si>
  <si>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</si>
  <si>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</si>
  <si>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</si>
  <si>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</si>
  <si>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</si>
  <si>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</si>
  <si>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</si>
  <si>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</si>
  <si>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</si>
  <si>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</si>
  <si>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</si>
  <si>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</si>
  <si>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</si>
  <si>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</si>
  <si>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</si>
  <si>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</si>
  <si>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</si>
  <si>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</si>
  <si>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</si>
  <si>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</si>
  <si>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</si>
  <si>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</si>
  <si>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</si>
  <si>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</si>
  <si>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</si>
  <si>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</si>
  <si>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</si>
  <si>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</si>
  <si>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</si>
  <si>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</si>
  <si>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</si>
  <si>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</si>
  <si>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</si>
  <si>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</si>
  <si>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</si>
  <si>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</si>
  <si>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</si>
  <si>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</si>
  <si>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</si>
  <si>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</si>
  <si>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</si>
  <si>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</si>
  <si>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</si>
  <si>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</si>
  <si>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</si>
  <si>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</si>
  <si>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</si>
  <si>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</si>
  <si>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</si>
  <si>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</si>
  <si>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</si>
  <si>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</si>
  <si>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</si>
  <si>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</si>
  <si>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</si>
  <si>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</si>
  <si>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</si>
  <si>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</si>
  <si>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</si>
  <si>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</si>
  <si>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</si>
  <si>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</si>
  <si>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</si>
  <si>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</si>
  <si>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</si>
  <si>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</si>
  <si>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</si>
  <si>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</si>
  <si>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</si>
  <si>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</si>
  <si>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</si>
  <si>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</si>
  <si>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</si>
  <si>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</si>
  <si>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</si>
  <si>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</si>
  <si>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</si>
  <si>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</si>
  <si>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</si>
  <si>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</si>
  <si>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</si>
  <si>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</si>
  <si>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</si>
  <si>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</si>
  <si>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</si>
  <si>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</si>
  <si>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</si>
  <si>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</si>
  <si>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</si>
  <si>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</si>
  <si>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</si>
  <si>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</si>
  <si>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</si>
  <si>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</si>
  <si>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</si>
  <si>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</si>
  <si>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</si>
  <si>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</si>
  <si>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</si>
  <si>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</si>
  <si>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</si>
  <si>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</si>
  <si>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</si>
  <si>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</si>
  <si>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</si>
  <si>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</si>
  <si>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</si>
  <si>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</si>
  <si>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</si>
  <si>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</si>
  <si>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</si>
  <si>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</si>
  <si>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</si>
  <si>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</si>
  <si>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</si>
  <si>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</si>
  <si>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</si>
  <si>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</si>
  <si>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</si>
  <si>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</si>
  <si>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</si>
  <si>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</si>
  <si>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</si>
  <si>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</si>
  <si>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</si>
  <si>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</si>
  <si>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</si>
  <si>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</si>
  <si>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</si>
  <si>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</si>
  <si>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</si>
  <si>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</si>
  <si>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</si>
  <si>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</si>
  <si>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</si>
  <si>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</si>
  <si>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</si>
  <si>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</si>
  <si>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</si>
  <si>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</si>
  <si>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</si>
  <si>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</si>
  <si>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</si>
  <si>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</si>
  <si>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</si>
  <si>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</si>
  <si>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</si>
  <si>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</si>
  <si>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</si>
  <si>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</si>
  <si>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</si>
  <si>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</si>
  <si>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</si>
  <si>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</si>
  <si>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</si>
  <si>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</si>
  <si>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</si>
  <si>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</si>
  <si>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</si>
  <si>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</si>
  <si>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</si>
  <si>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</si>
  <si>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</si>
  <si>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</si>
  <si>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</si>
  <si>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</si>
  <si>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</si>
  <si>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</si>
  <si>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</si>
  <si>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</si>
  <si>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</si>
  <si>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</si>
  <si>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</si>
  <si>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</si>
  <si>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</si>
  <si>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</si>
  <si>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</si>
  <si>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</si>
  <si>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</si>
  <si>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</si>
  <si>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</si>
  <si>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</si>
  <si>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</si>
  <si>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</si>
  <si>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</si>
  <si>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</si>
  <si>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</si>
  <si>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</si>
  <si>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</si>
  <si>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</si>
  <si>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</si>
  <si>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</si>
  <si>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</si>
  <si>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</si>
  <si>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</si>
  <si>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</si>
  <si>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</si>
  <si>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</si>
  <si>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</si>
  <si>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</si>
  <si>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</si>
  <si>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</si>
  <si>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</si>
  <si>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</si>
  <si>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</si>
  <si>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</si>
  <si>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</si>
  <si>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</si>
  <si>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</si>
  <si>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</si>
  <si>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</si>
  <si>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</si>
  <si>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</si>
  <si>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</si>
  <si>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</si>
  <si>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</si>
  <si>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</si>
  <si>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</si>
  <si>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</si>
  <si>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</si>
  <si>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</si>
  <si>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</si>
  <si>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</si>
  <si>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</si>
  <si>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</si>
  <si>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</si>
  <si>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</si>
  <si>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</si>
  <si>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</si>
  <si>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</si>
  <si>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</si>
  <si>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</si>
  <si>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</si>
  <si>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</si>
  <si>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</si>
  <si>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</si>
  <si>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</si>
  <si>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</si>
  <si>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</si>
  <si>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</si>
  <si>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</si>
  <si>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</si>
  <si>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</si>
  <si>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</si>
  <si>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</si>
  <si>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</si>
  <si>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</si>
  <si>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</si>
  <si>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</si>
  <si>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</si>
  <si>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</si>
  <si>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</si>
  <si>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</si>
  <si>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</si>
  <si>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</si>
  <si>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</si>
  <si>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</si>
  <si>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</si>
  <si>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</si>
  <si>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</si>
  <si>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</si>
  <si>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</si>
  <si>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</si>
  <si>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</si>
  <si>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</si>
  <si>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</si>
  <si>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</si>
  <si>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</si>
  <si>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</si>
  <si>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</si>
  <si>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</si>
  <si>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</si>
  <si>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</si>
  <si>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</si>
  <si>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</si>
  <si>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</si>
  <si>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</si>
  <si>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</si>
  <si>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</si>
  <si>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</si>
  <si>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</si>
  <si>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</si>
  <si>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</si>
  <si>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</si>
  <si>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</si>
  <si>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</si>
  <si>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</si>
  <si>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</si>
  <si>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</si>
  <si>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</si>
  <si>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</si>
  <si>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</si>
  <si>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</si>
  <si>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</si>
  <si>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</si>
  <si>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</si>
  <si>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</si>
  <si>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</si>
  <si>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</si>
  <si>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</si>
  <si>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</si>
  <si>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</si>
  <si>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</si>
  <si>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</si>
  <si>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</si>
  <si>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</si>
  <si>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</si>
  <si>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</si>
  <si>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</si>
  <si>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</si>
  <si>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</si>
  <si>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</si>
  <si>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</si>
  <si>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</si>
  <si>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</si>
  <si>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</si>
  <si>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</si>
  <si>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</si>
  <si>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</si>
  <si>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</si>
  <si>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</si>
  <si>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</si>
  <si>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</si>
  <si>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</si>
  <si>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</si>
  <si>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</si>
  <si>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</si>
  <si>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</si>
  <si>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</si>
  <si>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</si>
  <si>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</si>
  <si>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</si>
  <si>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</si>
  <si>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</si>
  <si>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</si>
  <si>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</si>
  <si>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</si>
  <si>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</si>
  <si>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</si>
  <si>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</si>
  <si>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</si>
  <si>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</si>
  <si>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</si>
  <si>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</si>
  <si>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</si>
  <si>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</si>
  <si>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</si>
  <si>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</si>
  <si>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</si>
  <si>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</si>
  <si>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</si>
  <si>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</si>
  <si>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</si>
  <si>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</si>
  <si>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</si>
  <si>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</si>
  <si>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</si>
  <si>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</si>
  <si>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</si>
  <si>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</si>
  <si>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</si>
  <si>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</si>
  <si>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</si>
  <si>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</si>
  <si>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</si>
  <si>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</si>
  <si>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</si>
  <si>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</si>
  <si>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</si>
  <si>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</si>
  <si>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</si>
  <si>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</si>
  <si>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</si>
  <si>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</si>
  <si>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</si>
  <si>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</si>
  <si>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</si>
  <si>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</si>
  <si>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</si>
  <si>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</si>
  <si>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</si>
  <si>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</si>
  <si>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</si>
  <si>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</si>
  <si>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</si>
  <si>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</si>
  <si>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</si>
  <si>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</si>
  <si>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</si>
  <si>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</si>
  <si>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</si>
  <si>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</si>
  <si>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</si>
  <si>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</si>
  <si>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</si>
  <si>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</si>
  <si>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</si>
  <si>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</si>
  <si>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</si>
  <si>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</si>
  <si>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</si>
  <si>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</si>
  <si>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</si>
  <si>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</si>
  <si>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</si>
  <si>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</si>
  <si>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</si>
  <si>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</si>
  <si>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</si>
  <si>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</si>
  <si>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</si>
  <si>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</si>
  <si>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</si>
  <si>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</si>
  <si>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</si>
  <si>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</si>
  <si>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</si>
  <si>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</si>
  <si>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</si>
  <si>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</si>
  <si>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</si>
  <si>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</si>
  <si>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</si>
  <si>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</si>
  <si>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</si>
  <si>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</si>
  <si>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</si>
  <si>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</si>
  <si>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</si>
  <si>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</si>
  <si>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</si>
  <si>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</si>
  <si>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</si>
  <si>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</si>
  <si>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</si>
  <si>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</si>
  <si>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</si>
  <si>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</si>
  <si>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</si>
  <si>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</si>
  <si>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</si>
  <si>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</si>
  <si>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</si>
  <si>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</si>
  <si>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</si>
  <si>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</si>
  <si>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</si>
  <si>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</si>
  <si>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</si>
  <si>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</si>
  <si>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</si>
  <si>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</si>
  <si>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</si>
  <si>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</si>
  <si>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</si>
  <si>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</si>
  <si>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</si>
  <si>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</si>
  <si>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</si>
  <si>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</si>
  <si>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</si>
  <si>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</si>
  <si>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</si>
  <si>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</si>
  <si>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</si>
  <si>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</si>
  <si>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</si>
  <si>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</si>
  <si>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</si>
  <si>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</si>
  <si>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</si>
  <si>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</si>
  <si>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</si>
  <si>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</si>
  <si>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</si>
  <si>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</si>
  <si>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</si>
  <si>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</si>
  <si>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</si>
  <si>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</si>
  <si>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</si>
  <si>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</si>
  <si>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</si>
  <si>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</si>
  <si>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</si>
  <si>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</si>
  <si>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</si>
  <si>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</si>
  <si>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</si>
  <si>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</si>
  <si>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</si>
  <si>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</si>
  <si>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</si>
  <si>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</si>
  <si>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</si>
  <si>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</si>
  <si>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</si>
  <si>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</si>
  <si>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</si>
  <si>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</si>
  <si>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</si>
  <si>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</si>
  <si>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</si>
  <si>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</si>
  <si>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</si>
  <si>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</si>
  <si>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</si>
  <si>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</si>
  <si>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</si>
  <si>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</si>
  <si>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</si>
  <si>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</si>
  <si>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</si>
  <si>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</si>
  <si>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</si>
  <si>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</si>
  <si>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</si>
  <si>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</si>
  <si>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</si>
  <si>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</si>
  <si>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</si>
  <si>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</si>
  <si>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</si>
  <si>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</si>
  <si>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</si>
  <si>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</si>
  <si>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</si>
  <si>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</si>
  <si>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</si>
  <si>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</si>
  <si>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</si>
  <si>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</si>
  <si>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</si>
  <si>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</si>
  <si>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</si>
  <si>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</si>
  <si>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</si>
  <si>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</si>
  <si>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</si>
  <si>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</si>
  <si>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</si>
  <si>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</si>
  <si>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</si>
  <si>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</si>
  <si>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</si>
  <si>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</si>
  <si>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</si>
  <si>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</si>
  <si>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</si>
  <si>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</si>
  <si>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</si>
  <si>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</si>
  <si>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</si>
  <si>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</si>
  <si>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</si>
  <si>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</si>
  <si>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</si>
  <si>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</si>
  <si>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</si>
  <si>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</si>
  <si>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</si>
  <si>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</si>
  <si>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</si>
  <si>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</si>
  <si>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</si>
  <si>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</si>
  <si>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</si>
  <si>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</si>
  <si>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</si>
  <si>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</si>
  <si>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</si>
  <si>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</si>
  <si>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</si>
  <si>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</si>
  <si>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</si>
  <si>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</si>
  <si>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</si>
  <si>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</si>
  <si>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</si>
  <si>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</si>
  <si>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</si>
  <si>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</si>
  <si>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</si>
  <si>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</si>
  <si>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</si>
  <si>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</si>
  <si>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</si>
  <si>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</si>
  <si>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</si>
  <si>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</si>
  <si>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</si>
  <si>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</si>
  <si>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</si>
  <si>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</si>
  <si>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</si>
  <si>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</si>
  <si>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</si>
  <si>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</si>
  <si>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</si>
  <si>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</si>
  <si>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</si>
  <si>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</si>
  <si>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</si>
  <si>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</si>
  <si>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</si>
  <si>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</si>
  <si>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</si>
  <si>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</si>
  <si>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</si>
  <si>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</si>
  <si>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</si>
  <si>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</si>
  <si>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</si>
  <si>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</si>
  <si>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</si>
  <si>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</si>
  <si>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</si>
  <si>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</si>
  <si>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</si>
  <si>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</si>
  <si>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</si>
  <si>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</si>
  <si>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</si>
  <si>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</si>
  <si>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</si>
  <si>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</si>
  <si>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</si>
  <si>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</si>
  <si>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</si>
  <si>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</si>
  <si>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</si>
  <si>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</si>
  <si>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</si>
  <si>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</si>
  <si>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</si>
  <si>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</si>
  <si>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</si>
  <si>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</si>
  <si>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</si>
  <si>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</si>
  <si>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</si>
  <si>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</si>
  <si>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</si>
  <si>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</si>
  <si>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</si>
  <si>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</si>
  <si>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</si>
  <si>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</si>
  <si>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</si>
  <si>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</si>
  <si>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</si>
  <si>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</si>
  <si>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</si>
  <si>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</si>
  <si>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</si>
  <si>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</si>
  <si>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</si>
  <si>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</si>
  <si>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</si>
  <si>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</si>
  <si>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</si>
  <si>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</si>
  <si>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</si>
  <si>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</si>
  <si>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</si>
  <si>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</si>
  <si>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</si>
  <si>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</si>
  <si>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</si>
  <si>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</si>
  <si>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</si>
  <si>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</si>
  <si>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</si>
  <si>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</si>
  <si>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</si>
  <si>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</si>
  <si>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</si>
  <si>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</si>
  <si>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</si>
  <si>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</si>
  <si>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</si>
  <si>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</si>
  <si>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</si>
  <si>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</si>
  <si>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</si>
  <si>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</si>
  <si>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</si>
  <si>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</si>
  <si>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</si>
  <si>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</si>
  <si>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</si>
  <si>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</si>
  <si>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</si>
  <si>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</si>
  <si>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</si>
  <si>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</si>
  <si>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</si>
  <si>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</si>
  <si>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</si>
  <si>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</si>
  <si>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</si>
  <si>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</si>
  <si>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</si>
  <si>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</si>
  <si>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</si>
  <si>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</si>
  <si>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</si>
  <si>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</si>
  <si>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</si>
  <si>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</si>
  <si>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</si>
  <si>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</si>
  <si>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</si>
  <si>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</si>
  <si>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</si>
  <si>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</si>
  <si>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</si>
  <si>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</si>
  <si>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</si>
  <si>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</si>
  <si>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</si>
  <si>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</si>
  <si>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</si>
  <si>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</si>
  <si>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</si>
  <si>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</si>
  <si>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</si>
  <si>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</si>
  <si>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</si>
  <si>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</si>
  <si>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</si>
  <si>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</si>
  <si>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</si>
  <si>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</si>
  <si>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</si>
  <si>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</si>
  <si>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</si>
  <si>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</si>
  <si>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</si>
  <si>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</si>
  <si>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</si>
  <si>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</si>
  <si>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</si>
  <si>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</si>
  <si>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</si>
  <si>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</si>
  <si>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</si>
  <si>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</si>
  <si>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</si>
  <si>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</si>
  <si>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</si>
  <si>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</si>
  <si>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</si>
  <si>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</si>
  <si>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</si>
  <si>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</si>
  <si>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</si>
  <si>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</si>
  <si>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</si>
  <si>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</si>
  <si>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</si>
  <si>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</si>
  <si>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</si>
  <si>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</si>
  <si>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</si>
  <si>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</si>
  <si>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</si>
  <si>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</si>
  <si>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</si>
  <si>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</si>
  <si>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</si>
  <si>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</si>
  <si>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</si>
  <si>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</si>
  <si>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</si>
  <si>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</si>
  <si>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</si>
  <si>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</si>
  <si>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</si>
  <si>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</si>
  <si>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</si>
  <si>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</si>
  <si>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</si>
  <si>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</si>
  <si>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</si>
  <si>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</si>
  <si>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</si>
  <si>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</si>
  <si>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</si>
  <si>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</si>
  <si>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</si>
  <si>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</si>
  <si>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</si>
  <si>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</si>
  <si>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</si>
  <si>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</si>
  <si>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</si>
  <si>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</si>
  <si>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</si>
  <si>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</si>
  <si>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</si>
  <si>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</si>
  <si>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</si>
  <si>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</si>
  <si>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</si>
  <si>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</si>
  <si>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</si>
  <si>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</si>
  <si>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</si>
  <si>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</si>
  <si>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</si>
  <si>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</si>
  <si>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</si>
  <si>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</si>
  <si>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</si>
  <si>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</si>
  <si>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</si>
  <si>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</si>
  <si>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</si>
  <si>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</si>
  <si>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</si>
  <si>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</si>
  <si>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</si>
  <si>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</si>
  <si>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</si>
  <si>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</si>
  <si>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</si>
  <si>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</si>
  <si>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</si>
  <si>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</si>
  <si>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</si>
  <si>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</si>
  <si>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</si>
  <si>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</si>
  <si>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</si>
  <si>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</si>
  <si>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</si>
  <si>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</si>
  <si>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</si>
  <si>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</si>
  <si>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</si>
  <si>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</si>
  <si>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</si>
  <si>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</si>
  <si>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</si>
  <si>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</si>
  <si>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</si>
  <si>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</si>
  <si>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</si>
  <si>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</si>
  <si>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</si>
  <si>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</si>
  <si>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</si>
  <si>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</si>
  <si>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</si>
  <si>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</si>
  <si>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</si>
  <si>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</si>
  <si>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</si>
  <si>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</si>
  <si>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</si>
  <si>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</si>
  <si>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</si>
  <si>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</si>
  <si>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</si>
  <si>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</si>
  <si>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</si>
  <si>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</si>
  <si>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</si>
  <si>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</si>
  <si>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</si>
  <si>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</si>
  <si>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</si>
  <si>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</si>
  <si>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</si>
  <si>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</si>
  <si>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</si>
  <si>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</si>
  <si>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</si>
  <si>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</si>
  <si>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</si>
  <si>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</si>
  <si>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</si>
  <si>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</si>
  <si>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</si>
  <si>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</si>
  <si>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</si>
  <si>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</si>
  <si>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</si>
  <si>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</si>
  <si>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</si>
  <si>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</si>
  <si>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</si>
  <si>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</si>
  <si>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</si>
  <si>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</si>
  <si>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</si>
  <si>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</si>
  <si>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</si>
  <si>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</si>
  <si>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</si>
  <si>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</si>
  <si>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</si>
  <si>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</si>
  <si>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</si>
  <si>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</si>
  <si>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</si>
  <si>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</si>
  <si>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</si>
  <si>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</si>
  <si>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</si>
  <si>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</si>
  <si>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</si>
  <si>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</si>
  <si>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</si>
  <si>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</si>
  <si>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</si>
  <si>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</si>
  <si>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</si>
  <si>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</si>
  <si>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</si>
  <si>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</si>
  <si>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</si>
  <si>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</si>
  <si>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</si>
  <si>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</si>
  <si>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</si>
  <si>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</si>
  <si>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</si>
  <si>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</si>
  <si>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</si>
  <si>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</si>
  <si>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</si>
  <si>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</si>
  <si>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</si>
  <si>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</si>
  <si>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</si>
  <si>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</si>
  <si>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</si>
  <si>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</si>
  <si>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</si>
  <si>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</si>
  <si>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</si>
  <si>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</si>
  <si>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</si>
  <si>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</si>
  <si>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</si>
  <si>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</si>
  <si>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</si>
  <si>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</si>
  <si>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</si>
  <si>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</si>
  <si>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</si>
  <si>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</si>
  <si>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</si>
  <si>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</si>
  <si>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</si>
  <si>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</si>
  <si>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</si>
  <si>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</si>
  <si>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</si>
  <si>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</si>
  <si>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</si>
  <si>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</si>
  <si>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</si>
  <si>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</si>
  <si>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</si>
  <si>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</si>
  <si>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</si>
  <si>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</si>
  <si>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</si>
  <si>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</si>
  <si>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</si>
  <si>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</si>
  <si>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</si>
  <si>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</si>
  <si>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</si>
  <si>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</si>
  <si>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</si>
  <si>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</si>
  <si>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</si>
  <si>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</si>
  <si>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</si>
  <si>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</si>
  <si>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</si>
  <si>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</si>
  <si>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</si>
  <si>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</si>
  <si>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</si>
  <si>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</si>
  <si>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</si>
  <si>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</si>
  <si>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</si>
  <si>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</si>
  <si>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</si>
  <si>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</si>
  <si>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</si>
  <si>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</si>
  <si>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</si>
  <si>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</si>
  <si>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</si>
  <si>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</si>
  <si>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</si>
  <si>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</si>
  <si>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</si>
  <si>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</si>
  <si>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</si>
  <si>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</si>
  <si>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</si>
  <si>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</si>
  <si>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</si>
  <si>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</si>
  <si>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</si>
  <si>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</si>
  <si>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</si>
  <si>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</si>
  <si>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</si>
  <si>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</si>
  <si>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</si>
  <si>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</si>
  <si>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</si>
  <si>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</si>
  <si>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</si>
  <si>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</si>
  <si>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</si>
  <si>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</si>
  <si>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</si>
  <si>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</si>
  <si>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</si>
  <si>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</si>
  <si>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</si>
  <si>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</si>
  <si>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</si>
  <si>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</si>
  <si>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</si>
  <si>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</si>
  <si>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</si>
  <si>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</si>
  <si>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</si>
  <si>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</si>
  <si>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</si>
  <si>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</si>
  <si>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</si>
  <si>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</si>
  <si>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</si>
  <si>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</si>
  <si>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</si>
  <si>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</si>
  <si>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</si>
  <si>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</si>
  <si>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</si>
  <si>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</si>
  <si>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</si>
  <si>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</si>
  <si>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</si>
  <si>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</si>
  <si>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</si>
  <si>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</si>
  <si>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</si>
  <si>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</si>
  <si>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</si>
  <si>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</si>
  <si>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</si>
  <si>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</si>
  <si>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</si>
  <si>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</si>
  <si>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</si>
  <si>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</si>
  <si>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</si>
  <si>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</si>
  <si>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</si>
  <si>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</si>
  <si>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</si>
  <si>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</si>
  <si>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</si>
  <si>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</si>
  <si>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</si>
  <si>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</si>
  <si>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</si>
  <si>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</si>
  <si>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</si>
  <si>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</si>
  <si>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</si>
  <si>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</si>
  <si>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</si>
  <si>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</si>
  <si>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</si>
  <si>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</si>
  <si>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</si>
  <si>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</si>
  <si>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</si>
  <si>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</si>
  <si>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</si>
  <si>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</si>
  <si>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</si>
  <si>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</si>
  <si>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</si>
  <si>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</si>
  <si>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</si>
  <si>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</si>
  <si>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</si>
  <si>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</si>
  <si>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</si>
  <si>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</si>
  <si>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</si>
  <si>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</si>
  <si>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</si>
  <si>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</si>
  <si>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</si>
  <si>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</si>
  <si>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</si>
  <si>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</si>
  <si>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</si>
  <si>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</si>
  <si>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</si>
  <si>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</si>
  <si>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</si>
  <si>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</si>
  <si>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</si>
  <si>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</si>
  <si>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</si>
  <si>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</si>
  <si>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</si>
  <si>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</si>
  <si>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</si>
  <si>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</si>
  <si>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</si>
  <si>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</si>
  <si>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</si>
  <si>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</si>
  <si>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</si>
  <si>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</si>
  <si>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</si>
  <si>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</si>
  <si>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</si>
  <si>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</si>
  <si>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</si>
  <si>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</si>
  <si>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</si>
  <si>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</si>
  <si>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</si>
  <si>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</si>
  <si>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</si>
  <si>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</si>
  <si>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</si>
  <si>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</si>
  <si>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</si>
  <si>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</si>
  <si>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</si>
  <si>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</si>
  <si>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</si>
  <si>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</si>
  <si>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</si>
  <si>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</si>
  <si>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</si>
  <si>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</si>
  <si>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</si>
  <si>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</si>
  <si>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</si>
  <si>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</si>
  <si>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</si>
  <si>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</si>
  <si>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</si>
  <si>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</si>
  <si>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</si>
  <si>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</si>
  <si>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</si>
  <si>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</si>
  <si>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</si>
  <si>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</si>
  <si>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</si>
  <si>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</si>
  <si>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</si>
  <si>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</si>
  <si>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</si>
  <si>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</si>
  <si>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</si>
  <si>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</si>
  <si>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</si>
  <si>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</si>
  <si>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</si>
  <si>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</si>
  <si>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</si>
  <si>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</si>
  <si>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</si>
  <si>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</si>
  <si>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</si>
  <si>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</si>
  <si>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</si>
  <si>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</si>
  <si>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</si>
  <si>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</si>
  <si>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</si>
  <si>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</si>
  <si>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</si>
  <si>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</si>
  <si>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</si>
  <si>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</si>
  <si>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</si>
  <si>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</si>
  <si>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</si>
  <si>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</si>
  <si>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</si>
  <si>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</si>
  <si>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</si>
  <si>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</si>
  <si>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</si>
  <si>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</si>
  <si>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</si>
  <si>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</si>
  <si>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</si>
  <si>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</si>
  <si>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</si>
  <si>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</si>
  <si>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</si>
  <si>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</si>
  <si>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</si>
  <si>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</si>
  <si>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</si>
  <si>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</si>
  <si>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</si>
  <si>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</si>
  <si>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</si>
  <si>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</si>
  <si>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</si>
  <si>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</si>
  <si>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</si>
  <si>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</si>
  <si>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</si>
  <si>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</si>
  <si>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</si>
  <si>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</si>
  <si>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</si>
  <si>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</si>
  <si>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</si>
  <si>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</si>
  <si>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</si>
  <si>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</si>
  <si>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</si>
  <si>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</si>
  <si>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</si>
  <si>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</si>
  <si>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</si>
  <si>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</si>
  <si>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</si>
  <si>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</si>
  <si>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</si>
  <si>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</si>
  <si>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</si>
  <si>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</si>
  <si>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</si>
  <si>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</si>
  <si>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</si>
  <si>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</si>
  <si>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</si>
  <si>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</si>
  <si>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</si>
  <si>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</si>
  <si>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</si>
  <si>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</si>
  <si>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</si>
  <si>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</si>
  <si>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</si>
  <si>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</si>
  <si>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</si>
  <si>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</si>
  <si>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</si>
  <si>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</si>
  <si>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</si>
  <si>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</si>
  <si>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</si>
  <si>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</si>
  <si>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</si>
  <si>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</si>
  <si>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</si>
  <si>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</si>
  <si>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</si>
  <si>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</si>
  <si>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</si>
  <si>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</si>
  <si>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</si>
  <si>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</si>
  <si>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</si>
  <si>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</si>
  <si>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</si>
  <si>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</si>
  <si>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</si>
  <si>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</si>
  <si>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</si>
  <si>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</si>
  <si>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</si>
  <si>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</si>
  <si>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</si>
  <si>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</si>
  <si>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</si>
  <si>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</si>
  <si>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</si>
  <si>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</si>
  <si>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</si>
  <si>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</si>
  <si>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</si>
  <si>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</si>
  <si>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</si>
  <si>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</si>
  <si>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</si>
  <si>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</si>
  <si>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</si>
  <si>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</si>
  <si>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</si>
  <si>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</si>
  <si>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</si>
  <si>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</si>
  <si>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</si>
  <si>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</si>
  <si>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</si>
  <si>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</si>
  <si>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</si>
  <si>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</si>
  <si>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</si>
  <si>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</si>
  <si>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</si>
  <si>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</si>
  <si>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</si>
  <si>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</si>
  <si>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</si>
  <si>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</si>
  <si>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</si>
  <si>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</si>
  <si>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</si>
  <si>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</si>
  <si>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</si>
  <si>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</si>
  <si>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</si>
  <si>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</si>
  <si>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</si>
  <si>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</si>
  <si>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</si>
  <si>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</si>
  <si>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</si>
  <si>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</si>
  <si>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</si>
  <si>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</si>
  <si>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</si>
  <si>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</si>
  <si>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</si>
  <si>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</si>
  <si>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</si>
  <si>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</si>
  <si>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</si>
  <si>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</si>
  <si>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</si>
  <si>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</si>
  <si>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</si>
  <si>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</si>
  <si>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</si>
  <si>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</si>
  <si>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</si>
  <si>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</si>
  <si>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</si>
  <si>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</si>
  <si>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</si>
  <si>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</si>
  <si>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</si>
  <si>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</si>
  <si>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</si>
  <si>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</si>
  <si>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</si>
  <si>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</si>
  <si>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</si>
  <si>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</si>
  <si>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</si>
  <si>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</si>
  <si>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</si>
  <si>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</si>
  <si>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</si>
  <si>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</si>
  <si>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</si>
  <si>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</si>
  <si>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</si>
  <si>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</si>
  <si>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</si>
  <si>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</si>
  <si>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</si>
  <si>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</si>
  <si>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</si>
  <si>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</si>
  <si>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</si>
  <si>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</si>
  <si>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</si>
  <si>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</si>
  <si>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</si>
  <si>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</si>
  <si>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</si>
  <si>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</si>
  <si>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</si>
  <si>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</si>
  <si>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</si>
  <si>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</si>
  <si>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</si>
  <si>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</si>
  <si>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</si>
  <si>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</si>
  <si>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</si>
  <si>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</si>
  <si>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</si>
  <si>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</si>
  <si>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</si>
  <si>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</si>
  <si>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</si>
  <si>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</si>
  <si>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</si>
  <si>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</si>
  <si>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</si>
  <si>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</si>
  <si>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</si>
  <si>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</si>
  <si>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</si>
  <si>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</si>
  <si>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</si>
  <si>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</si>
  <si>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</si>
  <si>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</si>
  <si>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</si>
  <si>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</si>
  <si>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</si>
  <si>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</si>
  <si>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</si>
  <si>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</si>
  <si>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</si>
  <si>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</si>
  <si>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</si>
  <si>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</si>
  <si>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</si>
  <si>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</si>
  <si>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</si>
  <si>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</si>
  <si>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</si>
  <si>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</si>
  <si>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</si>
  <si>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</si>
  <si>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</si>
  <si>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</si>
  <si>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</si>
  <si>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</si>
  <si>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</si>
  <si>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</si>
  <si>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</si>
  <si>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</si>
  <si>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</si>
  <si>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</si>
  <si>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</si>
  <si>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</si>
  <si>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</si>
  <si>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</si>
  <si>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</si>
  <si>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</si>
  <si>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</si>
  <si>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</si>
  <si>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</si>
  <si>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</si>
  <si>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</si>
  <si>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</si>
  <si>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</si>
  <si>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</si>
  <si>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</si>
  <si>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</si>
  <si>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</si>
  <si>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</si>
  <si>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</si>
  <si>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</si>
  <si>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</si>
  <si>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</si>
  <si>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</si>
  <si>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</si>
  <si>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</si>
  <si>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</si>
  <si>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</si>
  <si>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</si>
  <si>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</si>
  <si>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</si>
  <si>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</si>
  <si>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</si>
  <si>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</si>
  <si>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</si>
  <si>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</si>
  <si>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</si>
  <si>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</si>
  <si>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</si>
  <si>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</si>
  <si>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</si>
  <si>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</si>
  <si>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</si>
  <si>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</si>
  <si>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</si>
  <si>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</si>
  <si>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</si>
  <si>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</si>
  <si>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</si>
  <si>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</si>
  <si>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</si>
  <si>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</si>
  <si>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</si>
  <si>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</si>
  <si>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</si>
  <si>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</si>
  <si>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</si>
  <si>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</si>
  <si>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</si>
  <si>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</si>
  <si>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</si>
  <si>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</si>
  <si>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</si>
  <si>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</si>
  <si>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</si>
  <si>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</si>
  <si>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</si>
  <si>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</si>
  <si>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</si>
  <si>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</si>
  <si>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</si>
  <si>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</si>
  <si>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</si>
  <si>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</si>
  <si>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</si>
  <si>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</si>
  <si>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</si>
  <si>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</si>
  <si>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</si>
  <si>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</si>
  <si>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</si>
  <si>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</si>
  <si>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</si>
  <si>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</si>
  <si>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</si>
  <si>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</si>
  <si>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</si>
  <si>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</si>
  <si>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</si>
  <si>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</si>
  <si>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</si>
  <si>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</si>
  <si>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</si>
  <si>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</si>
  <si>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</si>
  <si>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</si>
  <si>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</si>
  <si>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</si>
  <si>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</si>
  <si>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</si>
  <si>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</si>
  <si>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</si>
  <si>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</si>
  <si>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</si>
  <si>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</si>
  <si>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</si>
  <si>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</si>
  <si>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</si>
  <si>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</si>
  <si>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</si>
  <si>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</si>
  <si>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</si>
  <si>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</si>
  <si>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</si>
  <si>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</si>
  <si>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</si>
  <si>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</si>
  <si>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</si>
  <si>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</si>
  <si>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</si>
  <si>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</si>
  <si>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</si>
  <si>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</si>
  <si>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</si>
  <si>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</si>
  <si>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</si>
  <si>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</si>
  <si>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</si>
  <si>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</si>
  <si>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</si>
  <si>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</si>
  <si>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</si>
  <si>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</si>
  <si>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</si>
  <si>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</si>
  <si>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</si>
  <si>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</si>
  <si>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</si>
  <si>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</si>
  <si>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</si>
  <si>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</si>
  <si>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</si>
  <si>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</si>
  <si>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</si>
  <si>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</si>
  <si>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</si>
  <si>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</si>
  <si>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</si>
  <si>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</si>
  <si>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</si>
  <si>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</si>
  <si>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</si>
  <si>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</si>
  <si>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</si>
  <si>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</si>
  <si>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</si>
  <si>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</si>
  <si>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</si>
  <si>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</si>
  <si>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</si>
  <si>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</si>
  <si>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</si>
  <si>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</si>
  <si>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</si>
  <si>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</si>
  <si>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</si>
  <si>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</si>
  <si>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</si>
  <si>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</si>
  <si>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</si>
  <si>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</si>
  <si>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</si>
  <si>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</si>
  <si>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</si>
  <si>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</si>
  <si>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</si>
  <si>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</si>
  <si>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</si>
  <si>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</si>
  <si>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</si>
  <si>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</si>
  <si>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</si>
  <si>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</si>
  <si>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</si>
  <si>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</si>
  <si>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</si>
  <si>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</si>
  <si>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</si>
  <si>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</si>
  <si>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</si>
  <si>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</si>
  <si>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</si>
  <si>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</si>
  <si>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</si>
  <si>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</si>
  <si>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</si>
  <si>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</si>
  <si>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</si>
  <si>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</si>
  <si>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</si>
  <si>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</si>
  <si>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</si>
  <si>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</si>
  <si>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</si>
  <si>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</si>
  <si>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</si>
  <si>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</si>
  <si>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</si>
  <si>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</si>
  <si>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</si>
  <si>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</si>
  <si>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</si>
  <si>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</si>
  <si>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</si>
  <si>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</si>
  <si>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</si>
  <si>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</si>
  <si>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</si>
  <si>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</si>
  <si>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</si>
  <si>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</si>
  <si>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</si>
  <si>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</si>
  <si>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</si>
  <si>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</si>
  <si>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</si>
  <si>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</si>
  <si>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</si>
  <si>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</si>
  <si>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</si>
  <si>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</si>
  <si>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</si>
  <si>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</si>
  <si>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</si>
  <si>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</si>
  <si>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</si>
  <si>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</si>
  <si>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</si>
  <si>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</si>
  <si>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</si>
  <si>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</si>
  <si>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</si>
  <si>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</si>
  <si>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</si>
  <si>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</si>
  <si>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</si>
  <si>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</si>
  <si>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</si>
  <si>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</si>
  <si>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</si>
  <si>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</si>
  <si>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</si>
  <si>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</si>
  <si>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</si>
  <si>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</si>
  <si>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</si>
  <si>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</si>
  <si>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</si>
  <si>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</si>
  <si>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</si>
  <si>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</si>
  <si>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</si>
  <si>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</si>
  <si>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</si>
  <si>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</si>
  <si>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</si>
  <si>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</si>
  <si>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</si>
  <si>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</si>
  <si>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</si>
  <si>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</si>
  <si>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</si>
  <si>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</si>
  <si>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</si>
  <si>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</si>
  <si>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</si>
  <si>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</si>
  <si>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</si>
  <si>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</si>
  <si>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</si>
  <si>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</si>
  <si>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</si>
  <si>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</si>
  <si>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</si>
  <si>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</si>
  <si>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</si>
  <si>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</si>
  <si>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</si>
  <si>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</si>
  <si>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</si>
  <si>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</si>
  <si>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</si>
  <si>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</si>
  <si>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</si>
  <si>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</si>
  <si>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</si>
  <si>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</si>
  <si>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</si>
  <si>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</si>
  <si>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</si>
  <si>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</si>
  <si>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</si>
  <si>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</si>
  <si>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</si>
  <si>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</si>
  <si>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</si>
  <si>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</si>
  <si>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</si>
  <si>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</si>
  <si>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</si>
  <si>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</si>
  <si>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</si>
  <si>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</si>
  <si>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</si>
  <si>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</si>
  <si>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</si>
  <si>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</si>
  <si>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</si>
  <si>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</si>
  <si>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</si>
  <si>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</si>
  <si>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</si>
  <si>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</si>
  <si>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</si>
  <si>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</si>
  <si>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</si>
  <si>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</si>
  <si>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</si>
  <si>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</si>
  <si>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</si>
  <si>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</si>
  <si>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</si>
  <si>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</si>
  <si>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</si>
  <si>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</si>
  <si>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</si>
  <si>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</si>
  <si>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</si>
  <si>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</si>
  <si>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</si>
  <si>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</si>
  <si>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</si>
  <si>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</si>
  <si>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</si>
  <si>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</si>
  <si>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</si>
  <si>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</si>
  <si>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</si>
  <si>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</si>
  <si>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</si>
  <si>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</si>
  <si>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</si>
  <si>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</si>
  <si>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</si>
  <si>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</si>
  <si>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</si>
  <si>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</si>
  <si>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</si>
  <si>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</si>
  <si>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</si>
  <si>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</si>
  <si>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</si>
  <si>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</si>
  <si>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</si>
  <si>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</si>
  <si>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</si>
  <si>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</si>
  <si>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</si>
  <si>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</si>
  <si>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</si>
  <si>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</si>
  <si>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</si>
  <si>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</si>
  <si>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</si>
  <si>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</si>
  <si>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</si>
  <si>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</si>
  <si>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</si>
  <si>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</si>
  <si>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</si>
  <si>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</si>
  <si>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</si>
  <si>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</si>
  <si>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</si>
  <si>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</si>
  <si>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</si>
  <si>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</si>
  <si>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</si>
  <si>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</si>
  <si>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</si>
  <si>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</si>
  <si>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</si>
  <si>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</si>
  <si>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</si>
  <si>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</si>
  <si>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</si>
  <si>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</si>
  <si>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</si>
  <si>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</si>
  <si>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</si>
  <si>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</si>
  <si>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</si>
  <si>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</si>
  <si>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</si>
  <si>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</si>
  <si>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</si>
  <si>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</si>
  <si>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</si>
  <si>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</si>
  <si>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</si>
  <si>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</si>
  <si>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</si>
  <si>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</si>
  <si>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</si>
  <si>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</si>
  <si>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</si>
  <si>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</si>
  <si>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</si>
  <si>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</si>
  <si>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</si>
  <si>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</si>
  <si>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</si>
  <si>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</si>
  <si>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</si>
  <si>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</si>
  <si>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</si>
  <si>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</si>
  <si>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</si>
  <si>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</si>
  <si>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</si>
  <si>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</si>
  <si>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</si>
  <si>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</si>
  <si>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</si>
  <si>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</si>
  <si>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</si>
  <si>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</si>
  <si>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</si>
  <si>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</si>
  <si>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</si>
  <si>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</si>
  <si>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</si>
  <si>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</si>
  <si>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</si>
  <si>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</si>
  <si>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</si>
  <si>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</si>
  <si>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</si>
  <si>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</si>
  <si>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</si>
  <si>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</si>
  <si>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</si>
  <si>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</si>
  <si>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</si>
  <si>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</si>
  <si>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</si>
  <si>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</si>
  <si>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</si>
  <si>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</si>
  <si>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</si>
  <si>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</si>
  <si>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</si>
  <si>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</si>
  <si>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</si>
  <si>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</si>
  <si>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</si>
  <si>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</si>
  <si>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</si>
  <si>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</si>
  <si>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</si>
  <si>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</si>
  <si>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</si>
  <si>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</si>
  <si>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</si>
  <si>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</si>
  <si>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</si>
  <si>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</si>
  <si>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</si>
  <si>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</si>
  <si>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</si>
  <si>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</si>
  <si>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</si>
  <si>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</si>
  <si>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</si>
  <si>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</si>
  <si>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</si>
  <si>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</si>
  <si>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</si>
  <si>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</si>
  <si>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</si>
  <si>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</si>
  <si>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</si>
  <si>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</si>
  <si>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</si>
  <si>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</si>
  <si>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</si>
  <si>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</si>
  <si>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</si>
  <si>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</si>
  <si>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</si>
  <si>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</si>
  <si>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</si>
  <si>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</si>
  <si>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</si>
  <si>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</si>
  <si>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</si>
  <si>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</si>
  <si>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</si>
  <si>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</si>
  <si>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</si>
  <si>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</si>
  <si>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</si>
  <si>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</si>
  <si>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</si>
  <si>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</si>
  <si>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</si>
  <si>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</si>
  <si>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</si>
  <si>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</si>
  <si>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</si>
  <si>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</si>
  <si>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</si>
  <si>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</si>
  <si>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</si>
  <si>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</si>
  <si>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</si>
  <si>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</si>
  <si>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</si>
  <si>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</si>
  <si>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</si>
  <si>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</si>
  <si>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</si>
  <si>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</si>
  <si>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</si>
  <si>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</si>
  <si>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</si>
  <si>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</si>
  <si>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</si>
  <si>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</si>
  <si>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</si>
  <si>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</si>
  <si>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</si>
  <si>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</si>
  <si>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</si>
  <si>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</si>
  <si>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</si>
  <si>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</si>
  <si>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</si>
  <si>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</si>
  <si>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</si>
  <si>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</si>
  <si>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</si>
  <si>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</si>
  <si>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</si>
  <si>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</si>
  <si>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</si>
  <si>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</si>
  <si>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</si>
  <si>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</si>
  <si>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</si>
  <si>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</si>
  <si>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</si>
  <si>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</si>
  <si>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</si>
  <si>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</si>
  <si>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</si>
  <si>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</si>
  <si>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</si>
  <si>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</si>
  <si>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</si>
  <si>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</si>
  <si>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</si>
  <si>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</si>
  <si>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</si>
  <si>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</si>
  <si>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</si>
  <si>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</si>
  <si>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</si>
  <si>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</si>
  <si>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</si>
  <si>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</si>
  <si>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</si>
  <si>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</si>
  <si>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</si>
  <si>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</si>
  <si>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</si>
  <si>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</si>
  <si>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</si>
  <si>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</si>
  <si>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</si>
  <si>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</si>
  <si>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</si>
  <si>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</si>
  <si>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</si>
  <si>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</si>
  <si>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</si>
  <si>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</si>
  <si>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</si>
  <si>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</si>
  <si>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</si>
  <si>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</si>
  <si>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</si>
  <si>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</si>
  <si>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</si>
  <si>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</si>
  <si>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</si>
  <si>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</si>
  <si>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</si>
  <si>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</si>
  <si>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</si>
  <si>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</si>
  <si>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</si>
  <si>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</si>
  <si>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</si>
  <si>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</si>
  <si>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</si>
  <si>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</si>
  <si>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</si>
  <si>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</si>
  <si>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</si>
  <si>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</si>
  <si>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</si>
  <si>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</si>
  <si>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</si>
  <si>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</si>
  <si>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</si>
  <si>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</si>
  <si>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</si>
  <si>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</si>
  <si>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</si>
  <si>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</si>
  <si>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</si>
  <si>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</si>
  <si>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</si>
  <si>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</si>
  <si>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</si>
  <si>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</si>
  <si>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</si>
  <si>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</si>
  <si>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</si>
  <si>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</si>
  <si>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</si>
  <si>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</si>
  <si>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</si>
  <si>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</si>
  <si>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</si>
  <si>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</si>
  <si>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</si>
  <si>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</si>
  <si>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</si>
  <si>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</si>
  <si>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</si>
  <si>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</si>
  <si>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</si>
  <si>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</si>
  <si>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</si>
  <si>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</si>
  <si>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</si>
  <si>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</si>
  <si>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</si>
  <si>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</si>
  <si>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</si>
  <si>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</si>
  <si>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</si>
  <si>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</si>
  <si>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</si>
  <si>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</si>
  <si>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</si>
  <si>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</si>
  <si>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</si>
  <si>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</si>
  <si>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</si>
  <si>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</si>
  <si>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</si>
  <si>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</si>
  <si>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</si>
  <si>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</si>
  <si>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</si>
  <si>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</si>
  <si>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</si>
  <si>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</si>
  <si>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</si>
  <si>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</si>
  <si>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</si>
  <si>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</si>
  <si>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</si>
  <si>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</si>
  <si>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</si>
  <si>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</si>
  <si>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</si>
  <si>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</si>
  <si>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</si>
  <si>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</si>
  <si>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</si>
  <si>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</si>
  <si>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</si>
  <si>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</si>
  <si>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</si>
  <si>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</si>
  <si>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</si>
  <si>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</si>
  <si>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</si>
  <si>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</si>
  <si>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</si>
  <si>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</si>
  <si>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</si>
  <si>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</si>
  <si>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</si>
  <si>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</si>
  <si>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</si>
  <si>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</si>
  <si>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</si>
  <si>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</si>
  <si>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</si>
  <si>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</si>
  <si>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</si>
  <si>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</si>
  <si>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</si>
  <si>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</si>
  <si>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</si>
  <si>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</si>
  <si>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</si>
  <si>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</si>
  <si>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</si>
  <si>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</si>
  <si>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</si>
  <si>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</si>
  <si>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</si>
  <si>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</si>
  <si>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</si>
  <si>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</si>
  <si>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</si>
  <si>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</si>
  <si>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</si>
  <si>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</si>
  <si>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</si>
  <si>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</si>
  <si>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</si>
  <si>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</si>
  <si>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</si>
  <si>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</si>
  <si>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</si>
  <si>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</si>
  <si>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</si>
  <si>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</si>
  <si>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</si>
  <si>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</si>
  <si>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</si>
  <si>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</si>
  <si>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</si>
  <si>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</si>
  <si>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</si>
  <si>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</si>
  <si>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</si>
  <si>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</si>
  <si>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</si>
  <si>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</si>
  <si>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</si>
  <si>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</si>
  <si>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</si>
  <si>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</si>
  <si>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</si>
  <si>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</si>
  <si>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</si>
  <si>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</si>
  <si>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</si>
  <si>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</si>
  <si>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</si>
  <si>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</si>
  <si>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</si>
  <si>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</si>
  <si>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</si>
  <si>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</si>
  <si>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</si>
  <si>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</si>
  <si>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</si>
  <si>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</si>
  <si>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</si>
  <si>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</si>
  <si>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</si>
  <si>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</si>
  <si>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</si>
  <si>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</si>
  <si>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</si>
  <si>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</si>
  <si>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</si>
  <si>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</si>
  <si>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</si>
  <si>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</si>
  <si>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</si>
  <si>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</si>
  <si>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</si>
  <si>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</si>
  <si>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</si>
  <si>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</si>
  <si>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</si>
  <si>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</si>
  <si>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</si>
  <si>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</si>
  <si>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</si>
  <si>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</si>
  <si>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</si>
  <si>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</si>
  <si>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</si>
  <si>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</si>
  <si>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</si>
  <si>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</si>
  <si>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</si>
  <si>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</si>
  <si>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</si>
  <si>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</si>
  <si>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</si>
  <si>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</si>
  <si>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</si>
  <si>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</si>
  <si>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</si>
  <si>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</si>
  <si>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</si>
  <si>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</si>
  <si>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</si>
  <si>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</si>
  <si>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</si>
  <si>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</si>
  <si>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</si>
  <si>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</si>
  <si>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</si>
  <si>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</si>
  <si>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</si>
  <si>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</si>
  <si>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</si>
  <si>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</si>
  <si>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</si>
  <si>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</si>
  <si>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</si>
  <si>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</si>
  <si>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</si>
  <si>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</si>
  <si>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</si>
  <si>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</si>
  <si>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</si>
  <si>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</si>
  <si>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</si>
  <si>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</si>
  <si>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</si>
  <si>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</si>
  <si>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</si>
  <si>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</si>
  <si>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</si>
  <si>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</si>
  <si>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</si>
  <si>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</si>
  <si>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</si>
  <si>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</si>
  <si>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</si>
  <si>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</si>
  <si>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</si>
  <si>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</si>
  <si>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</si>
  <si>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</si>
  <si>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</si>
  <si>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</si>
  <si>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</si>
  <si>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</si>
  <si>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</si>
  <si>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</si>
  <si>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</si>
  <si>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</si>
  <si>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</si>
  <si>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</si>
  <si>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</si>
  <si>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</si>
  <si>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</si>
  <si>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</si>
  <si>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</si>
  <si>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</si>
  <si>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</si>
  <si>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</si>
  <si>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</si>
  <si>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</si>
  <si>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</si>
  <si>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</si>
  <si>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</si>
  <si>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</si>
  <si>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</si>
  <si>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</si>
  <si>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</si>
  <si>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</si>
  <si>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</si>
  <si>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</si>
  <si>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</si>
  <si>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</si>
  <si>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</si>
  <si>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</si>
  <si>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</si>
  <si>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</si>
  <si>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</si>
  <si>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</si>
  <si>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</si>
  <si>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</si>
  <si>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</si>
  <si>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</si>
  <si>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</si>
  <si>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</si>
  <si>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</si>
  <si>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</si>
  <si>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</si>
  <si>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</si>
  <si>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</si>
  <si>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</si>
  <si>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</si>
  <si>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</si>
  <si>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</si>
  <si>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</si>
  <si>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</si>
  <si>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</si>
  <si>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</si>
  <si>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</si>
  <si>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</si>
  <si>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</si>
  <si>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</si>
  <si>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</si>
  <si>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</si>
  <si>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</si>
  <si>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</si>
  <si>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</si>
  <si>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</si>
  <si>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</si>
  <si>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</si>
  <si>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</si>
  <si>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</si>
  <si>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</si>
  <si>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</si>
  <si>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</si>
  <si>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</si>
  <si>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</si>
  <si>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</si>
  <si>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</si>
  <si>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</si>
  <si>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</si>
  <si>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</si>
  <si>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</si>
  <si>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</si>
  <si>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</si>
  <si>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</si>
  <si>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</si>
  <si>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</si>
  <si>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</si>
  <si>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</si>
  <si>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</si>
  <si>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</si>
  <si>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</si>
  <si>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</si>
  <si>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</si>
  <si>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</si>
  <si>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</si>
  <si>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</si>
  <si>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</si>
  <si>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</si>
  <si>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</si>
  <si>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</si>
  <si>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</si>
  <si>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</si>
  <si>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</si>
  <si>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</si>
  <si>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</si>
  <si>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</si>
  <si>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</si>
  <si>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</si>
  <si>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</si>
  <si>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</si>
  <si>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</si>
  <si>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</si>
  <si>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</si>
  <si>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</si>
  <si>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</si>
  <si>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</si>
  <si>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</si>
  <si>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</si>
  <si>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</si>
  <si>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</si>
  <si>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</si>
  <si>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</si>
  <si>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</si>
  <si>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</si>
  <si>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</si>
  <si>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</si>
  <si>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</si>
  <si>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</si>
  <si>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</si>
  <si>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</si>
  <si>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</si>
  <si>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</si>
  <si>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</si>
  <si>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</si>
  <si>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</si>
  <si>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</si>
  <si>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</si>
  <si>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</si>
  <si>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</si>
  <si>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</si>
  <si>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</si>
  <si>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</si>
  <si>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</si>
  <si>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</si>
  <si>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</si>
  <si>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</si>
  <si>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</si>
  <si>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</si>
  <si>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</si>
  <si>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</si>
  <si>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</si>
  <si>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</si>
  <si>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</si>
  <si>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</si>
  <si>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</si>
  <si>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</si>
  <si>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</si>
  <si>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</si>
  <si>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</si>
  <si>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</si>
  <si>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</si>
  <si>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</si>
  <si>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</si>
  <si>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</si>
  <si>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</si>
  <si>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</si>
  <si>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</si>
  <si>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</si>
  <si>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</si>
  <si>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</si>
  <si>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</si>
  <si>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</si>
  <si>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</si>
  <si>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</si>
  <si>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</si>
  <si>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</si>
  <si>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</si>
  <si>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</si>
  <si>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</si>
  <si>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</si>
  <si>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</si>
  <si>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</si>
  <si>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</si>
  <si>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</si>
  <si>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</si>
  <si>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</si>
  <si>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</si>
  <si>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</si>
  <si>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</si>
  <si>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</si>
  <si>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</si>
  <si>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</si>
  <si>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</si>
  <si>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</si>
  <si>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</si>
  <si>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</si>
  <si>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</si>
  <si>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</si>
  <si>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</si>
  <si>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</si>
  <si>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</si>
  <si>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</si>
  <si>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</si>
  <si>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</si>
  <si>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</si>
  <si>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</si>
  <si>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</si>
  <si>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</si>
  <si>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</si>
  <si>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</si>
  <si>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</si>
  <si>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</si>
  <si>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</si>
  <si>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</si>
  <si>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</si>
  <si>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</si>
  <si>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</si>
  <si>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</si>
  <si>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</si>
  <si>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</si>
  <si>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</si>
  <si>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</si>
  <si>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</si>
  <si>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</si>
  <si>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</si>
  <si>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</si>
  <si>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</si>
  <si>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</si>
  <si>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</si>
  <si>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</si>
  <si>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</si>
  <si>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</si>
  <si>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</si>
  <si>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</si>
  <si>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</si>
  <si>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</si>
  <si>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</si>
  <si>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</si>
  <si>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</si>
  <si>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</si>
  <si>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</si>
  <si>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</si>
  <si>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</si>
  <si>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</si>
  <si>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</si>
  <si>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</si>
  <si>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</si>
  <si>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</si>
  <si>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</si>
  <si>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</si>
  <si>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</si>
  <si>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</si>
  <si>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</si>
  <si>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</si>
  <si>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</si>
  <si>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</si>
  <si>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</si>
  <si>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</si>
  <si>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</si>
  <si>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</si>
  <si>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</si>
  <si>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</si>
  <si>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</si>
  <si>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</si>
  <si>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</si>
  <si>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</si>
  <si>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</si>
  <si>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</si>
  <si>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</si>
  <si>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</si>
  <si>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</si>
  <si>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</si>
  <si>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</si>
  <si>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</si>
  <si>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</si>
  <si>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</si>
  <si>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</si>
  <si>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</si>
  <si>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</si>
  <si>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</si>
  <si>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</si>
  <si>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</si>
  <si>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</si>
  <si>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</si>
  <si>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</si>
  <si>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</si>
  <si>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</si>
  <si>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</si>
  <si>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</si>
  <si>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</si>
  <si>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</si>
  <si>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</si>
  <si>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</si>
  <si>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</si>
  <si>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</si>
  <si>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</si>
  <si>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</si>
  <si>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</si>
  <si>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</si>
  <si>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</si>
  <si>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</si>
  <si>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</si>
  <si>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</si>
  <si>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</si>
  <si>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</si>
  <si>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</si>
  <si>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</si>
  <si>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</si>
  <si>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</si>
  <si>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</si>
  <si>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</si>
  <si>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</si>
  <si>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</si>
  <si>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</si>
  <si>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</si>
  <si>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</si>
  <si>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</si>
  <si>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</si>
  <si>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</si>
  <si>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</si>
  <si>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</si>
  <si>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</si>
  <si>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</si>
  <si>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</si>
  <si>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</si>
  <si>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</si>
  <si>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</si>
  <si>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</si>
  <si>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</si>
  <si>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</si>
  <si>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</si>
  <si>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</si>
  <si>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</si>
  <si>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</si>
  <si>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</si>
  <si>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</si>
  <si>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</si>
  <si>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</si>
  <si>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</si>
  <si>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</si>
  <si>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</si>
  <si>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</si>
  <si>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</si>
  <si>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</si>
  <si>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</si>
  <si>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</si>
  <si>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</si>
  <si>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</si>
  <si>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</si>
  <si>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</si>
  <si>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</si>
  <si>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</si>
  <si>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</si>
  <si>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</si>
  <si>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</si>
  <si>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</si>
  <si>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</si>
  <si>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</si>
  <si>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</si>
  <si>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</si>
  <si>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</si>
  <si>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</si>
  <si>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</si>
  <si>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</si>
  <si>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</si>
  <si>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</si>
  <si>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</si>
  <si>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</si>
  <si>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</si>
  <si>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</si>
  <si>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</si>
  <si>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</si>
  <si>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</si>
  <si>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</si>
  <si>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</si>
  <si>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</si>
  <si>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</si>
  <si>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</si>
  <si>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</si>
  <si>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</si>
  <si>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</si>
  <si>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</si>
  <si>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</si>
  <si>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</si>
  <si>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</si>
  <si>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</si>
  <si>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</si>
  <si>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</si>
  <si>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</si>
  <si>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</si>
  <si>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</si>
  <si>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</si>
  <si>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</si>
  <si>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</si>
  <si>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</si>
  <si>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</si>
  <si>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</si>
  <si>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</si>
  <si>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</si>
  <si>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</si>
  <si>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</si>
  <si>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</si>
  <si>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</si>
  <si>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</si>
  <si>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</si>
  <si>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</si>
  <si>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</si>
  <si>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</si>
  <si>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</si>
  <si>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</si>
  <si>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</si>
  <si>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</si>
  <si>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</si>
  <si>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</si>
  <si>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</si>
  <si>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</si>
  <si>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</si>
  <si>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</si>
  <si>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</si>
  <si>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</si>
  <si>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</si>
  <si>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</si>
  <si>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</si>
  <si>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</si>
  <si>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</si>
  <si>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</si>
  <si>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</si>
  <si>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</si>
  <si>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</si>
  <si>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</si>
  <si>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</si>
  <si>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</si>
  <si>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</si>
  <si>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</si>
  <si>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</si>
  <si>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</si>
  <si>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</si>
  <si>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</si>
  <si>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</si>
  <si>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</si>
  <si>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</si>
  <si>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</si>
  <si>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</si>
  <si>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</si>
  <si>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</si>
  <si>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</si>
  <si>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</si>
  <si>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</si>
  <si>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</si>
  <si>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</si>
  <si>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</si>
  <si>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</si>
  <si>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</si>
  <si>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</si>
  <si>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</si>
  <si>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</si>
  <si>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</si>
  <si>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</si>
  <si>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</si>
  <si>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</si>
  <si>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</si>
  <si>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</si>
  <si>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</si>
  <si>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</si>
  <si>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</si>
  <si>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</si>
  <si>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</si>
  <si>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</si>
  <si>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</si>
  <si>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</si>
  <si>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</si>
  <si>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</si>
  <si>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</si>
  <si>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</si>
  <si>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</si>
  <si>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</si>
  <si>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</si>
  <si>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</si>
  <si>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</si>
  <si>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</si>
  <si>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</si>
  <si>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</si>
  <si>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</si>
  <si>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</si>
  <si>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</si>
  <si>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</si>
  <si>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</si>
  <si>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</si>
  <si>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</si>
  <si>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</si>
  <si>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</si>
  <si>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</si>
  <si>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</si>
  <si>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</si>
  <si>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</si>
  <si>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</si>
  <si>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</si>
  <si>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</si>
  <si>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</si>
  <si>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</si>
  <si>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</si>
  <si>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</si>
  <si>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</si>
  <si>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</si>
  <si>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</si>
  <si>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</si>
  <si>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</si>
  <si>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</si>
  <si>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</si>
  <si>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</si>
  <si>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</si>
  <si>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</si>
  <si>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</si>
  <si>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</si>
  <si>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</si>
  <si>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</si>
  <si>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</si>
  <si>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</si>
  <si>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</si>
  <si>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</si>
  <si>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</si>
  <si>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</si>
  <si>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</si>
  <si>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</si>
  <si>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</si>
  <si>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</si>
  <si>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</si>
  <si>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</si>
  <si>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</si>
  <si>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</si>
  <si>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</si>
  <si>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</si>
  <si>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</si>
  <si>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</si>
  <si>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</si>
  <si>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</si>
  <si>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</si>
  <si>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</si>
  <si>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</si>
  <si>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</si>
  <si>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</si>
  <si>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</si>
  <si>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</si>
  <si>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</si>
  <si>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</si>
  <si>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</si>
  <si>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</si>
  <si>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</si>
  <si>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</si>
  <si>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</si>
  <si>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</si>
  <si>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</si>
  <si>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</si>
  <si>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</si>
  <si>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</si>
  <si>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</si>
  <si>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</si>
  <si>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</si>
  <si>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</si>
  <si>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</si>
  <si>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</si>
  <si>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</si>
  <si>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</si>
  <si>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</si>
  <si>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</si>
  <si>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</si>
  <si>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</si>
  <si>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</si>
  <si>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</si>
  <si>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</si>
  <si>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</si>
  <si>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</si>
  <si>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</si>
  <si>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</si>
  <si>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</si>
  <si>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</si>
  <si>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</si>
  <si>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</si>
  <si>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</si>
  <si>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</si>
  <si>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</si>
  <si>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</si>
  <si>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</si>
  <si>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</si>
  <si>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</si>
  <si>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</si>
  <si>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</si>
  <si>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</si>
  <si>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</si>
  <si>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</si>
  <si>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</si>
  <si>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</si>
  <si>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</si>
  <si>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</si>
  <si>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</si>
  <si>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</si>
  <si>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</si>
  <si>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</si>
  <si>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</si>
  <si>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</si>
  <si>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</si>
  <si>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</si>
  <si>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</si>
  <si>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</si>
  <si>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</si>
  <si>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</si>
  <si>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</si>
  <si>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</si>
  <si>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</si>
  <si>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</si>
  <si>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</si>
  <si>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</si>
  <si>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</si>
  <si>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</si>
  <si>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</si>
  <si>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</si>
  <si>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</si>
  <si>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</si>
  <si>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</si>
  <si>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</si>
  <si>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</si>
  <si>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</si>
  <si>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</si>
  <si>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</si>
  <si>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</si>
  <si>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</si>
  <si>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</si>
  <si>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</si>
  <si>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</si>
  <si>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</si>
  <si>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</si>
  <si>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</si>
  <si>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</si>
  <si>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</si>
  <si>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</si>
  <si>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</si>
  <si>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</si>
  <si>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</si>
  <si>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</si>
  <si>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</si>
  <si>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</si>
  <si>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</si>
  <si>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</si>
  <si>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</si>
  <si>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</si>
  <si>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</si>
  <si>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</si>
  <si>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</si>
  <si>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</si>
  <si>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</si>
  <si>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</si>
  <si>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</si>
  <si>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</si>
  <si>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</si>
  <si>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</si>
  <si>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</si>
  <si>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</si>
  <si>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</si>
  <si>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</si>
  <si>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</si>
  <si>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</si>
  <si>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</si>
  <si>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</si>
  <si>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</si>
  <si>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</si>
  <si>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</si>
  <si>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</si>
  <si>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</si>
  <si>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</si>
  <si>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</si>
  <si>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</si>
  <si>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</si>
  <si>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</si>
  <si>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</si>
  <si>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</si>
  <si>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</si>
  <si>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</si>
  <si>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</si>
  <si>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</si>
  <si>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</si>
  <si>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</si>
  <si>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</si>
  <si>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</si>
  <si>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</si>
  <si>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</si>
  <si>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</si>
  <si>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</si>
  <si>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</si>
  <si>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</si>
  <si>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</si>
  <si>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</si>
  <si>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</si>
  <si>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</si>
  <si>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</si>
  <si>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</si>
  <si>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</si>
  <si>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</si>
  <si>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</si>
  <si>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</si>
  <si>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</si>
  <si>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</si>
  <si>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</si>
  <si>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</si>
  <si>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</si>
  <si>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</si>
  <si>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</si>
  <si>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</si>
  <si>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</si>
  <si>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</si>
  <si>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</si>
  <si>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</si>
  <si>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</si>
  <si>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</si>
  <si>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</si>
  <si>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</si>
  <si>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</si>
  <si>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</si>
  <si>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</si>
  <si>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</si>
  <si>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</si>
  <si>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</si>
  <si>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</si>
  <si>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</si>
  <si>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</si>
  <si>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</si>
  <si>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</si>
  <si>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</si>
  <si>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</si>
  <si>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</si>
  <si>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</si>
  <si>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</si>
  <si>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</si>
  <si>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</si>
  <si>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</si>
  <si>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</si>
  <si>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</si>
  <si>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</si>
  <si>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</si>
  <si>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</si>
  <si>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</si>
  <si>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</si>
  <si>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</si>
  <si>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</si>
  <si>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</si>
  <si>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</si>
  <si>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</si>
  <si>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</si>
  <si>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</si>
  <si>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</si>
  <si>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</si>
  <si>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</si>
  <si>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</si>
  <si>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</si>
  <si>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</si>
  <si>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</si>
  <si>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</si>
  <si>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</si>
  <si>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</si>
  <si>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</si>
  <si>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</si>
  <si>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</si>
  <si>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</si>
  <si>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</si>
  <si>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</si>
  <si>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</si>
  <si>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</si>
  <si>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</si>
  <si>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</si>
  <si>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</si>
  <si>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</si>
  <si>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</si>
  <si>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</si>
  <si>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</si>
  <si>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</si>
  <si>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</si>
  <si>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</si>
  <si>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</si>
  <si>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</si>
  <si>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</si>
  <si>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</si>
  <si>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</si>
  <si>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</si>
  <si>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</si>
  <si>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</si>
  <si>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</si>
  <si>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</si>
  <si>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</si>
  <si>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</si>
  <si>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</si>
  <si>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</si>
  <si>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</si>
  <si>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</si>
  <si>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</si>
  <si>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</si>
  <si>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</si>
  <si>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</si>
  <si>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</si>
  <si>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</si>
  <si>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</si>
  <si>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</si>
  <si>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</si>
  <si>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</si>
  <si>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</si>
  <si>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</si>
  <si>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</si>
  <si>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</si>
  <si>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</si>
  <si>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</si>
  <si>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</si>
  <si>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</si>
  <si>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</si>
  <si>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</si>
  <si>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</si>
  <si>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</si>
  <si>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</si>
  <si>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</si>
  <si>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</si>
  <si>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</si>
  <si>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</si>
  <si>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</si>
  <si>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</si>
  <si>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</si>
  <si>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</si>
  <si>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</si>
  <si>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</si>
  <si>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</si>
  <si>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</si>
  <si>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</si>
  <si>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</si>
  <si>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</si>
  <si>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</si>
  <si>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</si>
  <si>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</si>
  <si>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</si>
  <si>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</si>
  <si>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</si>
  <si>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</si>
  <si>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</si>
  <si>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</si>
  <si>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</si>
  <si>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</si>
  <si>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</si>
  <si>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</si>
  <si>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</si>
  <si>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</si>
  <si>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</si>
  <si>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</si>
  <si>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</si>
  <si>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</si>
  <si>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</si>
  <si>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</si>
  <si>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</si>
  <si>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</si>
  <si>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</si>
  <si>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</si>
  <si>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</si>
  <si>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</si>
  <si>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</si>
  <si>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</si>
  <si>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</si>
  <si>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</si>
  <si>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</si>
  <si>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</si>
  <si>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</si>
  <si>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</si>
  <si>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</si>
  <si>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</si>
  <si>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</si>
  <si>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</si>
  <si>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</si>
  <si>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</si>
  <si>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</si>
  <si>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</si>
  <si>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</si>
  <si>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</si>
  <si>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</si>
  <si>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</si>
  <si>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</si>
  <si>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</si>
  <si>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</si>
  <si>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</si>
  <si>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</si>
  <si>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</si>
  <si>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</si>
  <si>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</si>
  <si>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</si>
  <si>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</si>
  <si>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</si>
  <si>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</si>
  <si>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</si>
  <si>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</si>
  <si>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</si>
  <si>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</si>
  <si>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</si>
  <si>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</si>
  <si>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</si>
  <si>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</si>
  <si>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</si>
  <si>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</si>
  <si>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</si>
  <si>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</si>
  <si>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</si>
  <si>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</si>
  <si>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</si>
  <si>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</si>
  <si>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</si>
  <si>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</si>
  <si>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</si>
  <si>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</si>
  <si>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</si>
  <si>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</si>
  <si>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</si>
  <si>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</si>
  <si>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</si>
  <si>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</si>
  <si>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</si>
  <si>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</si>
  <si>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</si>
  <si>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</si>
  <si>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</si>
  <si>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</si>
  <si>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</si>
  <si>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</si>
  <si>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</si>
  <si>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</si>
  <si>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</si>
  <si>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</si>
  <si>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</si>
  <si>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</si>
  <si>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</si>
  <si>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</si>
  <si>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</si>
  <si>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</si>
  <si>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</si>
  <si>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</si>
  <si>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</si>
  <si>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</si>
  <si>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</si>
  <si>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</si>
  <si>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</si>
  <si>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</si>
  <si>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</si>
  <si>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</si>
  <si>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</si>
  <si>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</si>
  <si>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</si>
  <si>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</si>
  <si>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</si>
  <si>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</si>
  <si>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</si>
  <si>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</si>
  <si>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</si>
  <si>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</si>
  <si>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</si>
  <si>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</si>
  <si>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</si>
  <si>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</si>
  <si>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</si>
  <si>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</si>
  <si>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</si>
  <si>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</si>
  <si>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</si>
  <si>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</si>
  <si>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</si>
  <si>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</si>
  <si>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</si>
  <si>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</si>
  <si>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</si>
  <si>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</si>
  <si>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</si>
  <si>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</si>
  <si>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</si>
  <si>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</si>
  <si>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</si>
  <si>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</si>
  <si>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</si>
  <si>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</si>
  <si>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</si>
  <si>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</si>
  <si>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</si>
  <si>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</si>
  <si>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</si>
  <si>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</si>
  <si>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</si>
  <si>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</si>
  <si>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</si>
  <si>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</si>
  <si>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</si>
  <si>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</si>
  <si>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</si>
  <si>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</si>
  <si>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</si>
  <si>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</si>
  <si>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</si>
  <si>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</si>
  <si>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</si>
  <si>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</si>
  <si>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</si>
  <si>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</si>
  <si>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</si>
  <si>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</si>
  <si>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</si>
  <si>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</si>
  <si>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</si>
  <si>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</si>
  <si>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</si>
  <si>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</si>
  <si>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</si>
  <si>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</si>
  <si>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</si>
  <si>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</si>
  <si>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</si>
  <si>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</si>
  <si>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</si>
  <si>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</si>
  <si>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</si>
  <si>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</si>
  <si>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</si>
  <si>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</si>
  <si>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</si>
  <si>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</si>
  <si>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</si>
  <si>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</si>
  <si>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</si>
  <si>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</si>
  <si>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</si>
  <si>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</si>
  <si>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</si>
  <si>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</si>
  <si>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</si>
  <si>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</si>
  <si>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</si>
  <si>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</si>
  <si>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</si>
  <si>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</si>
  <si>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</si>
  <si>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</si>
  <si>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</si>
  <si>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</si>
  <si>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</si>
  <si>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</si>
  <si>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</si>
  <si>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</si>
  <si>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</si>
  <si>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</si>
  <si>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</si>
  <si>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</si>
  <si>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</si>
  <si>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</si>
  <si>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</si>
  <si>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</si>
  <si>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</si>
  <si>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</si>
  <si>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</si>
  <si>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</si>
  <si>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</si>
  <si>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</si>
  <si>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</si>
  <si>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</si>
  <si>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</si>
  <si>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</si>
  <si>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</si>
  <si>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</si>
  <si>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</si>
  <si>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</si>
  <si>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</si>
  <si>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</si>
  <si>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</si>
  <si>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</si>
  <si>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</si>
  <si>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</si>
  <si>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</si>
  <si>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</si>
  <si>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</si>
  <si>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</si>
  <si>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</si>
  <si>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</si>
  <si>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</si>
  <si>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</si>
  <si>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</si>
  <si>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</si>
  <si>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</si>
  <si>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</si>
  <si>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</si>
  <si>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</si>
  <si>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</si>
  <si>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</si>
  <si>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</si>
  <si>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</si>
  <si>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</si>
  <si>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</si>
  <si>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</si>
  <si>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</si>
  <si>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</si>
  <si>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</si>
  <si>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</si>
  <si>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</si>
  <si>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</si>
  <si>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</si>
  <si>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</si>
  <si>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</si>
  <si>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</si>
  <si>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</si>
  <si>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</si>
  <si>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</si>
  <si>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</si>
  <si>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</si>
  <si>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</si>
  <si>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</si>
  <si>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</si>
  <si>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</si>
  <si>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</si>
  <si>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</si>
  <si>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</si>
  <si>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</si>
  <si>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</si>
  <si>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</si>
  <si>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</si>
  <si>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</si>
  <si>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</si>
  <si>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</si>
  <si>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</si>
  <si>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</si>
  <si>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</si>
  <si>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</si>
  <si>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</si>
  <si>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</si>
  <si>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</si>
  <si>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</si>
  <si>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</si>
  <si>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</si>
  <si>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</si>
  <si>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</si>
  <si>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</si>
  <si>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</si>
  <si>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</si>
  <si>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</si>
  <si>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</si>
  <si>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</si>
  <si>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</si>
  <si>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</si>
  <si>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</si>
  <si>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</si>
  <si>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</si>
  <si>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</si>
  <si>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</si>
  <si>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</si>
  <si>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</si>
  <si>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</si>
  <si>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</si>
  <si>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</si>
  <si>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</si>
  <si>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</si>
  <si>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</si>
  <si>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</si>
  <si>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</si>
  <si>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</si>
  <si>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</si>
  <si>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</si>
  <si>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</si>
  <si>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</si>
  <si>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</si>
  <si>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</si>
  <si>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</si>
  <si>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</si>
  <si>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</si>
  <si>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</si>
  <si>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</si>
  <si>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</si>
  <si>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</si>
  <si>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</si>
  <si>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</si>
  <si>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</si>
  <si>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</si>
  <si>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</si>
  <si>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</si>
  <si>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</si>
  <si>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</si>
  <si>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</si>
  <si>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</si>
  <si>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</si>
  <si>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</si>
  <si>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</si>
  <si>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</si>
  <si>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</si>
  <si>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</si>
  <si>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</si>
  <si>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</si>
  <si>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</si>
  <si>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</si>
  <si>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</si>
  <si>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</si>
  <si>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</si>
  <si>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</si>
  <si>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</si>
  <si>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</si>
  <si>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</si>
  <si>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</si>
  <si>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</si>
  <si>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</si>
  <si>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</si>
  <si>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</si>
  <si>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</si>
  <si>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</si>
  <si>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</si>
  <si>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</si>
  <si>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</si>
  <si>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</si>
  <si>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</si>
  <si>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</si>
  <si>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</si>
  <si>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</si>
  <si>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</si>
  <si>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</si>
  <si>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</si>
  <si>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</si>
  <si>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</si>
  <si>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</si>
  <si>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</si>
  <si>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</si>
  <si>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</si>
  <si>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</si>
  <si>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</si>
  <si>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</si>
  <si>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</si>
  <si>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</si>
  <si>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</si>
  <si>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</si>
  <si>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</si>
  <si>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</si>
  <si>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</si>
  <si>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</si>
  <si>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</si>
  <si>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</si>
  <si>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</si>
  <si>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</si>
  <si>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</si>
  <si>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</si>
  <si>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</si>
  <si>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</si>
  <si>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</si>
  <si>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</si>
  <si>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</si>
  <si>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</si>
  <si>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</si>
  <si>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</si>
  <si>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</si>
  <si>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</si>
  <si>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</si>
  <si>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</si>
  <si>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</si>
  <si>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</si>
  <si>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</si>
  <si>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</si>
  <si>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</si>
  <si>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</si>
  <si>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</si>
  <si>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</si>
  <si>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</si>
  <si>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</si>
  <si>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</si>
  <si>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</si>
  <si>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</si>
  <si>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</si>
  <si>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</si>
  <si>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</si>
  <si>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</si>
  <si>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</si>
  <si>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</si>
  <si>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</si>
  <si>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</si>
  <si>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</si>
  <si>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</si>
  <si>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</si>
  <si>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</si>
  <si>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</si>
  <si>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</si>
  <si>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</si>
  <si>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</si>
  <si>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</si>
  <si>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</si>
  <si>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</si>
  <si>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</si>
  <si>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</si>
  <si>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</si>
  <si>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</si>
  <si>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</si>
  <si>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</si>
  <si>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</si>
  <si>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</si>
  <si>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</si>
  <si>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</si>
  <si>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</si>
  <si>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</si>
  <si>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</si>
  <si>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</si>
  <si>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</si>
  <si>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</si>
  <si>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</si>
  <si>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</si>
  <si>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</si>
  <si>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</si>
  <si>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</si>
  <si>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</si>
  <si>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</si>
  <si>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</si>
  <si>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</si>
  <si>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</si>
  <si>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</si>
  <si>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</si>
  <si>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</si>
  <si>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</si>
  <si>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</si>
  <si>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</si>
  <si>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</si>
  <si>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</si>
  <si>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</si>
  <si>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</si>
  <si>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</si>
  <si>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</si>
  <si>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</si>
  <si>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</si>
  <si>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</si>
  <si>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</si>
  <si>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</si>
  <si>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</si>
  <si>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</si>
  <si>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</si>
  <si>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</si>
  <si>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</si>
  <si>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</si>
  <si>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</si>
  <si>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</si>
  <si>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</si>
  <si>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</si>
  <si>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</si>
  <si>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</si>
  <si>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</si>
  <si>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</si>
  <si>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</si>
  <si>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</si>
  <si>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</si>
  <si>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</si>
  <si>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</si>
  <si>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</si>
  <si>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</si>
  <si>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</si>
  <si>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</si>
  <si>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</si>
  <si>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</si>
  <si>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</si>
  <si>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</si>
  <si>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</si>
  <si>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</si>
  <si>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</si>
  <si>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</si>
  <si>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</si>
  <si>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</si>
  <si>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</si>
  <si>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</si>
  <si>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</si>
  <si>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</si>
  <si>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</si>
  <si>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</si>
  <si>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</si>
  <si>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</si>
  <si>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</si>
  <si>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</si>
  <si>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</si>
  <si>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</si>
  <si>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</si>
  <si>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</si>
  <si>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</si>
  <si>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</si>
  <si>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</si>
  <si>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</si>
  <si>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</si>
  <si>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</si>
  <si>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</si>
  <si>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</si>
  <si>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</si>
  <si>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</si>
  <si>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</si>
  <si>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</si>
  <si>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</si>
  <si>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</si>
  <si>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</si>
  <si>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</si>
  <si>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</si>
  <si>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</si>
  <si>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</si>
  <si>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</si>
  <si>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</si>
  <si>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</si>
  <si>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</si>
  <si>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</si>
  <si>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</si>
  <si>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</si>
  <si>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</si>
  <si>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</si>
  <si>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</si>
  <si>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</si>
  <si>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</si>
  <si>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</si>
  <si>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</si>
  <si>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</si>
  <si>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</si>
  <si>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</si>
  <si>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</si>
  <si>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</si>
  <si>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</si>
  <si>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</si>
  <si>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</si>
  <si>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</si>
  <si>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</si>
  <si>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</si>
  <si>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</si>
  <si>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</si>
  <si>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</si>
  <si>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</si>
  <si>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</si>
  <si>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</si>
  <si>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</si>
  <si>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</si>
  <si>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</si>
  <si>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</si>
  <si>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</si>
  <si>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</si>
  <si>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</si>
  <si>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</si>
  <si>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</si>
  <si>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</si>
  <si>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</si>
  <si>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</si>
  <si>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</si>
  <si>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</si>
  <si>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</si>
  <si>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</si>
  <si>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</si>
  <si>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</si>
  <si>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</si>
  <si>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</si>
  <si>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</si>
  <si>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</si>
  <si>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</si>
  <si>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</si>
  <si>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</si>
  <si>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</si>
  <si>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</si>
  <si>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</si>
  <si>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</si>
  <si>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</si>
  <si>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</si>
  <si>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</si>
  <si>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</si>
  <si>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</si>
  <si>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</si>
  <si>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</si>
  <si>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</si>
  <si>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</si>
  <si>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</si>
  <si>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</si>
  <si>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</si>
  <si>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</si>
  <si>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</si>
  <si>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</si>
  <si>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</si>
  <si>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</si>
  <si>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</si>
  <si>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</si>
  <si>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</si>
  <si>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</si>
  <si>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</si>
  <si>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</si>
  <si>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</si>
  <si>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</si>
  <si>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</si>
  <si>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</si>
  <si>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</si>
  <si>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</si>
  <si>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</si>
  <si>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</si>
  <si>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</si>
  <si>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</si>
  <si>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</si>
  <si>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</si>
  <si>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</si>
  <si>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</si>
  <si>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</si>
  <si>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</si>
  <si>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</si>
  <si>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</si>
  <si>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</si>
  <si>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</si>
  <si>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</si>
  <si>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</si>
  <si>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</si>
  <si>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</si>
  <si>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</si>
  <si>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</si>
  <si>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</si>
  <si>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</si>
  <si>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</si>
  <si>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</si>
  <si>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</si>
  <si>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</si>
  <si>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</si>
  <si>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</si>
  <si>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</si>
  <si>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</si>
  <si>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</si>
  <si>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</si>
  <si>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</si>
  <si>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</si>
  <si>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</si>
  <si>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</si>
  <si>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</si>
  <si>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</si>
  <si>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</si>
  <si>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</si>
  <si>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</si>
  <si>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</si>
  <si>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</si>
  <si>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</si>
  <si>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</si>
  <si>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</si>
  <si>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</si>
  <si>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</si>
  <si>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</si>
  <si>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</si>
  <si>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</si>
  <si>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</si>
  <si>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</si>
  <si>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</si>
  <si>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</si>
  <si>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</si>
  <si>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</si>
  <si>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</si>
  <si>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</si>
  <si>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</si>
  <si>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</si>
  <si>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</si>
  <si>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</si>
  <si>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</si>
  <si>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</si>
  <si>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</si>
  <si>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</si>
  <si>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</si>
  <si>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</si>
  <si>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</si>
  <si>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</si>
  <si>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</si>
  <si>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</si>
  <si>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</si>
  <si>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</si>
  <si>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</si>
  <si>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</si>
  <si>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</si>
  <si>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</si>
  <si>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</si>
  <si>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</si>
  <si>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</si>
  <si>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</si>
  <si>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</si>
  <si>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</si>
  <si>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</si>
  <si>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</si>
  <si>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</si>
  <si>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</si>
  <si>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</si>
  <si>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</si>
  <si>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</si>
  <si>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</si>
  <si>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</si>
  <si>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</si>
  <si>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</si>
  <si>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</si>
  <si>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</si>
  <si>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</si>
  <si>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</si>
  <si>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</si>
  <si>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</si>
  <si>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</si>
  <si>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</si>
  <si>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</si>
  <si>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</si>
  <si>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</si>
  <si>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</si>
  <si>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</si>
  <si>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</si>
  <si>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</si>
  <si>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</si>
  <si>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</si>
  <si>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</si>
  <si>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</si>
  <si>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</si>
  <si>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</si>
  <si>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</si>
  <si>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</si>
  <si>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</si>
  <si>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</si>
  <si>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</si>
  <si>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</si>
  <si>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</si>
  <si>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</si>
  <si>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</si>
  <si>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</si>
  <si>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</si>
  <si>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</si>
  <si>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</si>
  <si>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</si>
  <si>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</si>
  <si>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</si>
  <si>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</si>
  <si>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</si>
  <si>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</si>
  <si>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</si>
  <si>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</si>
  <si>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</si>
  <si>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</si>
  <si>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</si>
  <si>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</si>
  <si>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</si>
  <si>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</si>
  <si>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</si>
  <si>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</si>
  <si>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</si>
  <si>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</si>
  <si>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</si>
  <si>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</si>
  <si>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</si>
  <si>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</si>
  <si>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</si>
  <si>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</si>
  <si>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</si>
  <si>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</si>
  <si>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</si>
  <si>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</si>
  <si>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</si>
  <si>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</si>
  <si>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</si>
  <si>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</si>
  <si>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</si>
  <si>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</si>
  <si>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</si>
  <si>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</si>
  <si>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</si>
  <si>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</si>
  <si>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</si>
  <si>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</si>
  <si>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</si>
  <si>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</si>
  <si>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</si>
  <si>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</si>
  <si>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</si>
  <si>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</si>
  <si>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</si>
  <si>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</si>
  <si>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</si>
  <si>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</si>
  <si>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</si>
  <si>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</si>
  <si>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</si>
  <si>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</si>
  <si>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</si>
  <si>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</si>
  <si>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</si>
  <si>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</si>
  <si>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</si>
  <si>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</si>
  <si>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</si>
  <si>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</si>
  <si>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</si>
  <si>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</si>
  <si>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</si>
  <si>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</si>
  <si>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</si>
  <si>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</si>
  <si>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</si>
  <si>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</si>
  <si>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</si>
  <si>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</si>
  <si>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</si>
  <si>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</si>
  <si>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</si>
  <si>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</si>
  <si>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</si>
  <si>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</si>
  <si>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</si>
  <si>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</si>
  <si>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</si>
  <si>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</si>
  <si>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</si>
  <si>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</si>
  <si>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</si>
  <si>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</si>
  <si>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</si>
  <si>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</si>
  <si>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</si>
  <si>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</si>
  <si>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</si>
  <si>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</si>
  <si>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</si>
  <si>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</si>
  <si>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</si>
  <si>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</si>
  <si>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</si>
  <si>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</si>
  <si>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</si>
  <si>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</si>
  <si>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</si>
  <si>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</si>
  <si>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</si>
  <si>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</si>
  <si>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</si>
  <si>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</si>
  <si>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</si>
  <si>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</si>
  <si>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</si>
  <si>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</si>
  <si>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</si>
  <si>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</si>
  <si>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</si>
  <si>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</si>
  <si>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</si>
  <si>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</si>
  <si>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</si>
  <si>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</si>
  <si>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</si>
  <si>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</si>
  <si>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</si>
  <si>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</si>
  <si>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</si>
  <si>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</si>
  <si>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</si>
  <si>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</si>
  <si>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</si>
  <si>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</si>
  <si>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</si>
  <si>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</si>
  <si>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</si>
  <si>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</si>
  <si>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</si>
  <si>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</si>
  <si>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</si>
  <si>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</si>
  <si>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</si>
  <si>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</si>
  <si>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</si>
  <si>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</si>
  <si>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</si>
  <si>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</si>
  <si>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</si>
  <si>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</si>
  <si>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</si>
  <si>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</si>
  <si>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</si>
  <si>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</si>
  <si>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</si>
  <si>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</si>
  <si>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</si>
  <si>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</si>
  <si>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</si>
  <si>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</si>
  <si>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</si>
  <si>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</si>
  <si>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</si>
  <si>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</si>
  <si>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</si>
  <si>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</si>
  <si>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</si>
  <si>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</si>
  <si>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</si>
  <si>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</si>
  <si>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</si>
  <si>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</si>
  <si>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</si>
  <si>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</si>
  <si>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</si>
  <si>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</si>
  <si>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</si>
  <si>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</si>
  <si>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</si>
  <si>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</si>
  <si>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</si>
  <si>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</si>
  <si>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</si>
  <si>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</si>
  <si>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</si>
  <si>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</si>
  <si>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</si>
  <si>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</si>
  <si>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</si>
  <si>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</si>
  <si>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</si>
  <si>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</si>
  <si>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</si>
  <si>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</si>
  <si>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</si>
  <si>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</si>
  <si>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</si>
  <si>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</si>
  <si>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</si>
  <si>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</si>
  <si>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</si>
  <si>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</si>
  <si>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</si>
  <si>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</si>
  <si>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</si>
  <si>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</si>
  <si>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</si>
  <si>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</si>
  <si>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</si>
  <si>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</si>
  <si>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</si>
  <si>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</si>
  <si>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</si>
  <si>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</si>
  <si>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</si>
  <si>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</si>
  <si>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</si>
  <si>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</si>
  <si>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</si>
  <si>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</si>
  <si>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</si>
  <si>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</si>
  <si>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</si>
  <si>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</si>
  <si>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</si>
  <si>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</si>
  <si>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</si>
  <si>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</si>
  <si>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</si>
  <si>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</si>
  <si>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</si>
  <si>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</si>
  <si>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</si>
  <si>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</si>
  <si>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</si>
  <si>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</si>
  <si>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</si>
  <si>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</si>
  <si>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</si>
  <si>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</si>
  <si>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</si>
  <si>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</si>
  <si>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</si>
  <si>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</si>
  <si>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</si>
  <si>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</si>
  <si>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</si>
  <si>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</si>
  <si>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</si>
  <si>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</si>
  <si>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</si>
  <si>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</si>
  <si>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</si>
  <si>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</si>
  <si>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</si>
  <si>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</si>
  <si>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</si>
  <si>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</si>
  <si>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</si>
  <si>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</si>
  <si>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</si>
  <si>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</si>
  <si>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</si>
  <si>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</si>
  <si>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</si>
  <si>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</si>
  <si>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</si>
  <si>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</si>
  <si>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</si>
  <si>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</si>
  <si>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</si>
  <si>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</si>
  <si>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</si>
  <si>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</si>
  <si>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</si>
  <si>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</si>
  <si>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</si>
  <si>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</si>
  <si>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</si>
  <si>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</si>
  <si>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</si>
  <si>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</si>
  <si>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</si>
  <si>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</si>
  <si>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</si>
  <si>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</si>
  <si>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</si>
  <si>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</si>
  <si>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</si>
  <si>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</si>
  <si>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</si>
  <si>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</si>
  <si>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</si>
  <si>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</si>
  <si>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</si>
  <si>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</si>
  <si>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</si>
  <si>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</si>
  <si>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</si>
  <si>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</si>
  <si>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</si>
  <si>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</si>
  <si>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</si>
  <si>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</si>
  <si>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</si>
  <si>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</si>
  <si>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</si>
  <si>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</si>
  <si>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</si>
  <si>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</si>
  <si>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</si>
  <si>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</si>
  <si>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</si>
  <si>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</si>
  <si>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</si>
  <si>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</si>
  <si>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</si>
  <si>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</si>
  <si>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</si>
  <si>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</si>
  <si>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</si>
  <si>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</si>
  <si>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</si>
  <si>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</si>
  <si>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</si>
  <si>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</si>
  <si>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</si>
  <si>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</si>
  <si>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</si>
  <si>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</si>
  <si>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</si>
  <si>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</si>
  <si>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</si>
  <si>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</si>
  <si>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</si>
  <si>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</si>
  <si>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</si>
  <si>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</si>
  <si>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</si>
  <si>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</si>
  <si>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</si>
  <si>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</si>
  <si>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</si>
  <si>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</si>
  <si>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</si>
  <si>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</si>
  <si>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</si>
  <si>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</si>
  <si>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</si>
  <si>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</si>
  <si>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</si>
  <si>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</si>
  <si>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</si>
  <si>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</si>
  <si>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</si>
  <si>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</si>
  <si>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</si>
  <si>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</si>
  <si>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</si>
  <si>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</si>
  <si>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</si>
  <si>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</si>
  <si>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</si>
  <si>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</si>
  <si>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</si>
  <si>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</si>
  <si>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</si>
  <si>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</si>
  <si>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</si>
  <si>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</si>
  <si>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</si>
  <si>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</si>
  <si>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</si>
  <si>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</si>
  <si>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</si>
  <si>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</si>
  <si>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</si>
  <si>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</si>
  <si>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</si>
  <si>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</si>
  <si>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</si>
  <si>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</si>
  <si>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</si>
  <si>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</si>
  <si>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</si>
  <si>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</si>
  <si>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</si>
  <si>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</si>
  <si>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</si>
  <si>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</si>
  <si>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</si>
  <si>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</si>
  <si>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</si>
  <si>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</si>
  <si>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</si>
  <si>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</si>
  <si>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</si>
  <si>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</si>
  <si>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</si>
  <si>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</si>
  <si>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</si>
  <si>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</si>
  <si>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</si>
  <si>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</si>
  <si>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</si>
  <si>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</si>
  <si>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</si>
  <si>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</si>
  <si>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</si>
  <si>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</si>
  <si>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</si>
  <si>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</si>
  <si>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</si>
  <si>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</si>
  <si>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</si>
  <si>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</si>
  <si>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</si>
  <si>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</si>
  <si>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</si>
  <si>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</si>
  <si>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</si>
  <si>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</si>
  <si>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</si>
  <si>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</si>
  <si>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</si>
  <si>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</si>
  <si>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</si>
  <si>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</si>
  <si>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</si>
  <si>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</si>
  <si>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</si>
  <si>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</si>
  <si>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</si>
  <si>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</si>
  <si>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</si>
  <si>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</si>
  <si>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</si>
  <si>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</si>
  <si>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</si>
  <si>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</si>
  <si>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</si>
  <si>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</si>
  <si>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</si>
  <si>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</si>
  <si>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</si>
  <si>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</si>
  <si>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</si>
  <si>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</si>
  <si>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</si>
  <si>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</si>
  <si>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</si>
  <si>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</si>
  <si>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</si>
  <si>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</si>
  <si>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</si>
  <si>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</si>
  <si>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</si>
  <si>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</si>
  <si>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</si>
  <si>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</si>
  <si>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</si>
  <si>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</si>
  <si>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</si>
  <si>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</si>
  <si>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</si>
  <si>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</si>
  <si>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</si>
  <si>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</si>
  <si>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</si>
  <si>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</si>
  <si>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</si>
  <si>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</si>
  <si>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</si>
  <si>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</si>
  <si>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</si>
  <si>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</si>
  <si>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</si>
  <si>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</si>
  <si>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</si>
  <si>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</si>
  <si>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</si>
  <si>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</si>
  <si>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</si>
  <si>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</si>
  <si>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</si>
  <si>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</si>
  <si>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</si>
  <si>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</si>
  <si>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</si>
  <si>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</si>
  <si>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</si>
  <si>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</si>
  <si>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</si>
  <si>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</si>
  <si>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</si>
  <si>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</si>
  <si>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</si>
  <si>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</si>
  <si>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</si>
  <si>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</si>
  <si>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</si>
  <si>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</si>
  <si>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</si>
  <si>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</si>
  <si>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</si>
  <si>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</si>
  <si>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</si>
  <si>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</si>
  <si>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</si>
  <si>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</si>
  <si>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</si>
  <si>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</si>
  <si>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</si>
  <si>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</si>
  <si>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</si>
  <si>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</si>
  <si>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</si>
  <si>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</si>
  <si>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</si>
  <si>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</si>
  <si>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</si>
  <si>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</si>
  <si>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</si>
  <si>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</si>
  <si>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</si>
  <si>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</si>
  <si>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</si>
  <si>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</si>
  <si>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</si>
  <si>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</si>
  <si>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</si>
  <si>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</si>
  <si>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</si>
  <si>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</si>
  <si>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</si>
  <si>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</si>
  <si>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</si>
  <si>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</si>
  <si>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</si>
  <si>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</si>
  <si>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</si>
  <si>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</si>
  <si>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</si>
  <si>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</si>
  <si>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</si>
  <si>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</si>
  <si>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</si>
  <si>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</si>
  <si>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</si>
  <si>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</si>
  <si>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</si>
  <si>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</si>
  <si>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</si>
  <si>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</si>
  <si>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</si>
  <si>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</si>
  <si>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</si>
  <si>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</si>
  <si>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</si>
  <si>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</si>
  <si>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</si>
  <si>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</si>
  <si>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</si>
  <si>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</si>
  <si>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</si>
  <si>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</si>
  <si>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</si>
  <si>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</si>
  <si>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</si>
  <si>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</si>
  <si>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</si>
  <si>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</si>
  <si>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</si>
  <si>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</si>
  <si>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</si>
  <si>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</si>
  <si>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</si>
  <si>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</si>
  <si>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</si>
  <si>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</si>
  <si>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</si>
  <si>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</si>
  <si>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</si>
  <si>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</si>
  <si>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</si>
  <si>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</si>
  <si>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</si>
  <si>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</si>
  <si>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</si>
  <si>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</si>
  <si>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</si>
  <si>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</si>
  <si>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</si>
  <si>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</si>
  <si>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</si>
  <si>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</si>
  <si>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</si>
  <si>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</si>
  <si>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</si>
  <si>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</si>
  <si>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</si>
  <si>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</si>
  <si>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</si>
  <si>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</si>
  <si>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</si>
  <si>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</si>
  <si>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</si>
  <si>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</si>
  <si>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</si>
  <si>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</si>
  <si>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</si>
  <si>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</si>
  <si>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</si>
  <si>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</si>
  <si>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</si>
  <si>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</si>
  <si>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</si>
  <si>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</si>
  <si>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</si>
  <si>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</si>
  <si>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</si>
  <si>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</si>
  <si>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</si>
  <si>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</si>
  <si>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</si>
  <si>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</si>
  <si>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</si>
  <si>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</si>
  <si>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</si>
  <si>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</si>
  <si>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</si>
  <si>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</si>
  <si>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</si>
  <si>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</si>
  <si>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</si>
  <si>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</si>
  <si>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</si>
  <si>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</si>
  <si>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</si>
  <si>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</si>
  <si>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</si>
  <si>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</si>
  <si>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</si>
  <si>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</si>
  <si>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</si>
  <si>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</si>
  <si>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</si>
  <si>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</si>
  <si>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</si>
  <si>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</si>
  <si>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</si>
  <si>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</si>
  <si>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</si>
  <si>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</si>
  <si>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</si>
  <si>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</si>
  <si>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</si>
  <si>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</si>
  <si>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</si>
  <si>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</si>
  <si>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</si>
  <si>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</si>
  <si>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</si>
  <si>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</si>
  <si>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</si>
  <si>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</si>
  <si>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</si>
  <si>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</si>
  <si>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</si>
  <si>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</si>
  <si>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</si>
  <si>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</si>
  <si>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</si>
  <si>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</si>
  <si>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</si>
  <si>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</si>
  <si>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</si>
  <si>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</si>
  <si>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</si>
  <si>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</si>
  <si>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</si>
  <si>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</si>
  <si>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</si>
  <si>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</si>
  <si>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</si>
  <si>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</si>
  <si>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</si>
  <si>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</si>
  <si>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</si>
  <si>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</si>
  <si>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</si>
  <si>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</si>
  <si>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</si>
  <si>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</si>
  <si>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</si>
  <si>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</si>
  <si>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</si>
  <si>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</si>
  <si>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</si>
  <si>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</si>
  <si>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</si>
  <si>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</si>
  <si>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</si>
  <si>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</si>
  <si>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</si>
  <si>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</si>
  <si>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</si>
  <si>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</si>
  <si>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</si>
  <si>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</si>
  <si>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</si>
  <si>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</si>
  <si>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</si>
  <si>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</si>
  <si>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</si>
  <si>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</si>
  <si>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</si>
  <si>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</si>
  <si>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</si>
  <si>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</si>
  <si>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</si>
  <si>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</si>
  <si>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</si>
  <si>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</si>
  <si>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</si>
  <si>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</si>
  <si>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</si>
  <si>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</si>
  <si>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</si>
  <si>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</si>
  <si>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</si>
  <si>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</si>
  <si>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</si>
  <si>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</si>
  <si>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</si>
  <si>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</si>
  <si>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</si>
  <si>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</si>
  <si>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</si>
  <si>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</si>
  <si>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</si>
  <si>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</si>
  <si>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</si>
  <si>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</si>
  <si>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</si>
  <si>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</si>
  <si>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</si>
  <si>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</si>
  <si>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</si>
  <si>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</si>
  <si>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</si>
  <si>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</si>
  <si>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</si>
  <si>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</si>
  <si>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</si>
  <si>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</si>
  <si>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</si>
  <si>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</si>
  <si>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</si>
  <si>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</si>
  <si>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</si>
  <si>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</si>
  <si>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</si>
  <si>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</si>
  <si>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</si>
  <si>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</si>
  <si>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</si>
  <si>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</si>
  <si>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</si>
  <si>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</si>
  <si>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</si>
  <si>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</si>
  <si>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</si>
  <si>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</si>
  <si>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</si>
  <si>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</si>
  <si>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</si>
  <si>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</si>
  <si>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</si>
  <si>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</si>
  <si>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</si>
  <si>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</si>
  <si>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</si>
  <si>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</si>
  <si>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</si>
  <si>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</si>
  <si>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</si>
  <si>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</si>
  <si>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</si>
  <si>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</si>
  <si>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</si>
  <si>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</si>
  <si>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</si>
  <si>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</si>
  <si>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</si>
  <si>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</si>
  <si>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</si>
  <si>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</si>
  <si>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</si>
  <si>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</si>
  <si>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</si>
  <si>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</si>
  <si>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</si>
  <si>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</si>
  <si>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</si>
  <si>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</si>
  <si>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</si>
  <si>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</si>
  <si>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</si>
  <si>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</si>
  <si>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</si>
  <si>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</si>
  <si>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</si>
  <si>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</si>
  <si>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</si>
  <si>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</si>
  <si>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</si>
  <si>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</si>
  <si>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</si>
  <si>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</si>
  <si>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</si>
  <si>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</si>
  <si>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</si>
  <si>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</si>
  <si>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</si>
  <si>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</si>
  <si>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</si>
  <si>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</si>
  <si>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</si>
  <si>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</si>
  <si>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</si>
  <si>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</si>
  <si>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</si>
  <si>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</si>
  <si>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</si>
  <si>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</si>
  <si>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</si>
  <si>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</si>
  <si>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</si>
  <si>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</si>
  <si>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</si>
  <si>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</si>
  <si>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</si>
  <si>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</si>
  <si>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</si>
  <si>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</si>
  <si>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</si>
  <si>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</si>
  <si>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</si>
  <si>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</si>
  <si>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</si>
  <si>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</si>
  <si>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</si>
  <si>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</si>
  <si>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</si>
  <si>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</si>
  <si>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</si>
  <si>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</si>
  <si>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</si>
  <si>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</si>
  <si>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</si>
  <si>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</si>
  <si>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</si>
  <si>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</si>
  <si>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</si>
  <si>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</si>
  <si>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</si>
  <si>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</si>
  <si>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</si>
  <si>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</si>
  <si>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</si>
  <si>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</si>
  <si>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</si>
  <si>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</si>
  <si>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</si>
  <si>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</si>
  <si>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</si>
  <si>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</si>
  <si>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</si>
  <si>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</si>
  <si>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</si>
  <si>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</si>
  <si>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</si>
  <si>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</si>
  <si>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</si>
  <si>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</si>
  <si>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</si>
  <si>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</si>
  <si>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</si>
  <si>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</si>
  <si>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</si>
  <si>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</si>
  <si>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</si>
  <si>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</si>
  <si>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</si>
  <si>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</si>
  <si>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</si>
  <si>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</si>
  <si>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</si>
  <si>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</si>
  <si>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</si>
  <si>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</si>
  <si>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</si>
  <si>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</si>
  <si>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</si>
  <si>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</si>
  <si>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</si>
  <si>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</si>
  <si>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</si>
  <si>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</si>
  <si>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</si>
  <si>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</si>
  <si>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</si>
  <si>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</si>
  <si>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</si>
  <si>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</si>
  <si>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</si>
  <si>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</si>
  <si>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</si>
  <si>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</si>
  <si>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</si>
  <si>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</si>
  <si>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</si>
  <si>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</si>
  <si>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</si>
  <si>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</si>
  <si>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</si>
  <si>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</si>
  <si>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</si>
  <si>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</si>
  <si>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</si>
  <si>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</si>
  <si>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</si>
  <si>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</si>
  <si>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</si>
  <si>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</si>
  <si>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</si>
  <si>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</si>
  <si>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</si>
  <si>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</si>
  <si>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</si>
  <si>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</si>
  <si>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</si>
  <si>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</si>
  <si>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</si>
  <si>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</si>
  <si>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</si>
  <si>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</si>
  <si>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</si>
  <si>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</si>
  <si>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</si>
  <si>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</si>
  <si>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</si>
  <si>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</si>
  <si>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</si>
  <si>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</si>
  <si>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</si>
  <si>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</si>
  <si>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</si>
  <si>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</si>
  <si>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</si>
  <si>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</si>
  <si>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</si>
  <si>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</si>
  <si>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</si>
  <si>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</si>
  <si>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</si>
  <si>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</si>
  <si>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</si>
  <si>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</si>
  <si>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</si>
  <si>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</si>
  <si>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</si>
  <si>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</si>
  <si>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</si>
  <si>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</si>
  <si>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</si>
  <si>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</si>
  <si>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</si>
  <si>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</si>
  <si>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</si>
  <si>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</si>
  <si>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</si>
  <si>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</si>
  <si>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</si>
  <si>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</si>
  <si>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</si>
  <si>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</si>
  <si>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</si>
  <si>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</si>
  <si>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</si>
  <si>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</si>
  <si>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</si>
  <si>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</si>
  <si>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</si>
  <si>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</si>
  <si>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</si>
  <si>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</si>
  <si>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</si>
  <si>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</si>
  <si>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</si>
  <si>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</si>
  <si>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</si>
  <si>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</si>
  <si>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</si>
  <si>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</si>
  <si>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</si>
  <si>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</si>
  <si>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</si>
  <si>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</si>
  <si>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</si>
  <si>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</si>
  <si>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</si>
  <si>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</si>
  <si>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</si>
  <si>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</si>
  <si>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</si>
  <si>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</si>
  <si>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</si>
  <si>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</si>
  <si>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</si>
  <si>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</si>
  <si>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</si>
  <si>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</si>
  <si>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</si>
  <si>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</si>
  <si>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</si>
  <si>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</si>
  <si>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</si>
  <si>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</si>
  <si>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</si>
  <si>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</si>
  <si>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</si>
  <si>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</si>
  <si>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</si>
  <si>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</si>
  <si>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</si>
  <si>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</si>
  <si>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</si>
  <si>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</si>
  <si>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</si>
  <si>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</si>
  <si>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</si>
  <si>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</si>
  <si>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</si>
  <si>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</si>
  <si>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</si>
  <si>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</si>
  <si>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</si>
  <si>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</si>
  <si>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</si>
  <si>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</si>
  <si>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</si>
  <si>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</si>
  <si>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</si>
  <si>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</si>
  <si>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</si>
  <si>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</si>
  <si>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</si>
  <si>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</si>
  <si>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</si>
  <si>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</si>
  <si>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</si>
  <si>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</si>
  <si>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</si>
  <si>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</si>
  <si>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</si>
  <si>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</si>
  <si>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</si>
  <si>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</si>
  <si>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</si>
  <si>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Inspector Toilet</t>
  </si>
  <si>
    <t>Verandah</t>
  </si>
  <si>
    <t>Rest Room Women Toilet</t>
  </si>
  <si>
    <t>For Jambs</t>
  </si>
  <si>
    <t>Door D1</t>
  </si>
  <si>
    <t>Door D2</t>
  </si>
  <si>
    <t>Door D4</t>
  </si>
  <si>
    <t>Deduction</t>
  </si>
  <si>
    <t>First Floor</t>
  </si>
  <si>
    <t>SUB TOTAL - I</t>
  </si>
  <si>
    <t>SUB TOTAL - II</t>
  </si>
  <si>
    <t>Labour Welfare Fund @ 1%</t>
  </si>
  <si>
    <t>Supervision Charges @ 7.5%</t>
  </si>
  <si>
    <t>GRAND TOTAL</t>
  </si>
  <si>
    <t>Ground Floor</t>
  </si>
  <si>
    <t>Inspection Chamber</t>
  </si>
  <si>
    <t>For Ceiling</t>
  </si>
  <si>
    <t>Reception</t>
  </si>
  <si>
    <t>Head Room</t>
  </si>
  <si>
    <t>Water Tank</t>
  </si>
  <si>
    <t>Building Rear Side</t>
  </si>
  <si>
    <t>White washing two coat for old wall</t>
  </si>
  <si>
    <t>Plastic emulsion paint two coat old wall</t>
  </si>
  <si>
    <t>Window W</t>
  </si>
  <si>
    <t>Ventilator V</t>
  </si>
  <si>
    <t>For Loft</t>
  </si>
  <si>
    <t>Main Door MD</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</si>
  <si>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</si>
  <si>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</si>
  <si>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</si>
  <si>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</si>
  <si>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</si>
  <si>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</si>
  <si>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</si>
  <si>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</si>
  <si>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</si>
  <si>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</si>
  <si>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</si>
  <si>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</si>
  <si>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</si>
  <si>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</si>
  <si>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</si>
  <si>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</si>
  <si>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</si>
  <si>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</si>
  <si>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</si>
  <si>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</si>
  <si>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</si>
  <si>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</si>
  <si>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</si>
  <si>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</si>
  <si>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</si>
  <si>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</si>
  <si>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</si>
  <si>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</si>
  <si>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</si>
  <si>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</si>
  <si>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</si>
  <si>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</si>
  <si>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</si>
  <si>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</si>
  <si>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</si>
  <si>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</si>
  <si>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</si>
  <si>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</si>
  <si>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</si>
  <si>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</si>
  <si>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</si>
  <si>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</si>
  <si>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</si>
  <si>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</si>
  <si>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Writer</t>
  </si>
  <si>
    <t>c. Calling bell</t>
  </si>
  <si>
    <t>Painting two coat for old wood work</t>
  </si>
  <si>
    <t>Supply &amp; Fixing of MS ventilator of size ( lockup)</t>
  </si>
  <si>
    <t>Head Room Door</t>
  </si>
  <si>
    <t>ABSTRACT ESTIMATE</t>
  </si>
  <si>
    <t>Quantity</t>
  </si>
  <si>
    <t>Unforeseen Item @ 2.5%</t>
  </si>
  <si>
    <t>Dismantling of existing damaged pressed tiles</t>
  </si>
  <si>
    <t>Brick Pillar Offset</t>
  </si>
  <si>
    <t>Water Tank Support Wall</t>
  </si>
  <si>
    <t>Head Room Alround</t>
  </si>
  <si>
    <t>Qty As Per Item No - 1</t>
  </si>
  <si>
    <t>Dismantling of existing damaged floor and wall tiles in CM all etc complete</t>
  </si>
  <si>
    <t>Clean removal of old damaged plastered surfaces</t>
  </si>
  <si>
    <t>Rest Room Women</t>
  </si>
  <si>
    <t>Communication</t>
  </si>
  <si>
    <t>SI Crime</t>
  </si>
  <si>
    <t>Corrider</t>
  </si>
  <si>
    <t xml:space="preserve">Property </t>
  </si>
  <si>
    <t>For Wall</t>
  </si>
  <si>
    <t>Inner Side</t>
  </si>
  <si>
    <t>Outer Side</t>
  </si>
  <si>
    <t>Qty As Per Item No - 13</t>
  </si>
  <si>
    <t>Two coat of Old wall OBD</t>
  </si>
  <si>
    <t xml:space="preserve">Staircase </t>
  </si>
  <si>
    <t>Handrails</t>
  </si>
  <si>
    <t>Door D3</t>
  </si>
  <si>
    <t>Window W1</t>
  </si>
  <si>
    <t>Ventilator V1</t>
  </si>
  <si>
    <t>Window GW1</t>
  </si>
  <si>
    <t>Building Alround</t>
  </si>
  <si>
    <t>For Sunshade Top &amp; Bot</t>
  </si>
  <si>
    <t>Qty As Per Item No - 15</t>
  </si>
  <si>
    <t>Open Terrace to Pit</t>
  </si>
  <si>
    <t xml:space="preserve">Water Tank </t>
  </si>
  <si>
    <t>Water Tank to Outlet Line</t>
  </si>
  <si>
    <t>Septic Tank</t>
  </si>
  <si>
    <t>Supplying and fixing of 25Watts LED Street Light Fittings</t>
  </si>
  <si>
    <t>Inlet and Outlet Chamber</t>
  </si>
  <si>
    <t>1Cum = 100Kg</t>
  </si>
  <si>
    <t>Main Chamber to Inlet</t>
  </si>
  <si>
    <t>Add for SGST + CGST @ 18%</t>
  </si>
  <si>
    <t>TIRUNELVELI DIVISION</t>
  </si>
  <si>
    <t>Kattachal</t>
  </si>
  <si>
    <t xml:space="preserve">SI </t>
  </si>
  <si>
    <t>Building Right Side</t>
  </si>
  <si>
    <t xml:space="preserve">4mm glass frosted </t>
  </si>
  <si>
    <t xml:space="preserve">Supplying and fixing 4mm thick pin headed glass panels </t>
  </si>
  <si>
    <t>PP Inspection Chamber</t>
  </si>
  <si>
    <t>Building Front Side</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</si>
  <si>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</si>
  <si>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</si>
  <si>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</si>
  <si>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</si>
  <si>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SUB TOTAL - III</t>
  </si>
  <si>
    <t>Provision for Septic Tank Cleaning Charges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</si>
  <si>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</si>
  <si>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</si>
  <si>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Staircase Mid Landing</t>
  </si>
  <si>
    <t>Building</t>
  </si>
  <si>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</si>
  <si>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</si>
  <si>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</si>
  <si>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</si>
  <si>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PECHIPARAI</t>
  </si>
  <si>
    <t>Andoor</t>
  </si>
  <si>
    <t>Themanoor</t>
  </si>
  <si>
    <t>2.Certified that presently Msand from the approved source of Kattachal which is nearest and 11Km from the site.</t>
  </si>
  <si>
    <t>Provision for Doors and Windows Repairing Charges</t>
  </si>
  <si>
    <t>Name of Work:
                  Special repair works for the Rural Police Station Building at Pechiparai in Kanyakumari District.</t>
  </si>
  <si>
    <t>Open Terrace Right Side</t>
  </si>
  <si>
    <t>Open Terrace Right Side Alround</t>
  </si>
  <si>
    <t>Com.Toilet</t>
  </si>
  <si>
    <t>Pointing of Pressed tiles</t>
  </si>
  <si>
    <t>Open Terrace Left Side</t>
  </si>
  <si>
    <t>Head Room Front</t>
  </si>
  <si>
    <t>Porch</t>
  </si>
  <si>
    <t>Porch Alround</t>
  </si>
  <si>
    <t>Rest Room Men</t>
  </si>
  <si>
    <t>Terrace</t>
  </si>
  <si>
    <t>Portico Side</t>
  </si>
  <si>
    <t>Portico</t>
  </si>
  <si>
    <t xml:space="preserve">Rest Room Women Rear </t>
  </si>
  <si>
    <t>Com.Toilet Right Side</t>
  </si>
  <si>
    <t>Parapet Wall Inner</t>
  </si>
  <si>
    <t>Parapet Wall Top</t>
  </si>
  <si>
    <t>Parapet Wall Offset</t>
  </si>
  <si>
    <t>Head Room Parapet Wall</t>
  </si>
  <si>
    <t>Portico Parapet Wall</t>
  </si>
  <si>
    <t>For Sunshade Top</t>
  </si>
  <si>
    <t>For Sunshade Side</t>
  </si>
  <si>
    <t>Ramp Door</t>
  </si>
  <si>
    <t>SI Law</t>
  </si>
  <si>
    <t>Station Writer</t>
  </si>
  <si>
    <t>Lockup Room Men &amp; Women</t>
  </si>
  <si>
    <t xml:space="preserve">Head Room </t>
  </si>
  <si>
    <t xml:space="preserve">Inspector </t>
  </si>
  <si>
    <t>SI</t>
  </si>
  <si>
    <t>Insepctor Toilet</t>
  </si>
  <si>
    <t>SI Toilet</t>
  </si>
  <si>
    <t>Lockup Room Men</t>
  </si>
  <si>
    <t>Lockup Room Men Toilet Inner</t>
  </si>
  <si>
    <t xml:space="preserve">Lockup Room Women </t>
  </si>
  <si>
    <t>Lockup Room Women Toilet</t>
  </si>
  <si>
    <t xml:space="preserve">Arms </t>
  </si>
  <si>
    <t xml:space="preserve">Insepctor </t>
  </si>
  <si>
    <t>For Cup Board</t>
  </si>
  <si>
    <t>French Window FW</t>
  </si>
  <si>
    <t>For First Floor</t>
  </si>
  <si>
    <t xml:space="preserve">Communication </t>
  </si>
  <si>
    <t>Store</t>
  </si>
  <si>
    <t>Property Room</t>
  </si>
  <si>
    <t>Ventilator V0</t>
  </si>
  <si>
    <t>Fixed Window FW</t>
  </si>
  <si>
    <t>Staircase FF Open</t>
  </si>
  <si>
    <t>Lockup Room Women</t>
  </si>
  <si>
    <t>Staircase Lobby</t>
  </si>
  <si>
    <t xml:space="preserve">Rest Room Women </t>
  </si>
  <si>
    <t>Qty As Per Item No - 12</t>
  </si>
  <si>
    <t>Ramp Handrail</t>
  </si>
  <si>
    <t>Inspector and SI</t>
  </si>
  <si>
    <t>Rest Room Men and Women</t>
  </si>
  <si>
    <t>Portico Three Side</t>
  </si>
  <si>
    <t xml:space="preserve">Water Tank Support Wall </t>
  </si>
  <si>
    <t>First Floor Terrace Open</t>
  </si>
  <si>
    <t>Ramp Gate</t>
  </si>
  <si>
    <t>Head Room Inner and Outer</t>
  </si>
  <si>
    <t>Qty As Per Item No - 41</t>
  </si>
  <si>
    <t>Qty As Per Item No - 42</t>
  </si>
  <si>
    <t>EB Pole to Building</t>
  </si>
  <si>
    <r>
      <t xml:space="preserve">PAINTING TWO COATS OVER OLD           </t>
    </r>
    <r>
      <rPr>
        <b/>
        <sz val="12"/>
        <rFont val="Cambria"/>
        <family val="1"/>
        <scheme val="major"/>
      </rPr>
      <t>(as per PWD Standard Data)</t>
    </r>
  </si>
  <si>
    <t>Precast cupboard slab 40 mm tkusing standardised concrete mix M20 (annexure)</t>
  </si>
  <si>
    <t>2023-24</t>
  </si>
  <si>
    <t>Wiring with 1.5 sqmm PVC insulated single core multi strand fire retardant flexible copper cable with ISI mark confirming IS: 694:1990 for Staircase Light Point. (Open Wiring)</t>
  </si>
  <si>
    <t>Inspector and SI Toilet</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</si>
</sst>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19">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8" fontId="168" fillId="0" borderId="0" xfId="0" applyFont="1" applyAlignment="1">
      <alignment horizontal="left"/>
    </xf>
    <xf numFmtId="168" fontId="69" fillId="0" borderId="0" xfId="0" quotePrefix="1" applyFont="1" applyAlignment="1">
      <alignment horizontal="right"/>
    </xf>
    <xf numFmtId="168" fontId="168" fillId="0" borderId="0" xfId="0" applyFont="1" applyAlignment="1">
      <alignment horizontal="fill"/>
    </xf>
    <xf numFmtId="168" fontId="122" fillId="0" borderId="0" xfId="0" applyFont="1" applyAlignment="1">
      <alignment horizontal="right" indent="2"/>
    </xf>
    <xf numFmtId="168" fontId="169" fillId="0" borderId="0" xfId="0" applyFont="1"/>
    <xf numFmtId="169" fontId="122" fillId="0" borderId="0" xfId="0" applyNumberFormat="1" applyFont="1" applyAlignment="1">
      <alignment horizontal="center"/>
    </xf>
    <xf numFmtId="168" fontId="122" fillId="9" borderId="0" xfId="0" applyFont="1" applyFill="1" applyAlignment="1">
      <alignment horizontal="left"/>
    </xf>
    <xf numFmtId="168" fontId="122" fillId="9" borderId="0" xfId="0" applyFont="1" applyFill="1" applyAlignment="1">
      <alignment horizontal="center"/>
    </xf>
    <xf numFmtId="168" fontId="122" fillId="9" borderId="0" xfId="0" applyFont="1" applyFill="1"/>
    <xf numFmtId="168" fontId="134" fillId="9" borderId="0" xfId="0" applyFont="1" applyFill="1" applyAlignment="1">
      <alignment horizontal="right"/>
    </xf>
    <xf numFmtId="168" fontId="134" fillId="0" borderId="0" xfId="0" applyFont="1" applyAlignment="1">
      <alignment horizontal="right"/>
    </xf>
    <xf numFmtId="168" fontId="122" fillId="0" borderId="0" xfId="0" applyFont="1" applyAlignment="1">
      <alignment horizontal="left" vertical="top" wrapText="1"/>
    </xf>
    <xf numFmtId="168" fontId="122" fillId="0" borderId="0" xfId="0" applyFont="1" applyAlignment="1">
      <alignment horizontal="left" vertical="top"/>
    </xf>
    <xf numFmtId="0" fontId="122" fillId="0" borderId="0" xfId="0" applyNumberFormat="1" applyFont="1"/>
    <xf numFmtId="168" fontId="122" fillId="0" borderId="0" xfId="0" quotePrefix="1" applyFont="1"/>
    <xf numFmtId="0" fontId="122" fillId="0" borderId="0" xfId="0" applyNumberFormat="1" applyFont="1" applyAlignment="1">
      <alignment wrapText="1"/>
    </xf>
    <xf numFmtId="169" fontId="122" fillId="0" borderId="1" xfId="0" applyNumberFormat="1" applyFont="1" applyBorder="1" applyAlignment="1">
      <alignment vertical="center" wrapText="1"/>
    </xf>
    <xf numFmtId="168" fontId="122" fillId="0" borderId="1" xfId="0" applyFont="1" applyBorder="1" applyAlignment="1">
      <alignment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8" fontId="69" fillId="0" borderId="1" xfId="0" applyFont="1" applyBorder="1" applyAlignment="1">
      <alignment horizontal="center" vertical="center" wrapText="1"/>
    </xf>
    <xf numFmtId="169" fontId="69" fillId="0" borderId="0" xfId="0" applyNumberFormat="1" applyFont="1" applyAlignment="1">
      <alignment horizontal="center" vertical="center" wrapText="1"/>
    </xf>
    <xf numFmtId="168" fontId="61" fillId="0" borderId="0" xfId="0" applyFont="1" applyAlignment="1">
      <alignment horizontal="center" vertical="center" wrapText="1"/>
    </xf>
    <xf numFmtId="169" fontId="122" fillId="0" borderId="1" xfId="0" applyNumberFormat="1" applyFont="1" applyBorder="1" applyAlignment="1">
      <alignment horizontal="center" vertical="center" wrapText="1"/>
    </xf>
    <xf numFmtId="168" fontId="69" fillId="0" borderId="0" xfId="0" applyFont="1" applyAlignment="1">
      <alignment horizontal="left" vertical="center" wrapText="1"/>
    </xf>
    <xf numFmtId="169" fontId="69" fillId="0" borderId="1" xfId="0" applyNumberFormat="1" applyFont="1" applyBorder="1" applyAlignment="1">
      <alignment horizontal="center" vertical="center"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8" fontId="60" fillId="0" borderId="0" xfId="0" applyFont="1" applyAlignment="1">
      <alignment horizontal="center"/>
    </xf>
    <xf numFmtId="168" fontId="60" fillId="0" borderId="0" xfId="0" quotePrefix="1"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118" fillId="0" borderId="0" xfId="0" applyFont="1" applyAlignment="1">
      <alignment horizontal="center"/>
    </xf>
    <xf numFmtId="168" fontId="60" fillId="10" borderId="0" xfId="0" applyFont="1" applyFill="1" applyAlignment="1">
      <alignment horizontal="left" vertical="top" wrapText="1"/>
    </xf>
    <xf numFmtId="168" fontId="62" fillId="0" borderId="0" xfId="0" applyFont="1" applyAlignment="1">
      <alignment horizontal="left" vertical="top"/>
    </xf>
    <xf numFmtId="168" fontId="62" fillId="0" borderId="0" xfId="0" applyFont="1" applyAlignment="1">
      <alignment horizontal="center"/>
    </xf>
    <xf numFmtId="168" fontId="69" fillId="0" borderId="0" xfId="0" applyFont="1" applyAlignment="1">
      <alignment horizontal="center"/>
    </xf>
    <xf numFmtId="168" fontId="118" fillId="0" borderId="0" xfId="0" applyFont="1" applyAlignment="1">
      <alignment horizontal="center" wrapText="1"/>
    </xf>
    <xf numFmtId="0" fontId="60" fillId="0" borderId="0" xfId="0" applyNumberFormat="1" applyFont="1" applyAlignment="1">
      <alignment horizontal="center"/>
    </xf>
    <xf numFmtId="0" fontId="144" fillId="0" borderId="0" xfId="0" applyNumberFormat="1" applyFont="1" applyAlignment="1">
      <alignment horizontal="center" wrapText="1"/>
    </xf>
    <xf numFmtId="169" fontId="69" fillId="8" borderId="0" xfId="0" applyNumberFormat="1" applyFont="1" applyFill="1" applyAlignment="1">
      <alignment horizontal="center" vertical="center" wrapText="1"/>
    </xf>
    <xf numFmtId="168" fontId="122" fillId="8" borderId="0" xfId="0" applyFont="1" applyFill="1" applyAlignment="1">
      <alignment horizontal="center" vertical="center" wrapText="1"/>
    </xf>
    <xf numFmtId="168" fontId="69" fillId="8" borderId="0" xfId="0" applyFont="1" applyFill="1" applyAlignment="1">
      <alignment vertical="center" wrapText="1"/>
    </xf>
    <xf numFmtId="168" fontId="61"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8" xfId="0" applyFont="1" applyFill="1" applyBorder="1" applyAlignment="1">
      <alignment horizontal="center" vertical="center" wrapText="1"/>
    </xf>
    <xf numFmtId="168" fontId="122" fillId="8" borderId="19" xfId="0" applyFont="1" applyFill="1" applyBorder="1" applyAlignment="1">
      <alignment horizontal="center" vertical="center" wrapText="1"/>
    </xf>
    <xf numFmtId="168" fontId="122" fillId="8" borderId="20" xfId="0" applyFont="1" applyFill="1" applyBorder="1" applyAlignment="1">
      <alignment horizontal="center"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68" fontId="69" fillId="8" borderId="0" xfId="0"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 xmlns:a16="http://schemas.microsoft.com/office/drawing/2014/main" id="{0873CF80-38C9-4072-927B-8877505D55FA}"/>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echiparai%20RPS%20SRW%20SR%202022-23%2004.05.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Sliding and french window"/>
      <sheetName val="building"/>
      <sheetName val="Abstract"/>
      <sheetName val="Detailed"/>
      <sheetName val="Data"/>
      <sheetName val="Print Data"/>
      <sheetName val="Sheet1"/>
    </sheetNames>
    <sheetDataSet>
      <sheetData sheetId="0"/>
      <sheetData sheetId="1"/>
      <sheetData sheetId="2"/>
      <sheetData sheetId="3"/>
      <sheetData sheetId="4"/>
      <sheetData sheetId="5">
        <row r="141">
          <cell r="I141">
            <v>16.55</v>
          </cell>
        </row>
        <row r="955">
          <cell r="I955">
            <v>391</v>
          </cell>
        </row>
        <row r="956">
          <cell r="K956">
            <v>0</v>
          </cell>
        </row>
      </sheetData>
      <sheetData sheetId="6"/>
      <sheetData sheetId="7">
        <row r="6">
          <cell r="C6">
            <v>224.82</v>
          </cell>
        </row>
        <row r="38">
          <cell r="B38" t="str">
            <v>Filling C.S. sand</v>
          </cell>
        </row>
        <row r="363">
          <cell r="B363" t="str">
            <v>Stucco plastering 12 mm tk.</v>
          </cell>
        </row>
        <row r="373">
          <cell r="C373">
            <v>7035</v>
          </cell>
        </row>
        <row r="396">
          <cell r="B396" t="str">
            <v>Gully Trap using chamber burnt bricks of size 23x11.4x7.5cm</v>
          </cell>
        </row>
        <row r="401">
          <cell r="C401">
            <v>160</v>
          </cell>
        </row>
        <row r="432">
          <cell r="B432" t="str">
            <v>Charges for fixing of "Fan"</v>
          </cell>
        </row>
        <row r="436">
          <cell r="B436" t="str">
            <v>8 SWG wire</v>
          </cell>
        </row>
        <row r="442">
          <cell r="B442" t="str">
            <v>Earthing Station IS3043 (Type I)</v>
          </cell>
        </row>
        <row r="463">
          <cell r="B463" t="str">
            <v>Precast cupboard slab 40 mm tkusing standardised concrete mix M25 (annexure)</v>
          </cell>
        </row>
        <row r="562">
          <cell r="B562" t="str">
            <v xml:space="preserve">Supplying and filling with gravel </v>
          </cell>
        </row>
        <row r="639">
          <cell r="B639" t="str">
            <v>Supply and Fixing Soild UPVC door Shutter with frame</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937">
          <cell r="B937" t="str">
            <v>Supply and fixing of  Bulk Head fitting suitable for  12W LED Bulb</v>
          </cell>
        </row>
        <row r="939">
          <cell r="B939" t="str">
            <v>Supply and fixing of 12 watts  LED bulb  (qtn)</v>
          </cell>
        </row>
        <row r="1480">
          <cell r="B1480" t="str">
            <v>Supplying and delivery of Three phase ELCB/RCCB</v>
          </cell>
        </row>
        <row r="1503">
          <cell r="B1503" t="str">
            <v>White washing two coat for old wall</v>
          </cell>
        </row>
        <row r="1510">
          <cell r="B1510" t="str">
            <v>Painting two coat for old iron work</v>
          </cell>
        </row>
        <row r="1512">
          <cell r="B1512" t="str">
            <v>Painting two coat for old wood work</v>
          </cell>
        </row>
      </sheetData>
      <sheetData sheetId="8">
        <row r="23">
          <cell r="C23" t="str">
            <v>White washing two coat for old wall</v>
          </cell>
        </row>
      </sheetData>
      <sheetData sheetId="9">
        <row r="1">
          <cell r="A1" t="str">
            <v>TAMILNADU POLICE HOUSING CORPORATION LIMITED</v>
          </cell>
        </row>
        <row r="2">
          <cell r="A2" t="str">
            <v>TIRUNELVELI DIVISION</v>
          </cell>
        </row>
        <row r="3">
          <cell r="A3" t="str">
            <v>Name of Work:                  Special repair works for the Rural Police Station Building at Pechiparai in Kanyakumari District.</v>
          </cell>
        </row>
        <row r="15">
          <cell r="H15">
            <v>80.400000000000006</v>
          </cell>
        </row>
        <row r="19">
          <cell r="H19">
            <v>80.400000000000006</v>
          </cell>
        </row>
        <row r="33">
          <cell r="H33">
            <v>1</v>
          </cell>
        </row>
        <row r="43">
          <cell r="B43" t="str">
            <v>Pointing of Pressed tiles</v>
          </cell>
        </row>
        <row r="49">
          <cell r="H49">
            <v>48.3</v>
          </cell>
        </row>
        <row r="105">
          <cell r="H105">
            <v>269.7</v>
          </cell>
        </row>
        <row r="147">
          <cell r="H147">
            <v>215.1</v>
          </cell>
        </row>
        <row r="166">
          <cell r="H166">
            <v>54.6</v>
          </cell>
        </row>
        <row r="179">
          <cell r="H179">
            <v>42.5</v>
          </cell>
        </row>
        <row r="198">
          <cell r="H198">
            <v>85.9</v>
          </cell>
        </row>
        <row r="202">
          <cell r="H202">
            <v>85.9</v>
          </cell>
        </row>
        <row r="227">
          <cell r="H227">
            <v>135.1</v>
          </cell>
        </row>
        <row r="321">
          <cell r="H321">
            <v>647.9</v>
          </cell>
        </row>
        <row r="362">
          <cell r="H362">
            <v>195.3</v>
          </cell>
        </row>
        <row r="363">
          <cell r="B363" t="str">
            <v>Painting two coat for old iron work</v>
          </cell>
        </row>
        <row r="377">
          <cell r="H377">
            <v>59.6</v>
          </cell>
        </row>
        <row r="378">
          <cell r="B378" t="str">
            <v>Painting two coat for old wood work</v>
          </cell>
        </row>
        <row r="384">
          <cell r="H384">
            <v>99.4</v>
          </cell>
        </row>
        <row r="429">
          <cell r="H429">
            <v>371.4</v>
          </cell>
        </row>
        <row r="430">
          <cell r="B430" t="str">
            <v>Stucco plastering 12 mm tk.</v>
          </cell>
        </row>
        <row r="436">
          <cell r="H436">
            <v>53.7</v>
          </cell>
        </row>
        <row r="440">
          <cell r="H440">
            <v>36</v>
          </cell>
        </row>
        <row r="456">
          <cell r="H456">
            <v>12</v>
          </cell>
        </row>
        <row r="460">
          <cell r="H460">
            <v>60</v>
          </cell>
        </row>
        <row r="461">
          <cell r="B461" t="str">
            <v xml:space="preserve">Supplying and fixing 4mm thick pin headed glass panels </v>
          </cell>
        </row>
        <row r="465">
          <cell r="H465">
            <v>5.0999999999999996</v>
          </cell>
        </row>
        <row r="473">
          <cell r="H473">
            <v>17</v>
          </cell>
        </row>
        <row r="478">
          <cell r="H478">
            <v>7</v>
          </cell>
        </row>
        <row r="498">
          <cell r="H498">
            <v>6</v>
          </cell>
        </row>
        <row r="503">
          <cell r="H503">
            <v>8</v>
          </cell>
        </row>
        <row r="509">
          <cell r="B509" t="str">
            <v>Charges for fixing of "Fan"</v>
          </cell>
        </row>
        <row r="519">
          <cell r="H519">
            <v>3</v>
          </cell>
        </row>
        <row r="524">
          <cell r="H524">
            <v>10</v>
          </cell>
        </row>
        <row r="529">
          <cell r="H529">
            <v>7</v>
          </cell>
        </row>
        <row r="533">
          <cell r="H533">
            <v>5</v>
          </cell>
        </row>
        <row r="534">
          <cell r="B534" t="str">
            <v>Supply and fixing of  Bulk Head fitting suitable for  12W LED Bulb</v>
          </cell>
        </row>
        <row r="539">
          <cell r="H539">
            <v>6</v>
          </cell>
        </row>
        <row r="540">
          <cell r="B540" t="str">
            <v>Supply and fixing of 12 watts  LED bulb  (qtn)</v>
          </cell>
        </row>
        <row r="545">
          <cell r="H545">
            <v>6</v>
          </cell>
        </row>
        <row r="552">
          <cell r="H552">
            <v>5.0999999999999996</v>
          </cell>
        </row>
        <row r="557">
          <cell r="H557">
            <v>0.02</v>
          </cell>
        </row>
        <row r="561">
          <cell r="H561">
            <v>0.02</v>
          </cell>
        </row>
        <row r="565">
          <cell r="H565">
            <v>1.5</v>
          </cell>
        </row>
        <row r="569">
          <cell r="H569">
            <v>0.5</v>
          </cell>
        </row>
        <row r="573">
          <cell r="H573">
            <v>0.3</v>
          </cell>
        </row>
        <row r="577">
          <cell r="H577">
            <v>1.2</v>
          </cell>
        </row>
        <row r="581">
          <cell r="H581">
            <v>0.8</v>
          </cell>
        </row>
        <row r="585">
          <cell r="H585">
            <v>2.2000000000000002</v>
          </cell>
        </row>
        <row r="590">
          <cell r="B590" t="str">
            <v>Filling C.S. sand</v>
          </cell>
        </row>
        <row r="598">
          <cell r="H598">
            <v>1.2</v>
          </cell>
        </row>
        <row r="599">
          <cell r="B599" t="str">
            <v xml:space="preserve">Supplying and filling with gravel </v>
          </cell>
        </row>
        <row r="607">
          <cell r="H607">
            <v>2.2999999999999998</v>
          </cell>
        </row>
        <row r="608">
          <cell r="B608" t="str">
            <v>Precast slab 50 mm tk.in C.C. 1:3:6 with fibre</v>
          </cell>
        </row>
        <row r="622">
          <cell r="B622" t="str">
            <v>Rain water harvesting using defunct borewell and providing perforated cover slab</v>
          </cell>
        </row>
        <row r="623">
          <cell r="B623" t="str">
            <v>a). Providing pit (M30)</v>
          </cell>
        </row>
        <row r="626">
          <cell r="H626">
            <v>4</v>
          </cell>
        </row>
        <row r="627">
          <cell r="B627" t="str">
            <v>Gully Trap using chamber burnt bricks of size 23x11.4x7.5cm</v>
          </cell>
        </row>
        <row r="630">
          <cell r="H630">
            <v>4</v>
          </cell>
        </row>
        <row r="631">
          <cell r="B631" t="str">
            <v>4 x 4  Sq mm copper PVC insulated unsheathed single core cable for 3 phase EB service connection</v>
          </cell>
        </row>
        <row r="635">
          <cell r="B635" t="str">
            <v>Earthing Station IS3043 (Type I)</v>
          </cell>
        </row>
        <row r="638">
          <cell r="H638">
            <v>1</v>
          </cell>
        </row>
        <row r="639">
          <cell r="B639" t="str">
            <v>8 SWG wire</v>
          </cell>
        </row>
        <row r="642">
          <cell r="H642">
            <v>8</v>
          </cell>
        </row>
        <row r="643">
          <cell r="B643" t="str">
            <v>Supply and Fixing Soild UPVC door Shutter with frame</v>
          </cell>
        </row>
        <row r="647">
          <cell r="B647" t="str">
            <v>Wiring with 1.5 sqmm PVC insulated single core multi strand fire retardant flexible copper cable with ISI mark confirming IS: 694:1990 for 5 amps 5 pin  plug socket point @ Switch Board Itself.(Open wiring)</v>
          </cell>
        </row>
        <row r="650">
          <cell r="H650">
            <v>5</v>
          </cell>
        </row>
        <row r="657">
          <cell r="B657" t="str">
            <v>Supplying and delivery of Three phase ELCB/RCCB</v>
          </cell>
        </row>
        <row r="660">
          <cell r="H660">
            <v>1</v>
          </cell>
        </row>
      </sheetData>
      <sheetData sheetId="10">
        <row r="3">
          <cell r="O3" t="str">
            <v>PECHIPARAI</v>
          </cell>
        </row>
        <row r="379">
          <cell r="F379">
            <v>4800</v>
          </cell>
        </row>
        <row r="2116">
          <cell r="I2116">
            <v>156</v>
          </cell>
        </row>
      </sheetData>
      <sheetData sheetId="11">
        <row r="283">
          <cell r="F283">
            <v>123.41</v>
          </cell>
        </row>
      </sheetData>
      <sheetData sheetId="1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5">
          <cell r="B5" t="str">
            <v>Earth work excavation in all soils (including refilling)a. 0 to 2 mt.</v>
          </cell>
        </row>
        <row r="45">
          <cell r="B45" t="str">
            <v>C.C.1:5:10 for Foundation &amp; Basement</v>
          </cell>
        </row>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2">
          <cell r="B832" t="str">
            <v>S &amp; F of 15mm dia Engineering Polymer Tap (long body ) for coastal area only</v>
          </cell>
        </row>
        <row r="833">
          <cell r="B833" t="str">
            <v>S &amp; F of 15mm dia Engineering Polymer Tap  short body tap for coastal area only</v>
          </cell>
        </row>
        <row r="838">
          <cell r="B838" t="str">
            <v>UPVC Non Pressure  pipe of SN8 SDR 34 ( S 16.5) as per IS 15328/2003a. 110 mm UPVC Non Pressure  pipe</v>
          </cell>
        </row>
        <row r="848">
          <cell r="B848" t="str">
            <v xml:space="preserve">S &amp; F of Indian Water closet white glazed (Oriya type) of size 580 x 440mm  with PVC SWR grade ' P' or "S' trap- Other than  G.F.  </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3">
          <cell r="B43" t="str">
            <v xml:space="preserve">S &amp; F of Indian Water closet white glazed (Oriya type) of size 580 x 440mm  with PVC SWR grade ' P' or "S' trap- Other than  G.F.  </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66">
          <cell r="B466" t="str">
            <v>S &amp; F of 15mm dia Engineering Polymer Tap (long body ) for coastal area only</v>
          </cell>
        </row>
        <row r="471">
          <cell r="B471" t="str">
            <v>S &amp; F of 15mm dia Engineering Polymer Tap  short body tap for coastal area only</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1">
          <cell r="B521" t="str">
            <v>Earth work excavation in all soils (including refilling)a. 0 to 2 mt.</v>
          </cell>
        </row>
        <row r="525">
          <cell r="B525" t="str">
            <v>C.C.1:5:10 for Foundation &amp; Basement</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40" t="s">
        <v>3985</v>
      </c>
      <c r="B1" s="1040"/>
      <c r="C1" s="1040"/>
      <c r="D1" s="1040"/>
      <c r="E1" s="1040"/>
      <c r="F1" s="1040"/>
    </row>
    <row r="2" spans="1:7" ht="17.25" customHeight="1">
      <c r="A2" s="1040" t="s">
        <v>3984</v>
      </c>
      <c r="B2" s="1040"/>
      <c r="C2" s="1040"/>
      <c r="D2" s="1040"/>
      <c r="E2" s="1040"/>
      <c r="F2" s="1040"/>
    </row>
    <row r="3" spans="1:7" ht="31.5" customHeight="1">
      <c r="A3" s="1041" t="s">
        <v>4141</v>
      </c>
      <c r="B3" s="1041"/>
      <c r="C3" s="1041"/>
      <c r="D3" s="1041"/>
      <c r="E3" s="1041"/>
      <c r="F3" s="1041"/>
    </row>
    <row r="4" spans="1:7" ht="17.25">
      <c r="A4" s="1042" t="s">
        <v>4629</v>
      </c>
      <c r="B4" s="1042"/>
      <c r="C4" s="1042"/>
      <c r="D4" s="1042"/>
      <c r="E4" s="1042"/>
      <c r="F4" s="66"/>
    </row>
    <row r="5" spans="1:7" ht="6" customHeight="1">
      <c r="A5" s="66"/>
      <c r="B5" s="66"/>
      <c r="C5" s="66"/>
      <c r="D5" s="66"/>
      <c r="E5" s="66"/>
      <c r="F5" s="66"/>
    </row>
    <row r="6" spans="1:7" ht="45.75" customHeight="1">
      <c r="B6" s="84"/>
      <c r="C6" s="1043" t="s">
        <v>4631</v>
      </c>
      <c r="D6" s="1043"/>
      <c r="E6" s="1043"/>
      <c r="F6" s="84"/>
      <c r="G6" s="2" t="s">
        <v>2151</v>
      </c>
    </row>
    <row r="7" spans="1:7" ht="24" customHeight="1">
      <c r="A7" s="83"/>
      <c r="B7" s="1044" t="s">
        <v>4630</v>
      </c>
      <c r="C7" s="1044"/>
      <c r="D7" s="1044"/>
      <c r="E7" s="1044"/>
      <c r="F7" s="1044"/>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8225.5400000000009</v>
      </c>
      <c r="F9" s="76">
        <f>A9*E9</f>
        <v>29036.16</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38851.81</v>
      </c>
    </row>
    <row r="14" spans="1:7" ht="21" customHeight="1">
      <c r="A14" s="75"/>
      <c r="B14" s="75"/>
      <c r="C14" s="75" t="s">
        <v>1639</v>
      </c>
      <c r="D14" s="66"/>
      <c r="E14" s="75"/>
      <c r="F14" s="76">
        <f>F13/8</f>
        <v>4856.4799999999996</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4981.4799999999996</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5" t="s">
        <v>3976</v>
      </c>
      <c r="D21" s="1045"/>
      <c r="E21" s="1045"/>
      <c r="F21" s="80"/>
    </row>
    <row r="22" spans="1:13" ht="30.75" customHeight="1">
      <c r="A22" s="79"/>
      <c r="B22" s="1044" t="s">
        <v>3975</v>
      </c>
      <c r="C22" s="1044"/>
      <c r="D22" s="1044"/>
      <c r="E22" s="1044"/>
      <c r="F22" s="1044"/>
      <c r="G22" s="5">
        <v>0.19600000000000001</v>
      </c>
    </row>
    <row r="23" spans="1:13" ht="30.75" customHeight="1">
      <c r="A23" s="75"/>
      <c r="B23" s="75"/>
      <c r="C23" s="78" t="s">
        <v>3974</v>
      </c>
      <c r="D23" s="75"/>
      <c r="E23" s="75"/>
      <c r="F23" s="75"/>
    </row>
    <row r="24" spans="1:13" ht="30.75" customHeight="1">
      <c r="A24" s="77">
        <f>G22</f>
        <v>0.19600000000000001</v>
      </c>
      <c r="B24" s="75" t="s">
        <v>2151</v>
      </c>
      <c r="C24" s="75" t="s">
        <v>5954</v>
      </c>
      <c r="D24" s="66"/>
      <c r="E24" s="76">
        <f>Data!AE62</f>
        <v>6380</v>
      </c>
      <c r="F24" s="76">
        <f>A24*E24</f>
        <v>1250.48</v>
      </c>
    </row>
    <row r="25" spans="1:13" ht="42.75" customHeight="1">
      <c r="A25" s="77">
        <f>+A24</f>
        <v>0.19600000000000001</v>
      </c>
      <c r="B25" s="75" t="s">
        <v>2151</v>
      </c>
      <c r="C25" s="1046" t="s">
        <v>5955</v>
      </c>
      <c r="D25" s="1046"/>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047" t="s">
        <v>3971</v>
      </c>
      <c r="D30" s="1047"/>
      <c r="E30" s="1047"/>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1685.18</v>
      </c>
      <c r="F41">
        <f>D41*A41</f>
        <v>8425.9</v>
      </c>
    </row>
    <row r="42" spans="1:10" ht="24" customHeight="1">
      <c r="A42" s="5">
        <v>3.3</v>
      </c>
      <c r="B42" t="s">
        <v>1341</v>
      </c>
      <c r="C42" t="s">
        <v>4001</v>
      </c>
      <c r="D42">
        <f>Data!V676</f>
        <v>1395.18</v>
      </c>
      <c r="F42">
        <f t="shared" ref="F42:F48" si="0">D42*A42</f>
        <v>4604.09</v>
      </c>
    </row>
    <row r="43" spans="1:10" ht="24" customHeight="1">
      <c r="A43" s="5">
        <v>4.79</v>
      </c>
      <c r="B43" t="s">
        <v>1341</v>
      </c>
      <c r="C43" t="s">
        <v>4002</v>
      </c>
      <c r="D43">
        <f>Data!V677</f>
        <v>1464.46</v>
      </c>
      <c r="F43">
        <f t="shared" si="0"/>
        <v>7014.76</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81846.149999999994</v>
      </c>
    </row>
    <row r="50" spans="1:8" ht="24" customHeight="1">
      <c r="A50" s="5"/>
      <c r="C50" s="11" t="s">
        <v>4005</v>
      </c>
      <c r="D50">
        <f>Data!V684</f>
        <v>0</v>
      </c>
      <c r="F50" s="11">
        <f>F49/10</f>
        <v>8184.62</v>
      </c>
      <c r="G50">
        <f>F50</f>
        <v>8184.62</v>
      </c>
    </row>
    <row r="51" spans="1:8" ht="24" customHeight="1">
      <c r="A51" s="5">
        <v>1</v>
      </c>
      <c r="B51" t="s">
        <v>1341</v>
      </c>
      <c r="C51" t="s">
        <v>3465</v>
      </c>
      <c r="D51">
        <f>Data!V685</f>
        <v>94.2</v>
      </c>
      <c r="F51">
        <f>D51</f>
        <v>94.2</v>
      </c>
    </row>
    <row r="52" spans="1:8" ht="24" customHeight="1">
      <c r="A52" s="5"/>
      <c r="C52" t="s">
        <v>4006</v>
      </c>
      <c r="F52" s="11">
        <f>SUM(F50:F51)</f>
        <v>8278.82</v>
      </c>
      <c r="G52">
        <f>SUM(G50:G51)</f>
        <v>8184.62</v>
      </c>
    </row>
    <row r="53" spans="1:8">
      <c r="A53" s="46" t="s">
        <v>657</v>
      </c>
      <c r="C53" t="s">
        <v>4007</v>
      </c>
      <c r="D53" s="46" t="s">
        <v>657</v>
      </c>
      <c r="F53">
        <f>F52*0.5%</f>
        <v>41.39</v>
      </c>
      <c r="G53">
        <f>G52*0.5/100</f>
        <v>40.92</v>
      </c>
    </row>
    <row r="54" spans="1:8" ht="47.25">
      <c r="A54" s="5"/>
      <c r="C54" s="11" t="s">
        <v>3588</v>
      </c>
      <c r="E54" s="1"/>
      <c r="F54" s="11">
        <f>SUM(F52:F53)</f>
        <v>8320.2099999999991</v>
      </c>
      <c r="G54" s="11">
        <f>SUM(G52:G53)</f>
        <v>8225.5400000000009</v>
      </c>
      <c r="H54" s="37" t="s">
        <v>4017</v>
      </c>
    </row>
    <row r="55" spans="1:8">
      <c r="A55" s="5"/>
      <c r="E55" s="1"/>
      <c r="F55" s="3" t="s">
        <v>1586</v>
      </c>
    </row>
    <row r="56" spans="1:8">
      <c r="A56" s="5"/>
      <c r="C56" s="1" t="s">
        <v>386</v>
      </c>
      <c r="E56" s="1"/>
      <c r="F56" s="11">
        <f>F54+Data!C23</f>
        <v>8556.31</v>
      </c>
    </row>
    <row r="57" spans="1:8">
      <c r="A57" s="5"/>
      <c r="C57" s="1" t="s">
        <v>388</v>
      </c>
      <c r="E57" s="1"/>
      <c r="F57" s="93"/>
    </row>
    <row r="58" spans="1:8">
      <c r="A58" s="5"/>
      <c r="C58" s="1" t="s">
        <v>2232</v>
      </c>
      <c r="E58" s="1"/>
      <c r="F58" s="11">
        <f>F56+Data!C25</f>
        <v>8650.51</v>
      </c>
    </row>
    <row r="59" spans="1:8">
      <c r="A59" s="5"/>
      <c r="C59" s="1" t="s">
        <v>380</v>
      </c>
      <c r="E59" s="1"/>
      <c r="F59" s="11"/>
    </row>
    <row r="60" spans="1:8">
      <c r="A60" s="5"/>
      <c r="C60" s="1" t="s">
        <v>1532</v>
      </c>
      <c r="E60" s="1"/>
      <c r="F60" s="11">
        <f>F58+Data!C27</f>
        <v>8684.7099999999991</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0" t="s">
        <v>3985</v>
      </c>
      <c r="B65" s="1040"/>
      <c r="C65" s="1040"/>
      <c r="D65" s="1040"/>
      <c r="E65" s="1040"/>
      <c r="F65" s="1040"/>
    </row>
    <row r="66" spans="1:7" ht="17.25">
      <c r="A66" s="1040" t="s">
        <v>3984</v>
      </c>
      <c r="B66" s="1040"/>
      <c r="C66" s="1040"/>
      <c r="D66" s="1040"/>
      <c r="E66" s="1040"/>
      <c r="F66" s="1040"/>
    </row>
    <row r="67" spans="1:7" ht="17.25">
      <c r="A67" s="1041" t="s">
        <v>4141</v>
      </c>
      <c r="B67" s="1041"/>
      <c r="C67" s="1041"/>
      <c r="D67" s="1041"/>
      <c r="E67" s="1041"/>
      <c r="F67" s="1041"/>
    </row>
    <row r="68" spans="1:7" ht="17.25">
      <c r="A68" s="1042" t="s">
        <v>3983</v>
      </c>
      <c r="B68" s="1042"/>
      <c r="C68" s="1042"/>
      <c r="D68" s="1042"/>
      <c r="E68" s="1042"/>
      <c r="F68" s="66"/>
    </row>
    <row r="69" spans="1:7" ht="17.25">
      <c r="A69" s="66"/>
      <c r="B69" s="66"/>
      <c r="C69" s="66"/>
      <c r="D69" s="66"/>
      <c r="E69" s="66"/>
      <c r="F69" s="66"/>
    </row>
    <row r="70" spans="1:7" ht="19.5">
      <c r="B70" s="84"/>
      <c r="C70" s="1043" t="s">
        <v>4142</v>
      </c>
      <c r="D70" s="1043"/>
      <c r="E70" s="1043"/>
      <c r="F70" s="84"/>
      <c r="G70" s="2" t="s">
        <v>2151</v>
      </c>
    </row>
    <row r="71" spans="1:7" ht="20.25">
      <c r="A71" s="83"/>
      <c r="B71" s="1044" t="s">
        <v>4143</v>
      </c>
      <c r="C71" s="1044"/>
      <c r="D71" s="1044"/>
      <c r="E71" s="1044"/>
      <c r="F71" s="1044"/>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8225.5400000000009</v>
      </c>
      <c r="F73" s="76">
        <f>A73*E73</f>
        <v>10446.44</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18634.439999999999</v>
      </c>
    </row>
    <row r="78" spans="1:7" ht="17.25">
      <c r="A78" s="75"/>
      <c r="B78" s="75"/>
      <c r="C78" s="75" t="s">
        <v>1639</v>
      </c>
      <c r="D78" s="66"/>
      <c r="E78" s="75"/>
      <c r="F78" s="76">
        <f>F77/8</f>
        <v>2329.31</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2454.31</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5" t="s">
        <v>3976</v>
      </c>
      <c r="D85" s="1045"/>
      <c r="E85" s="1045"/>
      <c r="F85" s="80"/>
      <c r="G85" s="11"/>
    </row>
    <row r="86" spans="1:7" ht="20.25">
      <c r="A86" s="79"/>
      <c r="B86" s="1044" t="s">
        <v>4144</v>
      </c>
      <c r="C86" s="1044"/>
      <c r="D86" s="1044"/>
      <c r="E86" s="1044"/>
      <c r="F86" s="1044"/>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046" t="s">
        <v>4307</v>
      </c>
      <c r="D89" s="1046"/>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047" t="s">
        <v>3971</v>
      </c>
      <c r="D94" s="1047"/>
      <c r="E94" s="1047"/>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1685.18</v>
      </c>
      <c r="F104">
        <f>D104*A104</f>
        <v>8425.9</v>
      </c>
    </row>
    <row r="105" spans="1:7" ht="30" hidden="1" customHeight="1">
      <c r="A105" s="5">
        <v>3.3</v>
      </c>
      <c r="B105" t="s">
        <v>1341</v>
      </c>
      <c r="C105" t="s">
        <v>4001</v>
      </c>
      <c r="D105">
        <f t="shared" ref="D105:D116" si="1">D42</f>
        <v>1395.18</v>
      </c>
      <c r="F105">
        <f t="shared" ref="F105:F111" si="2">D105*A105</f>
        <v>4604.09</v>
      </c>
    </row>
    <row r="106" spans="1:7" ht="30" hidden="1" customHeight="1">
      <c r="A106" s="5">
        <v>4.79</v>
      </c>
      <c r="B106" t="s">
        <v>1341</v>
      </c>
      <c r="C106" t="s">
        <v>4002</v>
      </c>
      <c r="D106">
        <f t="shared" si="1"/>
        <v>1464.46</v>
      </c>
      <c r="F106">
        <f t="shared" si="2"/>
        <v>7014.76</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81846.149999999994</v>
      </c>
    </row>
    <row r="113" spans="1:7" ht="30" hidden="1" customHeight="1">
      <c r="A113" s="5"/>
      <c r="C113" s="11" t="s">
        <v>4005</v>
      </c>
      <c r="D113">
        <f t="shared" si="1"/>
        <v>0</v>
      </c>
      <c r="F113" s="11">
        <f>F112/10</f>
        <v>8184.62</v>
      </c>
      <c r="G113">
        <f>F113</f>
        <v>8184.62</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8278.82</v>
      </c>
      <c r="G115">
        <f>SUM(G113:G114)</f>
        <v>8184.62</v>
      </c>
    </row>
    <row r="116" spans="1:7" ht="30" hidden="1" customHeight="1">
      <c r="A116" s="46" t="s">
        <v>657</v>
      </c>
      <c r="C116" t="s">
        <v>4007</v>
      </c>
      <c r="D116" t="str">
        <f t="shared" si="1"/>
        <v>LS</v>
      </c>
      <c r="F116">
        <f>F115*0.5%</f>
        <v>41.39</v>
      </c>
      <c r="G116">
        <f>G115*0.5/100</f>
        <v>40.92</v>
      </c>
    </row>
    <row r="117" spans="1:7" ht="30" hidden="1" customHeight="1">
      <c r="A117" s="5"/>
      <c r="C117" s="11" t="s">
        <v>3588</v>
      </c>
      <c r="E117" s="1"/>
      <c r="F117" s="11">
        <f>SUM(F115:F116)</f>
        <v>8320.2099999999991</v>
      </c>
      <c r="G117" s="11">
        <f>SUM(G115:G116)</f>
        <v>8225.5400000000009</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0" t="s">
        <v>3985</v>
      </c>
      <c r="B125" s="1040"/>
      <c r="C125" s="1040"/>
      <c r="D125" s="1040"/>
      <c r="E125" s="1040"/>
      <c r="F125" s="1040"/>
    </row>
    <row r="126" spans="1:7" ht="17.25">
      <c r="A126" s="1040" t="s">
        <v>3984</v>
      </c>
      <c r="B126" s="1040"/>
      <c r="C126" s="1040"/>
      <c r="D126" s="1040"/>
      <c r="E126" s="1040"/>
      <c r="F126" s="1040"/>
    </row>
    <row r="127" spans="1:7" ht="17.25">
      <c r="A127" s="1041" t="s">
        <v>4141</v>
      </c>
      <c r="B127" s="1041"/>
      <c r="C127" s="1041"/>
      <c r="D127" s="1041"/>
      <c r="E127" s="1041"/>
      <c r="F127" s="1041"/>
    </row>
    <row r="128" spans="1:7" ht="17.25">
      <c r="A128" s="1042" t="s">
        <v>3983</v>
      </c>
      <c r="B128" s="1042"/>
      <c r="C128" s="1042"/>
      <c r="D128" s="1042"/>
      <c r="E128" s="1042"/>
      <c r="F128" s="66"/>
    </row>
    <row r="129" spans="1:7" ht="17.25">
      <c r="A129" s="66"/>
      <c r="B129" s="66"/>
      <c r="C129" s="66"/>
      <c r="D129" s="66"/>
      <c r="E129" s="66"/>
      <c r="F129" s="66"/>
    </row>
    <row r="130" spans="1:7" ht="19.5">
      <c r="B130" s="84"/>
      <c r="C130" s="1043" t="s">
        <v>4145</v>
      </c>
      <c r="D130" s="1043"/>
      <c r="E130" s="1043"/>
      <c r="F130" s="84"/>
      <c r="G130" s="2" t="s">
        <v>2151</v>
      </c>
    </row>
    <row r="131" spans="1:7" ht="20.25">
      <c r="A131" s="83"/>
      <c r="B131" s="1044" t="s">
        <v>4146</v>
      </c>
      <c r="C131" s="1044"/>
      <c r="D131" s="1044"/>
      <c r="E131" s="1044"/>
      <c r="F131" s="1044"/>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8225.5400000000009</v>
      </c>
      <c r="F133" s="76">
        <f>A133*E133</f>
        <v>8266.67</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16348.67</v>
      </c>
    </row>
    <row r="138" spans="1:7" ht="17.25">
      <c r="A138" s="75"/>
      <c r="B138" s="75"/>
      <c r="C138" s="75" t="s">
        <v>1639</v>
      </c>
      <c r="D138" s="66"/>
      <c r="E138" s="75"/>
      <c r="F138" s="76">
        <f>F137/7</f>
        <v>2335.52</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2460.52</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5" t="s">
        <v>3976</v>
      </c>
      <c r="D145" s="1045"/>
      <c r="E145" s="1045"/>
      <c r="F145" s="80"/>
      <c r="G145" s="11"/>
    </row>
    <row r="146" spans="1:7" ht="20.25">
      <c r="A146" s="79"/>
      <c r="B146" s="1044" t="s">
        <v>4147</v>
      </c>
      <c r="C146" s="1044"/>
      <c r="D146" s="1044"/>
      <c r="E146" s="1044"/>
      <c r="F146" s="1044"/>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6" t="s">
        <v>3972</v>
      </c>
      <c r="D149" s="1046"/>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047" t="s">
        <v>3971</v>
      </c>
      <c r="D154" s="1047"/>
      <c r="E154" s="1047"/>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48" t="s">
        <v>2112</v>
      </c>
      <c r="B1" s="1048"/>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52" t="s">
        <v>5716</v>
      </c>
      <c r="AB4" s="1052"/>
      <c r="AC4" s="1052"/>
      <c r="AD4" s="1052"/>
      <c r="AE4" s="1052"/>
      <c r="AF4" s="1052"/>
      <c r="AG4" s="1052"/>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51" t="s">
        <v>5629</v>
      </c>
      <c r="L15" s="1051"/>
      <c r="M15" s="1051"/>
      <c r="N15" s="1051"/>
      <c r="O15" s="1051"/>
      <c r="P15" s="1051"/>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53" t="s">
        <v>5807</v>
      </c>
      <c r="S17" s="1053"/>
      <c r="T17" s="1053"/>
      <c r="U17" s="1053"/>
      <c r="V17" s="1053"/>
      <c r="W17" s="1053"/>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53" t="s">
        <v>5810</v>
      </c>
      <c r="S30" s="1053"/>
      <c r="T30" s="1053"/>
      <c r="U30" s="1053"/>
      <c r="V30" s="1053"/>
      <c r="W30" s="1053"/>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5958</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5959</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5961</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5962</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5963</v>
      </c>
      <c r="D56" s="136">
        <v>38</v>
      </c>
      <c r="E56" s="137" t="s">
        <v>1398</v>
      </c>
      <c r="F56" s="133">
        <f t="shared" si="4"/>
        <v>38</v>
      </c>
      <c r="AL56" s="133"/>
      <c r="AM56" s="134"/>
      <c r="AN56" s="139"/>
      <c r="AO56" s="136"/>
      <c r="AP56" s="137"/>
      <c r="AQ56" s="133"/>
    </row>
    <row r="57" spans="1:44" ht="20.25" customHeight="1">
      <c r="A57" s="133">
        <v>4</v>
      </c>
      <c r="B57" s="134" t="s">
        <v>560</v>
      </c>
      <c r="C57" s="139" t="s">
        <v>5964</v>
      </c>
      <c r="D57" s="216">
        <v>580</v>
      </c>
      <c r="E57" s="137" t="s">
        <v>1398</v>
      </c>
      <c r="F57" s="133">
        <f t="shared" si="4"/>
        <v>2320</v>
      </c>
      <c r="AL57" s="133"/>
      <c r="AM57" s="134"/>
      <c r="AN57" s="139"/>
      <c r="AO57" s="136"/>
      <c r="AP57" s="137"/>
      <c r="AQ57" s="133"/>
    </row>
    <row r="58" spans="1:44" ht="20.25" customHeight="1">
      <c r="A58" s="133"/>
      <c r="B58" s="134" t="s">
        <v>560</v>
      </c>
      <c r="C58" s="139" t="s">
        <v>5960</v>
      </c>
      <c r="D58" s="136"/>
      <c r="E58" s="137" t="s">
        <v>1398</v>
      </c>
      <c r="F58" s="133">
        <f t="shared" si="4"/>
        <v>0</v>
      </c>
      <c r="AL58" s="133"/>
      <c r="AM58" s="134"/>
      <c r="AN58" s="139"/>
      <c r="AO58" s="136"/>
      <c r="AP58" s="137"/>
      <c r="AQ58" s="133"/>
    </row>
    <row r="59" spans="1:44" ht="20.25" customHeight="1">
      <c r="A59" s="133">
        <v>1</v>
      </c>
      <c r="B59" s="134" t="s">
        <v>560</v>
      </c>
      <c r="C59" s="139" t="s">
        <v>5965</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5966</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5967</v>
      </c>
      <c r="D67" s="216">
        <v>10.45</v>
      </c>
      <c r="E67" s="177" t="s">
        <v>3440</v>
      </c>
      <c r="F67" s="133">
        <f t="shared" si="5"/>
        <v>52.25</v>
      </c>
      <c r="AL67" s="133"/>
      <c r="AM67" s="134"/>
      <c r="AN67" s="139"/>
      <c r="AO67" s="136"/>
      <c r="AP67" s="177"/>
      <c r="AQ67" s="133"/>
    </row>
    <row r="68" spans="1:43" ht="30.75" customHeight="1">
      <c r="A68" s="133">
        <v>130.54</v>
      </c>
      <c r="B68" s="134" t="s">
        <v>913</v>
      </c>
      <c r="C68" s="139" t="s">
        <v>5968</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5969</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49"/>
      <c r="E82" s="1049"/>
      <c r="F82" s="1049"/>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6019</v>
      </c>
      <c r="D134" s="158">
        <f t="shared" si="6"/>
        <v>190.2</v>
      </c>
      <c r="E134" s="126" t="s">
        <v>1398</v>
      </c>
      <c r="F134" s="123">
        <f t="shared" si="7"/>
        <v>4564.8</v>
      </c>
    </row>
    <row r="135" spans="1:6" ht="20.25" customHeight="1">
      <c r="A135" s="123">
        <v>1</v>
      </c>
      <c r="B135" s="124" t="s">
        <v>560</v>
      </c>
      <c r="C135" s="128" t="s">
        <v>6020</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5964</v>
      </c>
      <c r="D138" s="158">
        <f t="shared" si="6"/>
        <v>580</v>
      </c>
      <c r="E138" s="126" t="s">
        <v>1398</v>
      </c>
      <c r="F138" s="123">
        <f t="shared" si="7"/>
        <v>4640</v>
      </c>
    </row>
    <row r="139" spans="1:6" ht="20.25" customHeight="1">
      <c r="A139" s="123">
        <v>1</v>
      </c>
      <c r="B139" s="124" t="s">
        <v>560</v>
      </c>
      <c r="C139" s="128" t="s">
        <v>5965</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5966</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5976</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50"/>
      <c r="E162" s="1050"/>
      <c r="F162" s="1050"/>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5970</v>
      </c>
      <c r="D217" s="136">
        <v>843</v>
      </c>
      <c r="E217" s="137" t="s">
        <v>1398</v>
      </c>
      <c r="F217" s="133">
        <f t="shared" si="11"/>
        <v>3372</v>
      </c>
    </row>
    <row r="218" spans="1:6" ht="20.25" customHeight="1">
      <c r="A218" s="133">
        <v>1</v>
      </c>
      <c r="B218" s="134" t="s">
        <v>560</v>
      </c>
      <c r="C218" s="139" t="s">
        <v>5971</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49" t="s">
        <v>975</v>
      </c>
      <c r="E239" s="1049"/>
      <c r="F239" s="1049"/>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5972</v>
      </c>
      <c r="D281" s="123">
        <v>1299</v>
      </c>
      <c r="E281" s="126" t="s">
        <v>1714</v>
      </c>
      <c r="F281" s="123">
        <f>SUM(A281*D281)</f>
        <v>28578</v>
      </c>
    </row>
    <row r="282" spans="1:6" ht="20.25" customHeight="1">
      <c r="A282" s="123">
        <v>66</v>
      </c>
      <c r="B282" s="124" t="s">
        <v>1030</v>
      </c>
      <c r="C282" s="128" t="s">
        <v>5974</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5973</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5975</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5977</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49"/>
      <c r="E428" s="1049"/>
      <c r="F428" s="1049"/>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5978</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6018</v>
      </c>
    </row>
    <row r="800" spans="1:7" ht="20.25" customHeight="1">
      <c r="A800" s="85"/>
      <c r="B800" s="85"/>
      <c r="C800" s="225" t="s">
        <v>5991</v>
      </c>
      <c r="D800" s="225"/>
      <c r="E800" s="85"/>
      <c r="F800" s="85"/>
      <c r="G800" s="20" t="s">
        <v>5169</v>
      </c>
    </row>
    <row r="801" spans="1:7" ht="20.25" customHeight="1">
      <c r="A801" s="85"/>
      <c r="B801" s="85"/>
      <c r="C801" s="226" t="s">
        <v>5992</v>
      </c>
      <c r="D801" s="226"/>
      <c r="E801" s="85"/>
      <c r="F801" s="85"/>
      <c r="G801" s="20"/>
    </row>
    <row r="802" spans="1:7" ht="20.25" customHeight="1">
      <c r="A802" s="85"/>
      <c r="B802" s="85"/>
      <c r="C802" s="85" t="s">
        <v>5749</v>
      </c>
      <c r="D802" s="85"/>
      <c r="E802" s="85"/>
      <c r="F802" s="85"/>
      <c r="G802" s="20"/>
    </row>
    <row r="803" spans="1:7" ht="20.25" customHeight="1">
      <c r="A803" s="85"/>
      <c r="B803" s="85"/>
      <c r="C803" s="85" t="s">
        <v>5993</v>
      </c>
      <c r="D803" s="85"/>
      <c r="E803" s="85" t="s">
        <v>5994</v>
      </c>
      <c r="F803" s="85"/>
      <c r="G803" s="20"/>
    </row>
    <row r="804" spans="1:7" ht="20.25" customHeight="1">
      <c r="A804" s="85"/>
      <c r="B804" s="85"/>
      <c r="C804" s="85" t="s">
        <v>5995</v>
      </c>
      <c r="D804" s="85"/>
      <c r="E804" s="85" t="s">
        <v>5996</v>
      </c>
      <c r="F804" s="85"/>
      <c r="G804" s="20"/>
    </row>
    <row r="805" spans="1:7" ht="20.25" customHeight="1">
      <c r="A805" s="85"/>
      <c r="B805" s="85"/>
      <c r="C805" s="85" t="s">
        <v>5997</v>
      </c>
      <c r="D805" s="85"/>
      <c r="E805" s="85" t="s">
        <v>5998</v>
      </c>
      <c r="F805" s="85"/>
      <c r="G805" s="20"/>
    </row>
    <row r="806" spans="1:7" ht="20.25" customHeight="1">
      <c r="A806" s="85"/>
      <c r="B806" s="85"/>
      <c r="C806" s="85" t="s">
        <v>5999</v>
      </c>
      <c r="D806" s="85"/>
      <c r="E806" s="85" t="s">
        <v>6000</v>
      </c>
      <c r="F806" s="85"/>
      <c r="G806" s="20"/>
    </row>
    <row r="807" spans="1:7" ht="20.25" customHeight="1">
      <c r="A807" s="85"/>
      <c r="B807" s="85"/>
      <c r="C807" s="85" t="s">
        <v>6001</v>
      </c>
      <c r="D807" s="85"/>
      <c r="E807" s="85" t="s">
        <v>6002</v>
      </c>
      <c r="F807" s="85"/>
      <c r="G807" s="20"/>
    </row>
    <row r="808" spans="1:7" ht="20.25" customHeight="1">
      <c r="A808" s="85"/>
      <c r="B808" s="85"/>
      <c r="C808" s="85" t="s">
        <v>6003</v>
      </c>
      <c r="D808" s="85"/>
      <c r="E808" s="226" t="s">
        <v>6004</v>
      </c>
      <c r="F808" s="85"/>
      <c r="G808" s="20"/>
    </row>
    <row r="809" spans="1:7" ht="20.25" customHeight="1">
      <c r="A809" s="85"/>
      <c r="B809" s="85"/>
      <c r="C809" s="85" t="s">
        <v>4422</v>
      </c>
      <c r="D809" s="85"/>
      <c r="E809" s="226" t="s">
        <v>6005</v>
      </c>
      <c r="F809" s="85"/>
      <c r="G809" s="20"/>
    </row>
    <row r="810" spans="1:7" ht="20.25" customHeight="1">
      <c r="A810" s="85"/>
      <c r="B810" s="85"/>
      <c r="C810" s="86" t="s">
        <v>6003</v>
      </c>
      <c r="D810" s="86"/>
      <c r="E810" s="226" t="s">
        <v>6006</v>
      </c>
      <c r="F810" s="85"/>
      <c r="G810" s="20"/>
    </row>
    <row r="811" spans="1:7" ht="20.25" customHeight="1">
      <c r="A811" s="85"/>
      <c r="B811" s="85"/>
      <c r="C811" s="85" t="s">
        <v>6007</v>
      </c>
      <c r="D811" s="85"/>
      <c r="E811" s="226" t="s">
        <v>6008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6012</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6013</v>
      </c>
      <c r="C833" s="90" t="str">
        <f t="shared" si="29"/>
        <v>Cost of hylum sheet 6mm [SR 2022-23 / P.129]</v>
      </c>
      <c r="D833" s="90"/>
      <c r="E833" s="227">
        <f t="shared" si="30"/>
        <v>1322</v>
      </c>
      <c r="F833" s="215" t="s">
        <v>6013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6014</v>
      </c>
      <c r="C836" s="235" t="str">
        <f t="shared" si="29"/>
        <v>1 sqmm PVC copper cable [SR 2022-23 / P.125]</v>
      </c>
      <c r="D836" s="90"/>
      <c r="E836" s="227">
        <f t="shared" si="30"/>
        <v>10.45</v>
      </c>
      <c r="F836" s="215" t="s">
        <v>6014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6015</v>
      </c>
      <c r="D842" s="90"/>
      <c r="E842" s="233"/>
      <c r="F842" s="85"/>
      <c r="G842" s="20"/>
    </row>
    <row r="843" spans="1:7" ht="20.25" customHeight="1">
      <c r="A843" s="20"/>
      <c r="B843" s="85"/>
      <c r="C843" s="90" t="s">
        <v>6016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6017</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6021</v>
      </c>
      <c r="D855" s="225"/>
      <c r="E855" s="1054" t="s">
        <v>6022</v>
      </c>
      <c r="F855" s="1054"/>
      <c r="G855" s="1054"/>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6009</v>
      </c>
      <c r="D867" s="90"/>
      <c r="E867" s="227">
        <f>E812</f>
        <v>57.6</v>
      </c>
      <c r="F867" s="215" t="s">
        <v>1645</v>
      </c>
      <c r="G867" s="20">
        <f>E867*A867</f>
        <v>8424</v>
      </c>
    </row>
    <row r="868" spans="1:7" ht="20.25" customHeight="1">
      <c r="A868" s="85">
        <v>7.88</v>
      </c>
      <c r="B868" s="215" t="s">
        <v>1645</v>
      </c>
      <c r="C868" s="90" t="s">
        <v>6010</v>
      </c>
      <c r="D868" s="90"/>
      <c r="E868" s="227">
        <f>E813</f>
        <v>562</v>
      </c>
      <c r="F868" s="215" t="s">
        <v>1645</v>
      </c>
      <c r="G868" s="85">
        <f>A868*E868</f>
        <v>4428.5600000000004</v>
      </c>
    </row>
    <row r="869" spans="1:7" ht="20.25" customHeight="1">
      <c r="A869" s="85">
        <v>7.88</v>
      </c>
      <c r="B869" s="215" t="s">
        <v>1645</v>
      </c>
      <c r="C869" s="90" t="s">
        <v>6011</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6023</v>
      </c>
      <c r="D874" s="90"/>
      <c r="E874" s="229">
        <f>E819</f>
        <v>115</v>
      </c>
      <c r="F874" s="215" t="s">
        <v>1645</v>
      </c>
      <c r="G874" s="20">
        <f t="shared" ref="G874:G885" si="32">A874*E874</f>
        <v>920</v>
      </c>
    </row>
    <row r="875" spans="1:7" ht="20.25" customHeight="1">
      <c r="A875" s="20">
        <v>18.8</v>
      </c>
      <c r="B875" s="215" t="s">
        <v>913</v>
      </c>
      <c r="C875" s="90" t="s">
        <v>6012</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6013</v>
      </c>
      <c r="C888" s="90" t="str">
        <f t="shared" si="33"/>
        <v>Cost of hylum sheet 6mm [SR 2022-23 / P.129]</v>
      </c>
      <c r="D888" s="90"/>
      <c r="E888" s="229">
        <f t="shared" si="34"/>
        <v>1322</v>
      </c>
      <c r="F888" s="215" t="s">
        <v>6013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6014</v>
      </c>
      <c r="C891" s="235" t="str">
        <f t="shared" si="33"/>
        <v>1 sqmm PVC copper cable [SR 2022-23 / P.125]</v>
      </c>
      <c r="D891" s="235"/>
      <c r="E891" s="242">
        <f t="shared" si="34"/>
        <v>10.45</v>
      </c>
      <c r="F891" s="240" t="s">
        <v>6014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6025</v>
      </c>
      <c r="D897" s="235"/>
      <c r="E897" s="247"/>
      <c r="F897" s="246"/>
      <c r="G897" s="239"/>
    </row>
    <row r="898" spans="1:7" ht="20.25" customHeight="1">
      <c r="A898" s="239"/>
      <c r="B898" s="246"/>
      <c r="C898" s="235" t="s">
        <v>6016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6017</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40" t="s">
        <v>3985</v>
      </c>
      <c r="B1" s="1040"/>
      <c r="C1" s="1040"/>
      <c r="D1" s="1040"/>
      <c r="E1" s="1040"/>
      <c r="F1" s="1040"/>
    </row>
    <row r="2" spans="1:7" ht="17.25">
      <c r="A2" s="1040" t="s">
        <v>3984</v>
      </c>
      <c r="B2" s="1040"/>
      <c r="C2" s="1040"/>
      <c r="D2" s="1040"/>
      <c r="E2" s="1040"/>
      <c r="F2" s="1040"/>
    </row>
    <row r="3" spans="1:7" ht="31.5" customHeight="1">
      <c r="A3" s="1041" t="s">
        <v>4141</v>
      </c>
      <c r="B3" s="1041"/>
      <c r="C3" s="1041"/>
      <c r="D3" s="1041"/>
      <c r="E3" s="1041"/>
      <c r="F3" s="1041"/>
    </row>
    <row r="4" spans="1:7" ht="17.25">
      <c r="A4" s="1042" t="s">
        <v>4629</v>
      </c>
      <c r="B4" s="1042"/>
      <c r="C4" s="1042"/>
      <c r="D4" s="1042"/>
      <c r="E4" s="1042"/>
      <c r="F4" s="66"/>
    </row>
    <row r="5" spans="1:7" ht="6" customHeight="1">
      <c r="A5" s="66"/>
      <c r="B5" s="66"/>
      <c r="C5" s="66"/>
      <c r="D5" s="66"/>
      <c r="E5" s="66"/>
      <c r="F5" s="66"/>
    </row>
    <row r="6" spans="1:7" ht="45.75" customHeight="1">
      <c r="B6" s="84"/>
      <c r="C6" s="1043" t="s">
        <v>4631</v>
      </c>
      <c r="D6" s="1043"/>
      <c r="E6" s="1043"/>
      <c r="F6" s="84"/>
      <c r="G6" s="2" t="s">
        <v>2151</v>
      </c>
    </row>
    <row r="7" spans="1:7" ht="24" customHeight="1">
      <c r="A7" s="83"/>
      <c r="B7" s="1044" t="s">
        <v>4630</v>
      </c>
      <c r="C7" s="1044"/>
      <c r="D7" s="1044"/>
      <c r="E7" s="1044"/>
      <c r="F7" s="1044"/>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8225.5400000000009</v>
      </c>
      <c r="F9" s="76">
        <f>A9*E9</f>
        <v>12914.1</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21543.95</v>
      </c>
    </row>
    <row r="14" spans="1:7" ht="21" customHeight="1">
      <c r="A14" s="75"/>
      <c r="B14" s="75"/>
      <c r="C14" s="75" t="s">
        <v>1639</v>
      </c>
      <c r="D14" s="66"/>
      <c r="E14" s="75"/>
      <c r="F14" s="76">
        <f>F13/7</f>
        <v>3077.71</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3202.71</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45" t="s">
        <v>3976</v>
      </c>
      <c r="D21" s="1045"/>
      <c r="E21" s="1045"/>
      <c r="F21" s="80"/>
    </row>
    <row r="22" spans="1:13" ht="30.75" customHeight="1">
      <c r="A22" s="79"/>
      <c r="B22" s="1044" t="s">
        <v>4632</v>
      </c>
      <c r="C22" s="1044"/>
      <c r="D22" s="1044"/>
      <c r="E22" s="1044"/>
      <c r="F22" s="1044"/>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46" t="s">
        <v>4307</v>
      </c>
      <c r="D25" s="1046"/>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47" t="s">
        <v>3971</v>
      </c>
      <c r="D30" s="1047"/>
      <c r="E30" s="1047"/>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1685.18</v>
      </c>
      <c r="F41">
        <f>D41*A41</f>
        <v>8425.9</v>
      </c>
      <c r="H41">
        <f>F41</f>
        <v>8425.9</v>
      </c>
    </row>
    <row r="42" spans="1:10" ht="24" customHeight="1">
      <c r="A42" s="5">
        <v>3.3</v>
      </c>
      <c r="B42" t="s">
        <v>1341</v>
      </c>
      <c r="C42" t="s">
        <v>4001</v>
      </c>
      <c r="D42">
        <f>Data!V706</f>
        <v>1395.18</v>
      </c>
      <c r="F42">
        <f t="shared" ref="F42:F48" si="0">D42*A42</f>
        <v>4604.09</v>
      </c>
      <c r="H42">
        <f t="shared" ref="H42:H50" si="1">F42</f>
        <v>4604.09</v>
      </c>
    </row>
    <row r="43" spans="1:10" ht="24" customHeight="1">
      <c r="A43" s="5">
        <v>4.79</v>
      </c>
      <c r="B43" t="s">
        <v>1341</v>
      </c>
      <c r="C43" t="s">
        <v>4002</v>
      </c>
      <c r="D43">
        <f>Data!V707</f>
        <v>1464.46</v>
      </c>
      <c r="F43">
        <f t="shared" si="0"/>
        <v>7014.76</v>
      </c>
      <c r="H43">
        <f t="shared" si="1"/>
        <v>7014.76</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76430.55</v>
      </c>
      <c r="H49">
        <f t="shared" si="1"/>
        <v>76430.55</v>
      </c>
    </row>
    <row r="50" spans="1:8" ht="24" customHeight="1">
      <c r="A50" s="5"/>
      <c r="C50" t="s">
        <v>4005</v>
      </c>
      <c r="D50">
        <f>Data!V714</f>
        <v>0</v>
      </c>
      <c r="F50" s="11">
        <f>F49/10</f>
        <v>7643.06</v>
      </c>
      <c r="H50">
        <f t="shared" si="1"/>
        <v>7643.06</v>
      </c>
    </row>
    <row r="51" spans="1:8" ht="24" customHeight="1">
      <c r="A51" s="5">
        <v>1</v>
      </c>
      <c r="B51" t="s">
        <v>1341</v>
      </c>
      <c r="C51" t="s">
        <v>4031</v>
      </c>
      <c r="D51">
        <f>Data!V715</f>
        <v>94.2</v>
      </c>
      <c r="F51">
        <f>D51*A51</f>
        <v>94.2</v>
      </c>
    </row>
    <row r="52" spans="1:8" ht="24" customHeight="1">
      <c r="A52" s="5"/>
      <c r="C52" t="s">
        <v>4006</v>
      </c>
      <c r="D52">
        <f>Data!V716</f>
        <v>0</v>
      </c>
      <c r="F52" s="11">
        <f>SUM(F50:F51)</f>
        <v>7737.26</v>
      </c>
      <c r="H52">
        <f>H50</f>
        <v>7643.06</v>
      </c>
    </row>
    <row r="53" spans="1:8">
      <c r="A53" s="46" t="s">
        <v>657</v>
      </c>
      <c r="C53" t="s">
        <v>4007</v>
      </c>
      <c r="D53" t="str">
        <f>Data!V717</f>
        <v>LS</v>
      </c>
      <c r="F53">
        <f>F52*0.5%</f>
        <v>38.69</v>
      </c>
      <c r="H53">
        <f>H52*0.5/100</f>
        <v>38.22</v>
      </c>
    </row>
    <row r="54" spans="1:8">
      <c r="A54" s="5"/>
      <c r="C54" s="11" t="s">
        <v>3588</v>
      </c>
      <c r="E54" s="1"/>
      <c r="F54" s="11">
        <f>SUM(F52:F53)</f>
        <v>7775.95</v>
      </c>
      <c r="H54" s="11">
        <f>SUM(H52:H53)</f>
        <v>7681.28</v>
      </c>
    </row>
    <row r="55" spans="1:8">
      <c r="A55" s="5"/>
      <c r="E55" s="1"/>
      <c r="F55" s="3" t="s">
        <v>1586</v>
      </c>
    </row>
    <row r="56" spans="1:8">
      <c r="A56" s="5"/>
      <c r="C56" s="1" t="s">
        <v>386</v>
      </c>
      <c r="E56" s="1"/>
      <c r="F56" s="11">
        <f>F54+Data!C23</f>
        <v>8012.05</v>
      </c>
    </row>
    <row r="57" spans="1:8">
      <c r="A57" s="5"/>
      <c r="C57" s="1" t="s">
        <v>388</v>
      </c>
      <c r="E57" s="1"/>
      <c r="F57" s="93"/>
    </row>
    <row r="58" spans="1:8">
      <c r="A58" s="5"/>
      <c r="C58" s="1" t="s">
        <v>2232</v>
      </c>
      <c r="E58" s="1"/>
      <c r="F58" s="11">
        <f>F56+Data!C25</f>
        <v>8106.25</v>
      </c>
    </row>
    <row r="59" spans="1:8">
      <c r="A59" s="5"/>
      <c r="C59" s="1" t="s">
        <v>380</v>
      </c>
      <c r="E59" s="1"/>
      <c r="F59" s="11"/>
    </row>
    <row r="60" spans="1:8">
      <c r="A60" s="5"/>
      <c r="C60" s="1" t="s">
        <v>1532</v>
      </c>
      <c r="E60" s="1"/>
      <c r="F60" s="11">
        <f>F58+Data!C27</f>
        <v>8140.45</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0" t="s">
        <v>3985</v>
      </c>
      <c r="B65" s="1040"/>
      <c r="C65" s="1040"/>
      <c r="D65" s="1040"/>
      <c r="E65" s="1040"/>
      <c r="F65" s="1040"/>
    </row>
    <row r="66" spans="1:7" ht="17.25">
      <c r="A66" s="1040" t="s">
        <v>3984</v>
      </c>
      <c r="B66" s="1040"/>
      <c r="C66" s="1040"/>
      <c r="D66" s="1040"/>
      <c r="E66" s="1040"/>
      <c r="F66" s="1040"/>
    </row>
    <row r="67" spans="1:7" ht="17.25">
      <c r="A67" s="1041" t="s">
        <v>4141</v>
      </c>
      <c r="B67" s="1041"/>
      <c r="C67" s="1041"/>
      <c r="D67" s="1041"/>
      <c r="E67" s="1041"/>
      <c r="F67" s="1041"/>
    </row>
    <row r="68" spans="1:7" ht="17.25">
      <c r="A68" s="1042" t="s">
        <v>3983</v>
      </c>
      <c r="B68" s="1042"/>
      <c r="C68" s="1042"/>
      <c r="D68" s="1042"/>
      <c r="E68" s="1042"/>
      <c r="F68" s="66"/>
    </row>
    <row r="69" spans="1:7" ht="17.25">
      <c r="A69" s="66"/>
      <c r="B69" s="66"/>
      <c r="C69" s="66"/>
      <c r="D69" s="66"/>
      <c r="E69" s="66"/>
      <c r="F69" s="66"/>
    </row>
    <row r="70" spans="1:7" ht="19.5">
      <c r="B70" s="84"/>
      <c r="C70" s="1043" t="s">
        <v>4142</v>
      </c>
      <c r="D70" s="1043"/>
      <c r="E70" s="1043"/>
      <c r="F70" s="84"/>
      <c r="G70" s="2" t="s">
        <v>2151</v>
      </c>
    </row>
    <row r="71" spans="1:7" ht="20.25">
      <c r="A71" s="83"/>
      <c r="B71" s="1044" t="s">
        <v>4633</v>
      </c>
      <c r="C71" s="1044"/>
      <c r="D71" s="1044"/>
      <c r="E71" s="1044"/>
      <c r="F71" s="1044"/>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8225.5400000000009</v>
      </c>
      <c r="F73" s="76">
        <f>A73*E73</f>
        <v>18589.72</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27173.72</v>
      </c>
    </row>
    <row r="78" spans="1:7" ht="17.25">
      <c r="A78" s="75"/>
      <c r="B78" s="75"/>
      <c r="C78" s="75" t="s">
        <v>1639</v>
      </c>
      <c r="D78" s="66"/>
      <c r="E78" s="75"/>
      <c r="F78" s="76">
        <f>F77/7</f>
        <v>3881.96</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4006.96</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45" t="s">
        <v>3976</v>
      </c>
      <c r="D85" s="1045"/>
      <c r="E85" s="1045"/>
      <c r="F85" s="80"/>
      <c r="G85" s="11"/>
    </row>
    <row r="86" spans="1:7" ht="20.25">
      <c r="A86" s="79"/>
      <c r="B86" s="1044" t="s">
        <v>4635</v>
      </c>
      <c r="C86" s="1044"/>
      <c r="D86" s="1044"/>
      <c r="E86" s="1044"/>
      <c r="F86" s="1044"/>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46" t="s">
        <v>4307</v>
      </c>
      <c r="D89" s="1046"/>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47" t="s">
        <v>3971</v>
      </c>
      <c r="D94" s="1047"/>
      <c r="E94" s="1047"/>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1685.18</v>
      </c>
      <c r="F104">
        <f>D104*A104</f>
        <v>8425.9</v>
      </c>
    </row>
    <row r="105" spans="1:7" ht="30" hidden="1" customHeight="1">
      <c r="A105" s="5">
        <v>3.3</v>
      </c>
      <c r="B105" t="s">
        <v>1341</v>
      </c>
      <c r="C105" t="s">
        <v>4001</v>
      </c>
      <c r="D105">
        <f t="shared" ref="D105:D116" si="2">D42</f>
        <v>1395.18</v>
      </c>
      <c r="F105">
        <f t="shared" ref="F105:F111" si="3">D105*A105</f>
        <v>4604.09</v>
      </c>
    </row>
    <row r="106" spans="1:7" ht="30" hidden="1" customHeight="1">
      <c r="A106" s="5">
        <v>4.79</v>
      </c>
      <c r="B106" t="s">
        <v>1341</v>
      </c>
      <c r="C106" t="s">
        <v>4002</v>
      </c>
      <c r="D106">
        <f t="shared" si="2"/>
        <v>1464.46</v>
      </c>
      <c r="F106">
        <f t="shared" si="3"/>
        <v>7014.76</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81846.149999999994</v>
      </c>
    </row>
    <row r="113" spans="1:7" ht="30" hidden="1" customHeight="1">
      <c r="A113" s="5"/>
      <c r="C113" s="11" t="s">
        <v>4005</v>
      </c>
      <c r="D113">
        <f t="shared" si="2"/>
        <v>0</v>
      </c>
      <c r="F113" s="11">
        <f>F112/10</f>
        <v>8184.62</v>
      </c>
      <c r="G113">
        <f>F113</f>
        <v>8184.62</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8278.82</v>
      </c>
      <c r="G115">
        <f>SUM(G113:G114)</f>
        <v>8184.62</v>
      </c>
    </row>
    <row r="116" spans="1:7" ht="30" hidden="1" customHeight="1">
      <c r="A116" s="46" t="s">
        <v>657</v>
      </c>
      <c r="C116" t="s">
        <v>4007</v>
      </c>
      <c r="D116" t="str">
        <f t="shared" si="2"/>
        <v>LS</v>
      </c>
      <c r="F116">
        <f>F115*0.5%</f>
        <v>41.39</v>
      </c>
      <c r="G116">
        <f>G115*0.5/100</f>
        <v>40.92</v>
      </c>
    </row>
    <row r="117" spans="1:7" ht="30" hidden="1" customHeight="1">
      <c r="A117" s="5"/>
      <c r="C117" s="11" t="s">
        <v>3588</v>
      </c>
      <c r="E117" s="1"/>
      <c r="F117" s="11">
        <f>SUM(F115:F116)</f>
        <v>8320.2099999999991</v>
      </c>
      <c r="G117" s="11">
        <f>SUM(G115:G116)</f>
        <v>8225.5400000000009</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0" t="s">
        <v>3985</v>
      </c>
      <c r="B125" s="1040"/>
      <c r="C125" s="1040"/>
      <c r="D125" s="1040"/>
      <c r="E125" s="1040"/>
      <c r="F125" s="1040"/>
    </row>
    <row r="126" spans="1:7" ht="17.25">
      <c r="A126" s="1040" t="s">
        <v>3984</v>
      </c>
      <c r="B126" s="1040"/>
      <c r="C126" s="1040"/>
      <c r="D126" s="1040"/>
      <c r="E126" s="1040"/>
      <c r="F126" s="1040"/>
    </row>
    <row r="127" spans="1:7" ht="17.25">
      <c r="A127" s="1041" t="s">
        <v>4141</v>
      </c>
      <c r="B127" s="1041"/>
      <c r="C127" s="1041"/>
      <c r="D127" s="1041"/>
      <c r="E127" s="1041"/>
      <c r="F127" s="1041"/>
    </row>
    <row r="128" spans="1:7" ht="17.25">
      <c r="A128" s="1042" t="s">
        <v>3983</v>
      </c>
      <c r="B128" s="1042"/>
      <c r="C128" s="1042"/>
      <c r="D128" s="1042"/>
      <c r="E128" s="1042"/>
      <c r="F128" s="66"/>
    </row>
    <row r="129" spans="1:7" ht="17.25">
      <c r="A129" s="66"/>
      <c r="B129" s="66"/>
      <c r="C129" s="66"/>
      <c r="D129" s="66"/>
      <c r="E129" s="66"/>
      <c r="F129" s="66"/>
    </row>
    <row r="130" spans="1:7" ht="19.5">
      <c r="B130" s="84"/>
      <c r="C130" s="1043" t="s">
        <v>4145</v>
      </c>
      <c r="D130" s="1043"/>
      <c r="E130" s="1043"/>
      <c r="F130" s="84"/>
      <c r="G130" s="2" t="s">
        <v>2151</v>
      </c>
    </row>
    <row r="131" spans="1:7" ht="20.25">
      <c r="A131" s="83"/>
      <c r="B131" s="1044" t="s">
        <v>4146</v>
      </c>
      <c r="C131" s="1044"/>
      <c r="D131" s="1044"/>
      <c r="E131" s="1044"/>
      <c r="F131" s="1044"/>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8225.5400000000009</v>
      </c>
      <c r="F133" s="76">
        <f>A133*E133</f>
        <v>8266.67</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16348.67</v>
      </c>
    </row>
    <row r="138" spans="1:7" ht="17.25">
      <c r="A138" s="75"/>
      <c r="B138" s="75"/>
      <c r="C138" s="75" t="s">
        <v>1639</v>
      </c>
      <c r="D138" s="66"/>
      <c r="E138" s="75"/>
      <c r="F138" s="76">
        <f>F137/7</f>
        <v>2335.52</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2460.52</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45" t="s">
        <v>3976</v>
      </c>
      <c r="D145" s="1045"/>
      <c r="E145" s="1045"/>
      <c r="F145" s="80"/>
      <c r="G145" s="11"/>
    </row>
    <row r="146" spans="1:7" ht="20.25">
      <c r="A146" s="79"/>
      <c r="B146" s="1044" t="s">
        <v>4147</v>
      </c>
      <c r="C146" s="1044"/>
      <c r="D146" s="1044"/>
      <c r="E146" s="1044"/>
      <c r="F146" s="1044"/>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46" t="s">
        <v>3972</v>
      </c>
      <c r="D149" s="1046"/>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47" t="s">
        <v>3971</v>
      </c>
      <c r="D154" s="1047"/>
      <c r="E154" s="1047"/>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40" t="s">
        <v>3985</v>
      </c>
      <c r="B165" s="1040"/>
      <c r="C165" s="1040"/>
      <c r="D165" s="1040"/>
      <c r="E165" s="1040"/>
      <c r="F165" s="1040"/>
    </row>
    <row r="166" spans="1:7" ht="17.25">
      <c r="A166" s="1040"/>
      <c r="B166" s="1040"/>
      <c r="C166" s="1040"/>
      <c r="D166" s="1040"/>
      <c r="E166" s="1040"/>
      <c r="F166" s="1040"/>
    </row>
    <row r="167" spans="1:7" ht="17.25">
      <c r="A167" s="1041" t="s">
        <v>4141</v>
      </c>
      <c r="B167" s="1041"/>
      <c r="C167" s="1041"/>
      <c r="D167" s="1041"/>
      <c r="E167" s="1041"/>
      <c r="F167" s="1041"/>
    </row>
    <row r="168" spans="1:7" ht="17.25">
      <c r="A168" s="1042" t="s">
        <v>3983</v>
      </c>
      <c r="B168" s="1042"/>
      <c r="C168" s="1042"/>
      <c r="D168" s="1042"/>
      <c r="E168" s="1042"/>
      <c r="F168" s="66"/>
    </row>
    <row r="169" spans="1:7" ht="17.25">
      <c r="A169" s="66"/>
      <c r="B169" s="66"/>
      <c r="C169" s="66"/>
      <c r="D169" s="66"/>
      <c r="E169" s="66"/>
      <c r="F169" s="66"/>
    </row>
    <row r="170" spans="1:7" ht="19.5">
      <c r="B170" s="84"/>
      <c r="C170" s="1043" t="s">
        <v>4145</v>
      </c>
      <c r="D170" s="1043"/>
      <c r="E170" s="1043"/>
      <c r="F170" s="84"/>
      <c r="G170" s="2" t="s">
        <v>2151</v>
      </c>
    </row>
    <row r="171" spans="1:7" ht="20.25">
      <c r="A171" s="83"/>
      <c r="B171" s="1044" t="s">
        <v>4143</v>
      </c>
      <c r="C171" s="1044"/>
      <c r="D171" s="1044"/>
      <c r="E171" s="1044"/>
      <c r="F171" s="1044"/>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8225.5400000000009</v>
      </c>
      <c r="F173" s="76">
        <f>A173*E173</f>
        <v>10462.89</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18912.45</v>
      </c>
    </row>
    <row r="178" spans="1:7" ht="17.25">
      <c r="A178" s="75"/>
      <c r="B178" s="75"/>
      <c r="C178" s="75" t="s">
        <v>1639</v>
      </c>
      <c r="D178" s="66"/>
      <c r="E178" s="75"/>
      <c r="F178" s="76">
        <f>F177/7</f>
        <v>2701.78</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2826.78</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45" t="s">
        <v>3976</v>
      </c>
      <c r="D185" s="1045"/>
      <c r="E185" s="1045"/>
      <c r="F185" s="80"/>
      <c r="G185" s="11"/>
    </row>
    <row r="186" spans="1:7" ht="20.25">
      <c r="A186" s="79"/>
      <c r="B186" s="1044" t="s">
        <v>4144</v>
      </c>
      <c r="C186" s="1044"/>
      <c r="D186" s="1044"/>
      <c r="E186" s="1044"/>
      <c r="F186" s="1044"/>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46" t="s">
        <v>3972</v>
      </c>
      <c r="D189" s="1046"/>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47" t="s">
        <v>3971</v>
      </c>
      <c r="D194" s="1047"/>
      <c r="E194" s="1047"/>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40" t="s">
        <v>3985</v>
      </c>
      <c r="B203" s="1040"/>
      <c r="C203" s="1040"/>
      <c r="D203" s="1040"/>
      <c r="E203" s="1040"/>
      <c r="F203" s="1040"/>
    </row>
    <row r="204" spans="1:7" ht="17.25">
      <c r="A204" s="1040"/>
      <c r="B204" s="1040"/>
      <c r="C204" s="1040"/>
      <c r="D204" s="1040"/>
      <c r="E204" s="1040"/>
      <c r="F204" s="1040"/>
    </row>
    <row r="205" spans="1:7" ht="17.25">
      <c r="A205" s="1041" t="s">
        <v>4141</v>
      </c>
      <c r="B205" s="1041"/>
      <c r="C205" s="1041"/>
      <c r="D205" s="1041"/>
      <c r="E205" s="1041"/>
      <c r="F205" s="1041"/>
    </row>
    <row r="206" spans="1:7" ht="17.25">
      <c r="A206" s="1042" t="s">
        <v>3983</v>
      </c>
      <c r="B206" s="1042"/>
      <c r="C206" s="1042"/>
      <c r="D206" s="1042"/>
      <c r="E206" s="1042"/>
      <c r="F206" s="66"/>
    </row>
    <row r="207" spans="1:7" ht="17.25">
      <c r="A207" s="66"/>
      <c r="B207" s="66"/>
      <c r="C207" s="66"/>
      <c r="D207" s="66"/>
      <c r="E207" s="66"/>
      <c r="F207" s="66"/>
    </row>
    <row r="208" spans="1:7" ht="19.5">
      <c r="B208" s="84"/>
      <c r="C208" s="1043" t="s">
        <v>4145</v>
      </c>
      <c r="D208" s="1043"/>
      <c r="E208" s="1043"/>
      <c r="F208" s="84"/>
      <c r="G208" s="2" t="s">
        <v>2151</v>
      </c>
    </row>
    <row r="209" spans="1:13" ht="20.25">
      <c r="A209" s="83"/>
      <c r="B209" s="1044" t="s">
        <v>5736</v>
      </c>
      <c r="C209" s="1044"/>
      <c r="D209" s="1044"/>
      <c r="E209" s="1044"/>
      <c r="F209" s="1044"/>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8225.5400000000009</v>
      </c>
      <c r="F211" s="76">
        <f>A211*E211</f>
        <v>855.46</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8598.3799999999992</v>
      </c>
    </row>
    <row r="216" spans="1:13" ht="17.25">
      <c r="A216" s="75"/>
      <c r="B216" s="75"/>
      <c r="C216" s="75" t="s">
        <v>1639</v>
      </c>
      <c r="D216" s="66"/>
      <c r="E216" s="75"/>
      <c r="F216" s="76">
        <f>F215/8</f>
        <v>1074.8</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1199.8</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45" t="s">
        <v>3976</v>
      </c>
      <c r="D223" s="1045"/>
      <c r="E223" s="1045"/>
      <c r="F223" s="80"/>
      <c r="G223" s="11"/>
      <c r="J223" s="51"/>
      <c r="L223" s="51"/>
      <c r="M223" s="51"/>
    </row>
    <row r="224" spans="1:13" ht="20.25">
      <c r="A224" s="79"/>
      <c r="B224" s="1044" t="s">
        <v>4144</v>
      </c>
      <c r="C224" s="1044"/>
      <c r="D224" s="1044"/>
      <c r="E224" s="1044"/>
      <c r="F224" s="1044"/>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46" t="s">
        <v>3972</v>
      </c>
      <c r="D227" s="1046"/>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47" t="s">
        <v>3971</v>
      </c>
      <c r="D232" s="1047"/>
      <c r="E232" s="1047"/>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40" t="s">
        <v>3985</v>
      </c>
      <c r="B246" s="1040"/>
      <c r="C246" s="1040"/>
      <c r="D246" s="1040"/>
      <c r="E246" s="1040"/>
      <c r="F246" s="1040"/>
    </row>
    <row r="247" spans="1:7" ht="17.25">
      <c r="A247" s="1040"/>
      <c r="B247" s="1040"/>
      <c r="C247" s="1040"/>
      <c r="D247" s="1040"/>
      <c r="E247" s="1040"/>
      <c r="F247" s="1040"/>
    </row>
    <row r="248" spans="1:7" ht="17.25">
      <c r="A248" s="1041" t="s">
        <v>4141</v>
      </c>
      <c r="B248" s="1041"/>
      <c r="C248" s="1041"/>
      <c r="D248" s="1041"/>
      <c r="E248" s="1041"/>
      <c r="F248" s="1041"/>
    </row>
    <row r="249" spans="1:7" ht="17.25">
      <c r="A249" s="1042" t="s">
        <v>3983</v>
      </c>
      <c r="B249" s="1042"/>
      <c r="C249" s="1042"/>
      <c r="D249" s="1042"/>
      <c r="E249" s="1042"/>
      <c r="F249" s="66"/>
    </row>
    <row r="250" spans="1:7" ht="17.25">
      <c r="A250" s="66"/>
      <c r="B250" s="66"/>
      <c r="C250" s="66"/>
      <c r="D250" s="66"/>
      <c r="E250" s="66"/>
      <c r="F250" s="66"/>
    </row>
    <row r="251" spans="1:7" ht="19.5">
      <c r="B251" s="84"/>
      <c r="C251" s="1043" t="s">
        <v>4145</v>
      </c>
      <c r="D251" s="1043"/>
      <c r="E251" s="1043"/>
      <c r="F251" s="84"/>
      <c r="G251" s="2" t="s">
        <v>2151</v>
      </c>
    </row>
    <row r="252" spans="1:7" ht="20.25">
      <c r="A252" s="83"/>
      <c r="B252" s="1044" t="s">
        <v>5737</v>
      </c>
      <c r="C252" s="1044"/>
      <c r="D252" s="1044"/>
      <c r="E252" s="1044"/>
      <c r="F252" s="1044"/>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8225.5400000000009</v>
      </c>
      <c r="F254" s="76">
        <f>A254*E254</f>
        <v>4647.43</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12669.26</v>
      </c>
    </row>
    <row r="259" spans="1:7" ht="17.25">
      <c r="A259" s="75"/>
      <c r="B259" s="75"/>
      <c r="C259" s="75" t="s">
        <v>1639</v>
      </c>
      <c r="D259" s="66"/>
      <c r="E259" s="76"/>
      <c r="F259" s="76">
        <f>F258/7</f>
        <v>1809.89</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1934.89</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45" t="s">
        <v>3976</v>
      </c>
      <c r="D266" s="1045"/>
      <c r="E266" s="1045"/>
      <c r="F266" s="80"/>
      <c r="G266" s="11"/>
    </row>
    <row r="267" spans="1:7" ht="20.25">
      <c r="A267" s="79"/>
      <c r="B267" s="1044" t="s">
        <v>5738</v>
      </c>
      <c r="C267" s="1044"/>
      <c r="D267" s="1044"/>
      <c r="E267" s="1044"/>
      <c r="F267" s="1044"/>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46" t="s">
        <v>3972</v>
      </c>
      <c r="D270" s="1046"/>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47" t="s">
        <v>3971</v>
      </c>
      <c r="D275" s="1047"/>
      <c r="E275" s="1047"/>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6092</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6093</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6094</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6096</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6097</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6099</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6101</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6102</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6103</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6105</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6106</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6107</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6388</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6115</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6133</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6134</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6144</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6145</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6146</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6147</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6148</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6150</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6151</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6152</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59" t="s">
        <v>2781</v>
      </c>
      <c r="F2341" s="1059"/>
      <c r="G2341" s="1059"/>
      <c r="H2341" s="1059"/>
      <c r="I2341" s="1059"/>
      <c r="J2341" s="1059"/>
      <c r="K2341" s="1059"/>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6389</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6390</v>
      </c>
      <c r="I2346" s="979"/>
      <c r="J2346" s="522"/>
      <c r="K2346" s="979"/>
      <c r="L2346" s="979"/>
    </row>
    <row r="2347" spans="1:12" ht="20.25" hidden="1">
      <c r="A2347" s="251"/>
      <c r="E2347" s="522"/>
      <c r="F2347" s="979"/>
      <c r="G2347" s="522"/>
      <c r="H2347" s="983" t="s">
        <v>6391</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6392</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6393</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6394</v>
      </c>
      <c r="H2354" s="986" t="s">
        <v>3190</v>
      </c>
      <c r="I2354" s="984">
        <f>K2378</f>
        <v>217.41</v>
      </c>
      <c r="J2354" s="985" t="s">
        <v>6394</v>
      </c>
      <c r="K2354" s="979">
        <f>I2354*F2354</f>
        <v>13479.42</v>
      </c>
      <c r="L2354" s="979"/>
    </row>
    <row r="2355" spans="1:12" ht="20.25" hidden="1">
      <c r="A2355" s="251"/>
      <c r="E2355" s="522"/>
      <c r="F2355" s="984">
        <v>121.64</v>
      </c>
      <c r="G2355" s="985" t="s">
        <v>6394</v>
      </c>
      <c r="H2355" s="986" t="s">
        <v>3191</v>
      </c>
      <c r="I2355" s="984">
        <f>I2383</f>
        <v>168.13</v>
      </c>
      <c r="J2355" s="985" t="s">
        <v>6395</v>
      </c>
      <c r="K2355" s="979">
        <f>I2355*F2355</f>
        <v>20451.330000000002</v>
      </c>
      <c r="L2355" s="987"/>
    </row>
    <row r="2356" spans="1:12" ht="20.25" hidden="1">
      <c r="A2356" s="251"/>
      <c r="E2356" s="522"/>
      <c r="F2356" s="979"/>
      <c r="G2356" s="522"/>
      <c r="H2356" s="986" t="s">
        <v>6396</v>
      </c>
      <c r="I2356" s="979"/>
      <c r="J2356" s="522"/>
      <c r="K2356" s="979">
        <f>SUM(K2354:K2355)</f>
        <v>33930.75</v>
      </c>
      <c r="L2356" s="988"/>
    </row>
    <row r="2357" spans="1:12" ht="20.25" hidden="1">
      <c r="A2357" s="251"/>
      <c r="E2357" s="522"/>
      <c r="F2357" s="979"/>
      <c r="G2357" s="522"/>
      <c r="H2357" s="986" t="s">
        <v>6397</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60" t="s">
        <v>449</v>
      </c>
      <c r="G2370" s="1060"/>
      <c r="H2370" s="522" t="s">
        <v>2604</v>
      </c>
      <c r="I2370" s="984">
        <v>11</v>
      </c>
      <c r="J2370" s="985" t="s">
        <v>449</v>
      </c>
      <c r="K2370" s="979">
        <f>I2370</f>
        <v>11</v>
      </c>
      <c r="L2370" s="993"/>
    </row>
    <row r="2371" spans="1:12" ht="20.25" hidden="1">
      <c r="A2371" s="251"/>
      <c r="E2371" s="522"/>
      <c r="F2371" s="984">
        <v>3.8</v>
      </c>
      <c r="G2371" s="985" t="s">
        <v>1394</v>
      </c>
      <c r="H2371" s="522" t="s">
        <v>6398</v>
      </c>
      <c r="I2371" s="984">
        <f>C16</f>
        <v>150</v>
      </c>
      <c r="J2371" s="985" t="s">
        <v>1394</v>
      </c>
      <c r="K2371" s="993">
        <f>I2371*F2371</f>
        <v>570</v>
      </c>
      <c r="L2371" s="993"/>
    </row>
    <row r="2372" spans="1:12" ht="20.25" hidden="1">
      <c r="A2372" s="251"/>
      <c r="E2372" s="522"/>
      <c r="F2372" s="984">
        <v>5.4</v>
      </c>
      <c r="G2372" s="985" t="s">
        <v>1394</v>
      </c>
      <c r="H2372" s="522" t="s">
        <v>6399</v>
      </c>
      <c r="I2372" s="984">
        <f>C12</f>
        <v>95</v>
      </c>
      <c r="J2372" s="985" t="s">
        <v>1394</v>
      </c>
      <c r="K2372" s="993">
        <f>I2372*F2372</f>
        <v>513</v>
      </c>
      <c r="L2372" s="979"/>
    </row>
    <row r="2373" spans="1:12" ht="20.25" hidden="1">
      <c r="A2373" s="251"/>
      <c r="E2373" s="522"/>
      <c r="F2373" s="984">
        <v>1</v>
      </c>
      <c r="G2373" s="985" t="s">
        <v>1394</v>
      </c>
      <c r="H2373" s="522" t="s">
        <v>6400</v>
      </c>
      <c r="I2373" s="984">
        <f>D17</f>
        <v>120</v>
      </c>
      <c r="J2373" s="985" t="s">
        <v>1394</v>
      </c>
      <c r="K2373" s="993">
        <f>I2373*F2373</f>
        <v>120</v>
      </c>
      <c r="L2373" s="994"/>
    </row>
    <row r="2374" spans="1:12" ht="18" hidden="1">
      <c r="A2374" s="251"/>
      <c r="E2374" s="522"/>
      <c r="F2374" s="1060" t="s">
        <v>449</v>
      </c>
      <c r="G2374" s="1060"/>
      <c r="H2374" s="522" t="s">
        <v>2605</v>
      </c>
      <c r="I2374" s="1060" t="s">
        <v>449</v>
      </c>
      <c r="J2374" s="1060"/>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6401</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6401</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6402</v>
      </c>
      <c r="I2388" s="984">
        <f>I2371</f>
        <v>150</v>
      </c>
      <c r="J2388" s="985" t="s">
        <v>1760</v>
      </c>
      <c r="K2388" s="984">
        <f>I2388*F2388</f>
        <v>45</v>
      </c>
      <c r="L2388" s="984"/>
    </row>
    <row r="2389" spans="1:12" ht="20.25" hidden="1">
      <c r="A2389" s="251"/>
      <c r="E2389" s="522"/>
      <c r="F2389" s="984">
        <v>0.3</v>
      </c>
      <c r="G2389" s="985" t="s">
        <v>1760</v>
      </c>
      <c r="H2389" s="996" t="s">
        <v>6403</v>
      </c>
      <c r="I2389" s="984">
        <f>I2372</f>
        <v>95</v>
      </c>
      <c r="J2389" s="985" t="s">
        <v>1760</v>
      </c>
      <c r="K2389" s="984">
        <f>I2389*F2389</f>
        <v>28.5</v>
      </c>
      <c r="L2389" s="981"/>
    </row>
    <row r="2390" spans="1:12" ht="18" hidden="1">
      <c r="A2390" s="251"/>
      <c r="E2390" s="522"/>
      <c r="F2390" s="979"/>
      <c r="G2390" s="522"/>
      <c r="H2390" s="997" t="s">
        <v>2362</v>
      </c>
      <c r="I2390" s="1061" t="s">
        <v>449</v>
      </c>
      <c r="J2390" s="1061"/>
      <c r="K2390" s="984">
        <v>0.6</v>
      </c>
      <c r="L2390" s="979"/>
    </row>
    <row r="2391" spans="1:12" ht="20.25" hidden="1">
      <c r="A2391" s="251"/>
      <c r="E2391" s="522"/>
      <c r="F2391" s="979"/>
      <c r="G2391" s="522"/>
      <c r="H2391" s="997" t="s">
        <v>6404</v>
      </c>
      <c r="I2391" s="979"/>
      <c r="J2391" s="522"/>
      <c r="K2391" s="981">
        <f>SUM(K2387:K2390)</f>
        <v>369.6</v>
      </c>
      <c r="L2391" s="979"/>
    </row>
    <row r="2392" spans="1:12" ht="20.25" hidden="1">
      <c r="A2392" s="251"/>
      <c r="E2392" s="522"/>
      <c r="F2392" s="979"/>
      <c r="G2392" s="522"/>
      <c r="H2392" s="997" t="s">
        <v>6405</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6406</v>
      </c>
    </row>
    <row r="2460" spans="1:11" hidden="1">
      <c r="A2460" s="251"/>
      <c r="H2460" s="358" t="s">
        <v>1586</v>
      </c>
      <c r="I2460" s="358" t="s">
        <v>1586</v>
      </c>
    </row>
    <row r="2461" spans="1:11" ht="18" hidden="1">
      <c r="A2461" s="251"/>
      <c r="H2461" s="358" t="s">
        <v>6407</v>
      </c>
      <c r="I2461" s="358"/>
    </row>
    <row r="2462" spans="1:11" ht="18" hidden="1">
      <c r="A2462" s="251"/>
      <c r="H2462" s="358" t="s">
        <v>6408</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62" t="s">
        <v>2716</v>
      </c>
      <c r="I2713" s="1062"/>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6073</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6074</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6075</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6076</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6077</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55" t="s">
        <v>3619</v>
      </c>
      <c r="P3111" s="1055"/>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6079</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6409</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6410</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6082</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6083</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56" t="s">
        <v>3704</v>
      </c>
      <c r="N3610" s="1056"/>
      <c r="O3610" s="1056"/>
      <c r="P3610" s="1056"/>
      <c r="Q3610" s="1056"/>
      <c r="R3610" s="1056"/>
    </row>
    <row r="3611" spans="5:18" ht="15.75" customHeight="1">
      <c r="E3611" s="261"/>
      <c r="F3611" s="261"/>
      <c r="G3611" s="261"/>
      <c r="H3611" s="261"/>
      <c r="I3611" s="261"/>
      <c r="J3611" s="261"/>
      <c r="K3611" s="261"/>
      <c r="L3611" s="261"/>
      <c r="M3611" s="1057" t="s">
        <v>3705</v>
      </c>
      <c r="N3611" s="1057"/>
      <c r="O3611" s="1057"/>
      <c r="P3611" s="1057"/>
      <c r="Q3611" s="1057"/>
      <c r="R3611" s="1057"/>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58" t="s">
        <v>657</v>
      </c>
      <c r="Q3619" s="1058"/>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6084</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6411</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6075</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6073</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6" activePane="bottomLeft" state="frozen"/>
      <selection pane="bottomLeft" activeCell="P11" sqref="P11"/>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18</v>
      </c>
      <c r="E10" s="350">
        <f>IF(D10&lt;11,D10*$D$3,IF(D10&lt;21,($E$3+(D10-10)*$D$4),IF(D10&lt;41,$E$4+(D10-20)*$D$5,IF(D10&lt;81,($E$5+(D10-40)*$D$6),$E$6+(D10-80)*$D$7))))</f>
        <v>196.18</v>
      </c>
      <c r="G10" s="345">
        <v>19</v>
      </c>
      <c r="H10" s="345">
        <f>IF(G10&lt;11,G10*$G$3,IF(G10&lt;21,($H$3+(G10-10)*$G$4),IF(G10&lt;41,$H$4+(G10-20)*$G$5,IF(G10&lt;81,($H$5+(G10-40)*$G$6),$H$6+(G10-80)*$G$7))))</f>
        <v>173.89</v>
      </c>
      <c r="L10" s="354" t="s">
        <v>1170</v>
      </c>
      <c r="N10" s="345">
        <f>IF(M10&lt;11,M10*$M$3,IF(M10&lt;21,($N$3+(M10-10)*$M$4),IF(M10&lt;41,$N$4+(M10-20)*$M$5,IF(M10&lt;81,($N$5+(M10-40)*$M$6),$N$6+(M10-80)*$M$7))))</f>
        <v>0</v>
      </c>
      <c r="P10" s="345">
        <v>19</v>
      </c>
      <c r="Q10" s="345">
        <f>IF(P10&lt;11,P10*$P$3,IF(P10&lt;21,($Q$3+(P10-10)*$P$4),IF(P10&lt;41,$Q$4+(P10-20)*$P$5,IF(P10&lt;81,($Q$5+(P10-40)*$P$6),$Q$6+(P10-80)*$P$7))))</f>
        <v>141.46</v>
      </c>
      <c r="R10" s="345" t="s">
        <v>1159</v>
      </c>
    </row>
    <row r="11" spans="1:22">
      <c r="B11" s="345" t="s">
        <v>1065</v>
      </c>
      <c r="D11" s="345">
        <v>11</v>
      </c>
      <c r="E11" s="350">
        <f>IF(D11&lt;11,D11*$D$3,(IF(D11&lt;21,($E$3+(D11-10)*$D$4),(IF(D11&lt;41,$E$4+(D11-20)*$D$5,IF(D11&lt;81,($E$5+(D11-40)*$D$6),$E$6+(D11-80)*$D$7))))))</f>
        <v>126.46</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18</v>
      </c>
      <c r="E12" s="345">
        <f>IF(D12&lt;11,D12*$D$3,(IF(D12&lt;21,($E$3+(D12-10)*$D$4),(IF(D12&lt;41,$E$4+(D12-20)*$D$5,IF(D12&lt;81,($E$5+(D12-40)*$D$6),$E$6+(D12-80)*$D$7))))))</f>
        <v>196.18</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0</v>
      </c>
      <c r="E13" s="350">
        <f>IF(D13&lt;11,D13*$D$3,(IF(D13&lt;21,($E$3+(D13-10)*$D$4),(IF(D13&lt;41,$E$4+(D13-20)*$D$5,IF(D13&lt;81,($E$5+(D13-40)*$D$6),$E$6+(D13-80)*$D$7))))))</f>
        <v>0</v>
      </c>
      <c r="P13" s="345">
        <v>18</v>
      </c>
      <c r="Q13" s="345">
        <f>IF(P13&lt;11,P13*$P$3,IF(P13&lt;21,($Q$3+(P13-10)*$P$4),IF(P13&lt;41,$Q$4+(P13-20)*$P$5,IF(P13&lt;81,($Q$5+(P13-40)*$P$6),$Q$6+(P13-80)*$P$7))))</f>
        <v>134.62</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1069" transitionEvaluation="1"/>
  <dimension ref="A1:DZ5475"/>
  <sheetViews>
    <sheetView view="pageBreakPreview" topLeftCell="F1069" zoomScaleNormal="60" zoomScaleSheetLayoutView="100" workbookViewId="0">
      <selection activeCell="F1062" sqref="F1062:K1077"/>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6073</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5924</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5925</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5926</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5927</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5928</v>
      </c>
      <c r="I35" s="264">
        <v>947</v>
      </c>
      <c r="J35" s="261" t="s">
        <v>1394</v>
      </c>
      <c r="K35" s="261">
        <f>F35*I35</f>
        <v>947</v>
      </c>
      <c r="L35" s="261"/>
      <c r="M35" s="261"/>
      <c r="N35" s="272" t="s">
        <v>3297</v>
      </c>
      <c r="O35" s="261"/>
      <c r="P35" s="261"/>
      <c r="Q35" s="261"/>
    </row>
    <row r="36" spans="1:19">
      <c r="A36" s="251"/>
      <c r="E36" s="261"/>
      <c r="F36" s="261">
        <v>2</v>
      </c>
      <c r="G36" s="261" t="s">
        <v>1394</v>
      </c>
      <c r="H36" s="261" t="s">
        <v>5929</v>
      </c>
      <c r="I36" s="264">
        <v>826</v>
      </c>
      <c r="J36" s="261" t="s">
        <v>1394</v>
      </c>
      <c r="K36" s="261">
        <f t="shared" ref="K36:K41" si="2">F36*I36</f>
        <v>1652</v>
      </c>
      <c r="L36" s="261"/>
      <c r="M36" s="261"/>
      <c r="N36" s="261"/>
      <c r="O36" s="261"/>
      <c r="P36" s="261"/>
      <c r="Q36" s="261"/>
    </row>
    <row r="37" spans="1:19">
      <c r="A37" s="251"/>
      <c r="E37" s="261"/>
      <c r="F37" s="261">
        <v>3</v>
      </c>
      <c r="G37" s="261" t="s">
        <v>1394</v>
      </c>
      <c r="H37" s="261" t="s">
        <v>5930</v>
      </c>
      <c r="I37" s="264">
        <v>820</v>
      </c>
      <c r="J37" s="261" t="s">
        <v>1394</v>
      </c>
      <c r="K37" s="261">
        <f t="shared" si="2"/>
        <v>2460</v>
      </c>
      <c r="L37" s="261"/>
      <c r="M37" s="261"/>
      <c r="N37" s="272" t="s">
        <v>3373</v>
      </c>
      <c r="O37" s="261"/>
      <c r="P37" s="261"/>
      <c r="Q37" s="261"/>
    </row>
    <row r="38" spans="1:19">
      <c r="A38" s="251"/>
      <c r="E38" s="261"/>
      <c r="F38" s="261">
        <v>4</v>
      </c>
      <c r="G38" s="261" t="s">
        <v>1394</v>
      </c>
      <c r="H38" s="261" t="s">
        <v>5931</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6074</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6075</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5932</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5933</v>
      </c>
      <c r="I63" s="261"/>
      <c r="J63" s="261"/>
      <c r="K63" s="263">
        <f>10*41.7</f>
        <v>417</v>
      </c>
      <c r="L63" s="261"/>
      <c r="M63" s="261"/>
      <c r="N63" s="261"/>
      <c r="P63" s="261"/>
      <c r="Q63" s="261"/>
      <c r="R63" s="261"/>
    </row>
    <row r="64" spans="1:20">
      <c r="A64" s="251"/>
      <c r="E64" s="261"/>
      <c r="F64" s="261"/>
      <c r="G64" s="261"/>
      <c r="H64" s="266" t="s">
        <v>5934</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6076</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5935</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6077</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6078</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5936</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5937</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5938</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5939</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55" t="s">
        <v>3619</v>
      </c>
      <c r="P280" s="1055"/>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5940</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6079</v>
      </c>
      <c r="I374" s="261"/>
      <c r="J374" s="261"/>
      <c r="K374" s="261"/>
      <c r="L374" s="261"/>
      <c r="M374" s="261"/>
      <c r="N374" s="261"/>
      <c r="O374" s="258" t="s">
        <v>6080</v>
      </c>
      <c r="P374" s="261"/>
      <c r="Q374" s="261"/>
      <c r="R374" s="261"/>
    </row>
    <row r="375" spans="5:18" ht="31.5">
      <c r="E375" s="261"/>
      <c r="F375" s="261">
        <v>1</v>
      </c>
      <c r="G375" s="261" t="s">
        <v>1394</v>
      </c>
      <c r="H375" s="260" t="s">
        <v>5941</v>
      </c>
      <c r="I375" s="264">
        <v>1315</v>
      </c>
      <c r="J375" s="261" t="s">
        <v>1394</v>
      </c>
      <c r="K375" s="261">
        <f>F375*I375</f>
        <v>1315</v>
      </c>
      <c r="L375" s="261"/>
      <c r="M375" s="261">
        <v>1</v>
      </c>
      <c r="N375" s="261" t="s">
        <v>1394</v>
      </c>
      <c r="O375" s="260" t="s">
        <v>5986</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6058</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6059</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5982</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5983</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5984</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5985</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6081</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6082</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5942</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6083</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56" t="s">
        <v>4662</v>
      </c>
      <c r="N779" s="1056"/>
      <c r="O779" s="1056"/>
      <c r="P779" s="1056"/>
      <c r="Q779" s="1056"/>
      <c r="R779" s="1056"/>
    </row>
    <row r="780" spans="5:20" ht="15.75" customHeight="1">
      <c r="E780" s="261"/>
      <c r="F780" s="261"/>
      <c r="G780" s="261"/>
      <c r="H780" s="261"/>
      <c r="I780" s="261"/>
      <c r="J780" s="261"/>
      <c r="K780" s="261"/>
      <c r="L780" s="261"/>
      <c r="M780" s="1057" t="s">
        <v>4663</v>
      </c>
      <c r="N780" s="1057"/>
      <c r="O780" s="1057"/>
      <c r="P780" s="1057"/>
      <c r="Q780" s="1057"/>
      <c r="R780" s="1057"/>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58" t="s">
        <v>657</v>
      </c>
      <c r="Q788" s="1058"/>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5943</v>
      </c>
      <c r="P804" s="305">
        <v>1193</v>
      </c>
      <c r="Q804" s="261" t="s">
        <v>1394</v>
      </c>
      <c r="R804" s="261">
        <f>M804*P804</f>
        <v>1193</v>
      </c>
      <c r="T804" s="261">
        <v>1</v>
      </c>
      <c r="U804" s="261" t="s">
        <v>1394</v>
      </c>
      <c r="V804" s="260" t="s">
        <v>5944</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56" t="s">
        <v>4151</v>
      </c>
      <c r="N810" s="1056"/>
      <c r="O810" s="1056"/>
      <c r="P810" s="1056"/>
      <c r="Q810" s="1056"/>
      <c r="R810" s="1056"/>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5945</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58" t="s">
        <v>657</v>
      </c>
      <c r="Q814" s="1058"/>
      <c r="R814" s="269">
        <v>17.329999999999998</v>
      </c>
      <c r="T814" s="261">
        <v>1</v>
      </c>
      <c r="U814" s="261" t="s">
        <v>1394</v>
      </c>
      <c r="V814" s="260" t="s">
        <v>5946</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63" t="s">
        <v>4730</v>
      </c>
      <c r="N828" s="1063"/>
      <c r="O828" s="1063"/>
      <c r="P828" s="1063"/>
      <c r="Q828" s="1063"/>
      <c r="R828" s="1063"/>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58" t="s">
        <v>657</v>
      </c>
      <c r="Q836" s="1058"/>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58" t="s">
        <v>657</v>
      </c>
      <c r="Q851" s="1058"/>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58" t="s">
        <v>657</v>
      </c>
      <c r="Q868" s="1058"/>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6084</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6085</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5947</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6075</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6086</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6060</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6087</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6088</v>
      </c>
      <c r="H1247" s="327" t="s">
        <v>5451</v>
      </c>
      <c r="I1247" s="322">
        <f>630*2</f>
        <v>1260</v>
      </c>
      <c r="J1247" s="335" t="s">
        <v>6088</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6089</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6090</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65" t="s">
        <v>3916</v>
      </c>
      <c r="B21" s="1065"/>
      <c r="C21" s="1065"/>
      <c r="D21" s="50"/>
      <c r="E21" s="56"/>
      <c r="F21" s="50"/>
      <c r="G21" s="57"/>
    </row>
    <row r="22" spans="1:7" ht="16.5">
      <c r="A22" s="1065"/>
      <c r="B22" s="1065"/>
      <c r="C22" s="1065"/>
      <c r="D22" s="1067"/>
      <c r="E22" s="1067"/>
      <c r="F22" s="1067"/>
      <c r="G22" s="1067"/>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65" t="s">
        <v>3932</v>
      </c>
      <c r="C55" s="1065"/>
      <c r="D55" s="1065"/>
      <c r="E55" s="1065"/>
      <c r="F55" s="1065"/>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65" t="s">
        <v>3935</v>
      </c>
      <c r="C80" s="1065"/>
      <c r="D80" s="1065"/>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65" t="s">
        <v>3941</v>
      </c>
      <c r="B106" s="1065"/>
      <c r="C106" s="1065"/>
      <c r="D106" s="1065"/>
      <c r="E106" s="1065"/>
      <c r="F106" s="1065"/>
      <c r="G106" s="50"/>
    </row>
    <row r="107" spans="1:7" ht="16.5">
      <c r="A107" s="1065"/>
      <c r="B107" s="1065"/>
      <c r="C107" s="1065"/>
      <c r="D107" s="1065"/>
      <c r="E107" s="1065"/>
      <c r="F107" s="1065"/>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65" t="s">
        <v>3942</v>
      </c>
      <c r="C128" s="1065"/>
      <c r="D128" s="1065"/>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065" t="s">
        <v>3946</v>
      </c>
      <c r="B155" s="1065"/>
      <c r="C155" s="1065"/>
      <c r="D155" s="1065"/>
      <c r="E155" s="1065"/>
      <c r="F155" s="1065"/>
    </row>
    <row r="156" spans="1:7">
      <c r="A156" s="1065"/>
      <c r="B156" s="1065"/>
      <c r="C156" s="1065"/>
      <c r="D156" s="1065"/>
      <c r="E156" s="1065"/>
      <c r="F156" s="1065"/>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066"/>
      <c r="E178" s="1066"/>
      <c r="F178" s="1066"/>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65" t="s">
        <v>4107</v>
      </c>
      <c r="B247" s="1065"/>
      <c r="C247" s="1065"/>
      <c r="D247" s="1065"/>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65" t="s">
        <v>4119</v>
      </c>
      <c r="B277" s="1065"/>
      <c r="C277" s="1065"/>
      <c r="D277" s="1065"/>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068" t="s">
        <v>4397</v>
      </c>
      <c r="B315" s="1068"/>
      <c r="C315" s="1068"/>
      <c r="D315" s="1068"/>
      <c r="E315" s="1068"/>
      <c r="F315" s="1068"/>
      <c r="G315" s="1068"/>
      <c r="H315" s="1068"/>
    </row>
    <row r="316" spans="1:8">
      <c r="A316" s="1068" t="s">
        <v>4398</v>
      </c>
      <c r="B316" s="1068"/>
      <c r="C316" s="1068"/>
      <c r="D316" s="1068"/>
      <c r="E316" s="1068"/>
      <c r="F316" s="1068"/>
      <c r="G316" s="1068"/>
      <c r="H316" s="1068"/>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68" t="s">
        <v>4443</v>
      </c>
      <c r="B361" s="1068"/>
      <c r="C361" s="1068"/>
      <c r="D361" s="1068"/>
      <c r="E361" s="1068"/>
      <c r="F361" s="1068"/>
      <c r="G361" s="1068"/>
      <c r="H361" s="1068"/>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68" t="s">
        <v>4453</v>
      </c>
      <c r="B406" s="1068"/>
      <c r="C406" s="1068"/>
      <c r="D406" s="1068"/>
      <c r="E406" s="1068"/>
      <c r="F406" s="1068"/>
      <c r="G406" s="1068"/>
      <c r="H406" s="1068"/>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68" t="s">
        <v>4461</v>
      </c>
      <c r="B451" s="1068"/>
      <c r="C451" s="1068"/>
      <c r="D451" s="1068"/>
      <c r="E451" s="1068"/>
      <c r="F451" s="1068"/>
      <c r="G451" s="1068"/>
      <c r="H451" s="1068"/>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64"/>
      <c r="F560" s="1064"/>
      <c r="G560" s="1064"/>
      <c r="H560" s="1064"/>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688" zoomScale="60" zoomScaleNormal="40" workbookViewId="0">
      <selection activeCell="B691" sqref="B691"/>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70" t="s">
        <v>6061</v>
      </c>
      <c r="B1" s="1070"/>
      <c r="C1" s="1070"/>
      <c r="D1" s="1070"/>
      <c r="E1" s="1070"/>
      <c r="F1" s="1070"/>
      <c r="G1" s="1070"/>
      <c r="H1" s="1070"/>
      <c r="I1" s="1070"/>
      <c r="J1" s="1070"/>
      <c r="K1" s="1070"/>
      <c r="L1" s="1070"/>
      <c r="M1" s="1070"/>
      <c r="N1" s="1070"/>
      <c r="O1" s="1070"/>
      <c r="P1" s="1070"/>
      <c r="Q1" s="1070"/>
      <c r="R1" s="1070"/>
      <c r="S1" s="1071"/>
      <c r="T1" s="1070"/>
      <c r="U1" s="1070"/>
      <c r="V1" s="1070"/>
      <c r="W1" s="1070"/>
      <c r="X1" s="1070"/>
      <c r="Y1" s="1070"/>
      <c r="Z1" s="1070"/>
      <c r="AA1" s="656"/>
      <c r="AB1" s="656"/>
      <c r="AC1" s="657"/>
      <c r="AD1" s="657"/>
    </row>
    <row r="2" spans="1:30" s="663" customFormat="1" ht="70.5" customHeight="1">
      <c r="A2" s="1072" t="s">
        <v>224</v>
      </c>
      <c r="B2" s="1072" t="s">
        <v>1777</v>
      </c>
      <c r="C2" s="1072" t="s">
        <v>4968</v>
      </c>
      <c r="D2" s="1072" t="s">
        <v>222</v>
      </c>
      <c r="E2" s="1069" t="s">
        <v>4740</v>
      </c>
      <c r="F2" s="1069"/>
      <c r="G2" s="1069" t="s">
        <v>3990</v>
      </c>
      <c r="H2" s="1069"/>
      <c r="I2" s="1069" t="s">
        <v>4348</v>
      </c>
      <c r="J2" s="1069"/>
      <c r="K2" s="1069" t="s">
        <v>4741</v>
      </c>
      <c r="L2" s="1069"/>
      <c r="M2" s="1069" t="s">
        <v>5051</v>
      </c>
      <c r="N2" s="1069"/>
      <c r="O2" s="1069" t="s">
        <v>5050</v>
      </c>
      <c r="P2" s="1069"/>
      <c r="Q2" s="1069" t="s">
        <v>4742</v>
      </c>
      <c r="R2" s="1069"/>
      <c r="S2" s="1074" t="s">
        <v>5048</v>
      </c>
      <c r="T2" s="1069"/>
      <c r="U2" s="1069" t="s">
        <v>5004</v>
      </c>
      <c r="V2" s="1069"/>
      <c r="W2" s="1069" t="s">
        <v>4678</v>
      </c>
      <c r="X2" s="1069"/>
      <c r="Y2" s="1073" t="s">
        <v>5989</v>
      </c>
      <c r="Z2" s="1073"/>
      <c r="AA2" s="1069" t="s">
        <v>5990</v>
      </c>
      <c r="AB2" s="1069"/>
      <c r="AC2" s="1069"/>
      <c r="AD2" s="1069"/>
    </row>
    <row r="3" spans="1:30" s="663" customFormat="1" ht="70.5" customHeight="1">
      <c r="A3" s="1072"/>
      <c r="B3" s="1072"/>
      <c r="C3" s="1072"/>
      <c r="D3" s="1072"/>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6176</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[3]building!Y6</f>
        <v>496</v>
      </c>
      <c r="AB6" s="657">
        <f>[3]building!Z6</f>
        <v>96987.839999999997</v>
      </c>
      <c r="AC6" s="657">
        <f>[3]building!Z6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6177</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6178</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6179</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6180</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[3]building!Y18</f>
        <v>64</v>
      </c>
      <c r="AB18" s="657">
        <f>[3]building!Z18</f>
        <v>5913.6</v>
      </c>
      <c r="AC18" s="657">
        <f>[3]building!Z18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6181</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1498.66</v>
      </c>
      <c r="D38" s="669" t="s">
        <v>1197</v>
      </c>
      <c r="E38" s="677">
        <v>71.2</v>
      </c>
      <c r="F38" s="670">
        <f t="shared" si="0"/>
        <v>106704.59</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106704.59</v>
      </c>
      <c r="AA38" s="657">
        <f>[3]building!Y38</f>
        <v>71.2</v>
      </c>
      <c r="AB38" s="657">
        <f>[3]building!Z38</f>
        <v>100318.66</v>
      </c>
      <c r="AC38" s="657">
        <f>[3]building!Z38</f>
        <v>100318.66</v>
      </c>
      <c r="AD38" s="657">
        <f t="shared" si="12"/>
        <v>6385.93</v>
      </c>
      <c r="AE38" s="689"/>
    </row>
    <row r="39" spans="1:35" ht="70.5" customHeight="1">
      <c r="A39" s="666">
        <v>2.2000000000000002</v>
      </c>
      <c r="B39" s="667" t="s">
        <v>232</v>
      </c>
      <c r="C39" s="686">
        <f>ROUND(Data!K161,2)</f>
        <v>1321.44</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885.41</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966.41</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241.35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1304.93</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1724.13</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4706.34</v>
      </c>
      <c r="D45" s="669" t="s">
        <v>1197</v>
      </c>
      <c r="E45" s="677">
        <v>41.7</v>
      </c>
      <c r="F45" s="670">
        <f t="shared" si="0"/>
        <v>196254.38</v>
      </c>
      <c r="G45" s="677">
        <v>3.4</v>
      </c>
      <c r="H45" s="677">
        <f t="shared" si="1"/>
        <v>16001.56</v>
      </c>
      <c r="I45" s="677">
        <v>3.4</v>
      </c>
      <c r="J45" s="677">
        <f t="shared" si="2"/>
        <v>16001.56</v>
      </c>
      <c r="K45" s="677">
        <v>4.9000000000000004</v>
      </c>
      <c r="L45" s="677">
        <f t="shared" si="3"/>
        <v>23061.07</v>
      </c>
      <c r="M45" s="677"/>
      <c r="N45" s="677">
        <f t="shared" si="4"/>
        <v>0</v>
      </c>
      <c r="O45" s="677"/>
      <c r="P45" s="677">
        <f t="shared" si="5"/>
        <v>0</v>
      </c>
      <c r="Q45" s="677">
        <v>6.5</v>
      </c>
      <c r="R45" s="677">
        <f t="shared" si="6"/>
        <v>30591.21</v>
      </c>
      <c r="S45" s="678"/>
      <c r="T45" s="677">
        <f t="shared" si="7"/>
        <v>0</v>
      </c>
      <c r="U45" s="677"/>
      <c r="V45" s="677">
        <f t="shared" si="8"/>
        <v>0</v>
      </c>
      <c r="W45" s="679">
        <f t="shared" si="9"/>
        <v>18.2</v>
      </c>
      <c r="X45" s="677">
        <f t="shared" si="10"/>
        <v>85655.39</v>
      </c>
      <c r="Y45" s="680">
        <v>59.9</v>
      </c>
      <c r="Z45" s="675">
        <f t="shared" si="11"/>
        <v>281909.77</v>
      </c>
      <c r="AA45" s="657">
        <f>[3]building!Y45</f>
        <v>59.9</v>
      </c>
      <c r="AB45" s="657">
        <f>[3]building!Z45</f>
        <v>251332.01</v>
      </c>
      <c r="AC45" s="657">
        <f>[3]building!Z45</f>
        <v>251332.01</v>
      </c>
      <c r="AD45" s="657">
        <f t="shared" si="12"/>
        <v>30577.759999999998</v>
      </c>
      <c r="AE45" s="689"/>
    </row>
    <row r="46" spans="1:35" ht="70.5" customHeight="1">
      <c r="A46" s="666">
        <v>3.2</v>
      </c>
      <c r="B46" s="667" t="s">
        <v>1934</v>
      </c>
      <c r="C46" s="676">
        <f>ROUND(Data!K219,2)</f>
        <v>6257.8</v>
      </c>
      <c r="D46" s="669" t="s">
        <v>1197</v>
      </c>
      <c r="E46" s="677"/>
      <c r="F46" s="670">
        <f t="shared" si="0"/>
        <v>0</v>
      </c>
      <c r="G46" s="677"/>
      <c r="H46" s="677">
        <f t="shared" si="1"/>
        <v>0</v>
      </c>
      <c r="I46" s="677"/>
      <c r="J46" s="677">
        <f t="shared" si="2"/>
        <v>0</v>
      </c>
      <c r="K46" s="677">
        <v>2.5</v>
      </c>
      <c r="L46" s="677">
        <f t="shared" si="3"/>
        <v>15644.5</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15644.5</v>
      </c>
      <c r="Y46" s="680">
        <v>2.5</v>
      </c>
      <c r="Z46" s="675">
        <f t="shared" si="11"/>
        <v>15644.5</v>
      </c>
      <c r="AA46" s="657">
        <f>[3]building!Y46</f>
        <v>2.5</v>
      </c>
      <c r="AB46" s="657">
        <f>[3]building!Z46</f>
        <v>14194.95</v>
      </c>
      <c r="AC46" s="657">
        <f>[3]building!Z46</f>
        <v>14194.95</v>
      </c>
      <c r="AD46" s="657">
        <f t="shared" si="12"/>
        <v>1449.55</v>
      </c>
    </row>
    <row r="47" spans="1:35" ht="70.5" customHeight="1">
      <c r="A47" s="666">
        <v>3.3</v>
      </c>
      <c r="B47" s="667" t="s">
        <v>1935</v>
      </c>
      <c r="C47" s="676">
        <f>ROUND(Data!K234,2)</f>
        <v>4108.13</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175.54</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142.97999999999999</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6184</v>
      </c>
      <c r="C52" s="676">
        <f>ROUND(Data!K285,2)</f>
        <v>7812.73</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6185</v>
      </c>
      <c r="C53" s="676">
        <f>Data!K821</f>
        <v>8463.24</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5226.8900000000003</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6186</v>
      </c>
      <c r="C55" s="686">
        <f>Data!X321</f>
        <v>6795.56</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6187</v>
      </c>
      <c r="C56" s="676">
        <f>ROUND(Data!AG321,2)</f>
        <v>6476.94</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6190</v>
      </c>
      <c r="C59" s="683">
        <f>Data!K321</f>
        <v>6586.14</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6194</v>
      </c>
      <c r="C63" s="686">
        <f>ROUND(Data!K497,2)</f>
        <v>312.35000000000002</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7932.58</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8168.68</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8404.7800000000007</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8640.8799999999992</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8876.98</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8583.09</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8819.19</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9055.2900000000009</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9291.39</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9527.49</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9763.59</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9999.69</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10235.790000000001</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10471.89</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10707.99</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10944.09</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11180.19</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11416.29</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6801.98</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6961.18</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7120.38</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7279.58</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7438.78</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ROUND(Data!AG347,2)</f>
        <v>6497.85</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ROUND(Data!AG348,2)</f>
        <v>6657.05</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ROUND(Data!AG349,2)</f>
        <v>6816.25</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ROUND(Data!AG350,2)</f>
        <v>6975.45</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ROUND(Data!AG351,2)</f>
        <v>7134.65</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ROUND(Data!AG352,2)</f>
        <v>7293.85</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ROUND(Data!AG353,2)</f>
        <v>7453.05</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ROUND(Data!AG354,2)</f>
        <v>7612.25</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ROUND(Data!AG355,2)</f>
        <v>7771.45</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ROUND(Data!AG356,2)</f>
        <v>7930.65</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ROUND(Data!AG357,2)</f>
        <v>8089.85</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ROUND(Data!AG358,2)</f>
        <v>8249.0499999999993</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ROUND(Data!AG359,2)</f>
        <v>8408.25</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ROUND(Data!AG360,2)</f>
        <v>8567.4500000000007</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6592.06</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6751.26</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6910.46</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7069.66</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7228.86</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837.54</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846.38</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864.21</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882.04</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899.87</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917.7</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ROUND(Data!AG409,2)</f>
        <v>819.61</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ROUND(Data!AG411,2)</f>
        <v>828.6</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ROUND(Data!AG412,2)</f>
        <v>846.75</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ROUND(Data!AG413,2)</f>
        <v>864.9</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ROUND(Data!AG414,2)</f>
        <v>883.05</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ROUND(Data!AG415,2)</f>
        <v>901.2</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ROUND(Data!AG416,2)</f>
        <v>919.35</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ROUND(Data!AG417,2)</f>
        <v>937.5</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ROUND(Data!AG418,2)</f>
        <v>955.65</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ROUND(Data!AG419,2)</f>
        <v>973.8</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ROUND(Data!AG420,2)</f>
        <v>991.95</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ROUND(Data!AG421,2)</f>
        <v>1010.1</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ROUND(Data!AG422,2)</f>
        <v>1028.25</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Data!AI422</f>
        <v>1046.4000000000001</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Data!AI423</f>
        <v>1064.55</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801.27</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809.95</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827.46</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844.97</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862.48</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879.99</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566.44000000000005</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577.58000000000004</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588.72</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599.86</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611</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ROUND(Data!AG448,2)</f>
        <v>579.32000000000005</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ROUND(Data!AG449,2)</f>
        <v>591.26</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ROUND(Data!AG450,2)</f>
        <v>603.20000000000005</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ROUND(Data!AG451,2)</f>
        <v>615.14</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ROUND(Data!AG452,2)</f>
        <v>627.08000000000004</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551.75</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562.89</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574.03</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585.16999999999996</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596.30999999999995</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399.14</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407.1</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415.06</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423.02</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430.98</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[3]building!Y229</f>
        <v>52.5</v>
      </c>
      <c r="AB229" s="657">
        <f>[3]building!Z229</f>
        <v>1692.08</v>
      </c>
      <c r="AC229" s="657">
        <f>[3]building!Z229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1474.65</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1479.42</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1484.19</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1488.96</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1493.73</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1498.5</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1503.27</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1508.04</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1512.81</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1517.58</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1522.35</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1527.12</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1615.06</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1619.9</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1629.43</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1638.96</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1648.49</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1658.02</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2954.59</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2963.48</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2972.37</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2981.26</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2990.15</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2764.36</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2727.37</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2785.95</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[3]building!Y290</f>
        <v>3.25</v>
      </c>
      <c r="AB290" s="657">
        <f>[3]building!Z290</f>
        <v>399433.13</v>
      </c>
      <c r="AC290" s="657">
        <f>[3]building!Z290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[3]building!Y291</f>
        <v>1.47</v>
      </c>
      <c r="AB291" s="657">
        <f>[3]building!Z291</f>
        <v>162843.38</v>
      </c>
      <c r="AC291" s="657">
        <f>[3]building!Z291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4706.34</v>
      </c>
      <c r="D323" s="669" t="s">
        <v>1197</v>
      </c>
      <c r="E323" s="677">
        <v>24.6</v>
      </c>
      <c r="F323" s="670">
        <f t="shared" si="52"/>
        <v>115775.96</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115775.96</v>
      </c>
      <c r="AA323" s="657">
        <f>[3]building!Y323</f>
        <v>24.6</v>
      </c>
      <c r="AB323" s="657">
        <f>[3]building!Z323</f>
        <v>103218.16</v>
      </c>
      <c r="AC323" s="657">
        <f>[3]building!Z323</f>
        <v>103218.16</v>
      </c>
      <c r="AD323" s="657">
        <f t="shared" si="64"/>
        <v>12557.8</v>
      </c>
    </row>
    <row r="324" spans="1:38" ht="70.5" customHeight="1">
      <c r="A324" s="666">
        <v>27.1</v>
      </c>
      <c r="B324" s="667" t="s">
        <v>305</v>
      </c>
      <c r="C324" s="686">
        <f>ROUND(Data!Y368,2)</f>
        <v>7062.78</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ROUND(Data!AG381,2)</f>
        <v>6881.61</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7012.06</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6213</v>
      </c>
      <c r="C330" s="676">
        <f>ROUND(Data!K1213,2)</f>
        <v>506.32</v>
      </c>
      <c r="D330" s="669" t="s">
        <v>1842</v>
      </c>
      <c r="E330" s="677">
        <v>9</v>
      </c>
      <c r="F330" s="670">
        <f t="shared" si="65"/>
        <v>4556.88</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4556.88</v>
      </c>
      <c r="AA330" s="657">
        <f>[3]building!Y330</f>
        <v>9</v>
      </c>
      <c r="AB330" s="657">
        <f>[3]building!Z330</f>
        <v>3938.85</v>
      </c>
      <c r="AC330" s="657">
        <f>[3]building!Z330</f>
        <v>3938.85</v>
      </c>
      <c r="AD330" s="657">
        <f t="shared" si="77"/>
        <v>618.03</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6215</v>
      </c>
      <c r="C332" s="686">
        <f>ROUND(Data!K1241,2)</f>
        <v>1226.1500000000001</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1204.75</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1373.62</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1204.75</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445.12</v>
      </c>
      <c r="D336" s="669" t="s">
        <v>1842</v>
      </c>
      <c r="E336" s="677">
        <v>21.5</v>
      </c>
      <c r="F336" s="670">
        <f t="shared" si="65"/>
        <v>9570.08</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9570.08</v>
      </c>
      <c r="AA336" s="657">
        <f>[3]building!Y336</f>
        <v>21.5</v>
      </c>
      <c r="AB336" s="657">
        <f>[3]building!Z336</f>
        <v>8306.5300000000007</v>
      </c>
      <c r="AC336" s="657">
        <f>[3]building!Z336</f>
        <v>8306.5300000000007</v>
      </c>
      <c r="AD336" s="657">
        <f t="shared" si="77"/>
        <v>1263.55</v>
      </c>
      <c r="AL336" s="658">
        <f>146-34.2</f>
        <v>111.8</v>
      </c>
    </row>
    <row r="337" spans="1:35" ht="70.5" customHeight="1">
      <c r="A337" s="666">
        <v>31</v>
      </c>
      <c r="B337" s="667" t="s">
        <v>1705</v>
      </c>
      <c r="C337" s="676">
        <f>ROUND(Data!K1330,2)</f>
        <v>3768.68</v>
      </c>
      <c r="D337" s="669" t="s">
        <v>1197</v>
      </c>
      <c r="E337" s="677">
        <v>43.8</v>
      </c>
      <c r="F337" s="670">
        <f t="shared" si="65"/>
        <v>165068.18</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165068.18</v>
      </c>
      <c r="AA337" s="657">
        <f>[3]building!Y337</f>
        <v>43.8</v>
      </c>
      <c r="AB337" s="657">
        <f>[3]building!Z337</f>
        <v>151625.96</v>
      </c>
      <c r="AC337" s="657">
        <f>[3]building!Z337</f>
        <v>151625.96</v>
      </c>
      <c r="AD337" s="657">
        <f t="shared" si="77"/>
        <v>13442.22</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1188.17</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248.16</v>
      </c>
      <c r="D341" s="669" t="s">
        <v>1842</v>
      </c>
      <c r="E341" s="677">
        <v>8851.6</v>
      </c>
      <c r="F341" s="670">
        <f t="shared" si="65"/>
        <v>2196613.06</v>
      </c>
      <c r="G341" s="677"/>
      <c r="H341" s="677">
        <f t="shared" si="66"/>
        <v>0</v>
      </c>
      <c r="I341" s="677">
        <v>97.8</v>
      </c>
      <c r="J341" s="677">
        <f t="shared" si="67"/>
        <v>24270.05</v>
      </c>
      <c r="K341" s="677"/>
      <c r="L341" s="677">
        <f t="shared" si="68"/>
        <v>0</v>
      </c>
      <c r="M341" s="677"/>
      <c r="N341" s="677">
        <f t="shared" si="69"/>
        <v>0</v>
      </c>
      <c r="O341" s="677"/>
      <c r="P341" s="677">
        <f t="shared" si="70"/>
        <v>0</v>
      </c>
      <c r="Q341" s="677">
        <v>369.4</v>
      </c>
      <c r="R341" s="677">
        <f t="shared" si="71"/>
        <v>91670.3</v>
      </c>
      <c r="S341" s="678"/>
      <c r="T341" s="677">
        <f t="shared" si="72"/>
        <v>0</v>
      </c>
      <c r="U341" s="677"/>
      <c r="V341" s="677">
        <f t="shared" si="73"/>
        <v>0</v>
      </c>
      <c r="W341" s="679">
        <f t="shared" si="74"/>
        <v>467.2</v>
      </c>
      <c r="X341" s="677">
        <f t="shared" si="75"/>
        <v>115940.35</v>
      </c>
      <c r="Y341" s="680">
        <v>9318.7999999999993</v>
      </c>
      <c r="Z341" s="675">
        <f t="shared" si="76"/>
        <v>2312553.41</v>
      </c>
      <c r="AA341" s="657">
        <f>[3]building!Y341</f>
        <v>9318.7999999999993</v>
      </c>
      <c r="AB341" s="657">
        <f>[3]building!Z341</f>
        <v>2004194.32</v>
      </c>
      <c r="AC341" s="657">
        <f>[3]building!Z341</f>
        <v>2004194.32</v>
      </c>
      <c r="AD341" s="657">
        <f t="shared" si="77"/>
        <v>308359.09000000003</v>
      </c>
    </row>
    <row r="342" spans="1:35" ht="70.5" customHeight="1">
      <c r="A342" s="666">
        <v>34</v>
      </c>
      <c r="B342" s="667" t="s">
        <v>1007</v>
      </c>
      <c r="C342" s="676">
        <f>ROUND(Data!K1414,2)</f>
        <v>254.25</v>
      </c>
      <c r="D342" s="669" t="s">
        <v>1842</v>
      </c>
      <c r="E342" s="677">
        <v>154.69999999999999</v>
      </c>
      <c r="F342" s="670">
        <f t="shared" si="65"/>
        <v>39332.480000000003</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39332.480000000003</v>
      </c>
      <c r="AA342" s="657">
        <f>[3]building!Y342</f>
        <v>154.69999999999999</v>
      </c>
      <c r="AB342" s="657">
        <f>[3]building!Z342</f>
        <v>34174.78</v>
      </c>
      <c r="AC342" s="657">
        <f>[3]building!Z342</f>
        <v>34174.78</v>
      </c>
      <c r="AD342" s="657">
        <f t="shared" si="77"/>
        <v>5157.7</v>
      </c>
    </row>
    <row r="343" spans="1:35" ht="70.5" customHeight="1">
      <c r="A343" s="666">
        <v>35</v>
      </c>
      <c r="B343" s="667" t="s">
        <v>936</v>
      </c>
      <c r="C343" s="676">
        <f>ROUND(Data!K1426,2)</f>
        <v>285.04000000000002</v>
      </c>
      <c r="D343" s="669" t="s">
        <v>1842</v>
      </c>
      <c r="E343" s="677">
        <v>1938.3</v>
      </c>
      <c r="F343" s="670">
        <f t="shared" si="65"/>
        <v>552493.03</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552493.03</v>
      </c>
      <c r="AA343" s="657">
        <f>[3]building!Y343</f>
        <v>1938.3</v>
      </c>
      <c r="AB343" s="657">
        <f>[3]building!Z343</f>
        <v>478275.53</v>
      </c>
      <c r="AC343" s="657">
        <f>[3]building!Z343</f>
        <v>478275.53</v>
      </c>
      <c r="AD343" s="657">
        <f t="shared" si="77"/>
        <v>74217.5</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79.98</v>
      </c>
      <c r="D345" s="669" t="s">
        <v>826</v>
      </c>
      <c r="E345" s="677">
        <v>284.10000000000002</v>
      </c>
      <c r="F345" s="670">
        <f t="shared" si="65"/>
        <v>22722.32</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7590.1</v>
      </c>
      <c r="S345" s="678"/>
      <c r="T345" s="677">
        <f t="shared" si="72"/>
        <v>0</v>
      </c>
      <c r="U345" s="677"/>
      <c r="V345" s="677">
        <f t="shared" si="73"/>
        <v>0</v>
      </c>
      <c r="W345" s="679">
        <f t="shared" si="74"/>
        <v>94.9</v>
      </c>
      <c r="X345" s="677">
        <f t="shared" si="75"/>
        <v>7590.1</v>
      </c>
      <c r="Y345" s="680">
        <v>379</v>
      </c>
      <c r="Z345" s="675">
        <f t="shared" si="76"/>
        <v>30312.42</v>
      </c>
      <c r="AA345" s="657">
        <f>[3]building!Y345</f>
        <v>379</v>
      </c>
      <c r="AB345" s="657">
        <f>[3]building!Z345</f>
        <v>25946.34</v>
      </c>
      <c r="AC345" s="657">
        <f>[3]building!Z345</f>
        <v>25946.34</v>
      </c>
      <c r="AD345" s="657">
        <f t="shared" si="77"/>
        <v>4366.08</v>
      </c>
    </row>
    <row r="346" spans="1:35" ht="70.5" customHeight="1">
      <c r="A346" s="667"/>
      <c r="B346" s="667" t="s">
        <v>1944</v>
      </c>
      <c r="C346" s="676">
        <f>ROUND(Data!K1472,2)</f>
        <v>52.18</v>
      </c>
      <c r="D346" s="669" t="s">
        <v>826</v>
      </c>
      <c r="E346" s="677">
        <v>782.4</v>
      </c>
      <c r="F346" s="670">
        <f t="shared" si="65"/>
        <v>40825.629999999997</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4951.88</v>
      </c>
      <c r="S346" s="678"/>
      <c r="T346" s="677">
        <f t="shared" si="72"/>
        <v>0</v>
      </c>
      <c r="U346" s="677"/>
      <c r="V346" s="677">
        <f t="shared" si="73"/>
        <v>0</v>
      </c>
      <c r="W346" s="679">
        <f t="shared" si="74"/>
        <v>94.9</v>
      </c>
      <c r="X346" s="677">
        <f t="shared" si="75"/>
        <v>4951.88</v>
      </c>
      <c r="Y346" s="680">
        <v>877.3</v>
      </c>
      <c r="Z346" s="675">
        <f t="shared" si="76"/>
        <v>45777.51</v>
      </c>
      <c r="AA346" s="657">
        <f>[3]building!Y346</f>
        <v>877.3</v>
      </c>
      <c r="AB346" s="657">
        <f>[3]building!Z346</f>
        <v>39092.49</v>
      </c>
      <c r="AC346" s="657">
        <f>[3]building!Z346</f>
        <v>39092.49</v>
      </c>
      <c r="AD346" s="657">
        <f t="shared" si="77"/>
        <v>6685.02</v>
      </c>
    </row>
    <row r="347" spans="1:35" ht="70.5" customHeight="1">
      <c r="A347" s="686"/>
      <c r="B347" s="667" t="s">
        <v>1945</v>
      </c>
      <c r="C347" s="676">
        <f>ROUND(Data!K1485,2)</f>
        <v>38.86</v>
      </c>
      <c r="D347" s="669" t="s">
        <v>826</v>
      </c>
      <c r="E347" s="677">
        <v>385.6</v>
      </c>
      <c r="F347" s="670">
        <f t="shared" si="65"/>
        <v>14984.42</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14984.42</v>
      </c>
      <c r="AA347" s="657">
        <f>[3]building!Y347</f>
        <v>385.6</v>
      </c>
      <c r="AB347" s="657">
        <f>[3]building!Z347</f>
        <v>12786.5</v>
      </c>
      <c r="AC347" s="657">
        <f>[3]building!Z347</f>
        <v>12786.5</v>
      </c>
      <c r="AD347" s="657">
        <f t="shared" si="77"/>
        <v>2197.92</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[3]building!Y353</f>
        <v>285.8</v>
      </c>
      <c r="AB353" s="657">
        <f>[3]building!Z353</f>
        <v>59809.37</v>
      </c>
      <c r="AC353" s="657">
        <f>[3]building!Z353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[3]building!Y354</f>
        <v>517.6</v>
      </c>
      <c r="AB354" s="657">
        <f>[3]building!Z354</f>
        <v>64244.51</v>
      </c>
      <c r="AC354" s="657">
        <f>[3]building!Z354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6221</v>
      </c>
      <c r="C363" s="683">
        <f>ROUND(Data!K1653,2)</f>
        <v>317.92</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257.63</v>
      </c>
      <c r="D369" s="669" t="s">
        <v>826</v>
      </c>
      <c r="E369" s="677"/>
      <c r="F369" s="670">
        <f t="shared" si="65"/>
        <v>0</v>
      </c>
      <c r="G369" s="677"/>
      <c r="H369" s="677">
        <f t="shared" si="66"/>
        <v>0</v>
      </c>
      <c r="I369" s="677"/>
      <c r="J369" s="677">
        <f t="shared" si="67"/>
        <v>0</v>
      </c>
      <c r="K369" s="677">
        <v>15.4</v>
      </c>
      <c r="L369" s="677">
        <f t="shared" si="68"/>
        <v>3967.5</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3967.5</v>
      </c>
      <c r="Y369" s="680">
        <v>15.4</v>
      </c>
      <c r="Z369" s="675">
        <f t="shared" si="76"/>
        <v>3967.5</v>
      </c>
      <c r="AA369" s="657">
        <f>[3]building!Y369</f>
        <v>15.4</v>
      </c>
      <c r="AB369" s="657">
        <f>[3]building!Z369</f>
        <v>3584.2</v>
      </c>
      <c r="AC369" s="657">
        <f>[3]building!Z369</f>
        <v>3584.2</v>
      </c>
      <c r="AD369" s="657">
        <f t="shared" si="77"/>
        <v>383.3</v>
      </c>
    </row>
    <row r="370" spans="1:31" ht="70.5" customHeight="1">
      <c r="A370" s="666">
        <v>50.3</v>
      </c>
      <c r="B370" s="667" t="s">
        <v>2193</v>
      </c>
      <c r="C370" s="676">
        <f>ROUND(Data!K1762,2)</f>
        <v>343.36</v>
      </c>
      <c r="D370" s="669" t="s">
        <v>1398</v>
      </c>
      <c r="E370" s="677">
        <v>12</v>
      </c>
      <c r="F370" s="670">
        <f t="shared" si="65"/>
        <v>4120.32</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4120.32</v>
      </c>
      <c r="AA370" s="657">
        <f>[3]building!Y370</f>
        <v>12</v>
      </c>
      <c r="AB370" s="657">
        <f>[3]building!Z370</f>
        <v>3968.64</v>
      </c>
      <c r="AC370" s="657">
        <f>[3]building!Z370</f>
        <v>3968.64</v>
      </c>
      <c r="AD370" s="657">
        <f t="shared" si="77"/>
        <v>151.68</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[3]building!Y371</f>
        <v>12</v>
      </c>
      <c r="AB371" s="657">
        <f>[3]building!Z371</f>
        <v>9487.2000000000007</v>
      </c>
      <c r="AC371" s="657">
        <f>[3]building!Z371</f>
        <v>9487.2000000000007</v>
      </c>
      <c r="AD371" s="657">
        <f t="shared" si="77"/>
        <v>1131.48</v>
      </c>
    </row>
    <row r="372" spans="1:31" ht="70.5" customHeight="1">
      <c r="A372" s="666">
        <v>50.5</v>
      </c>
      <c r="B372" s="667" t="s">
        <v>391</v>
      </c>
      <c r="C372" s="676">
        <f>ROUND(Data!K1790,2)</f>
        <v>19116.669999999998</v>
      </c>
      <c r="D372" s="669" t="s">
        <v>1398</v>
      </c>
      <c r="E372" s="677">
        <v>1</v>
      </c>
      <c r="F372" s="670">
        <f t="shared" si="65"/>
        <v>19116.669999999998</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19116.669999999998</v>
      </c>
      <c r="AA372" s="657">
        <f>[3]building!Y372</f>
        <v>1</v>
      </c>
      <c r="AB372" s="657">
        <f>[3]building!Z372</f>
        <v>15470.34</v>
      </c>
      <c r="AC372" s="657">
        <f>[3]building!Z372</f>
        <v>15470.34</v>
      </c>
      <c r="AD372" s="657">
        <f t="shared" si="77"/>
        <v>3646.33</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[3]building!Y375</f>
        <v>493</v>
      </c>
      <c r="AB375" s="657">
        <f>[3]building!Z375</f>
        <v>109593.9</v>
      </c>
      <c r="AC375" s="657">
        <f>[3]building!Z375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[3]building!Y376</f>
        <v>522</v>
      </c>
      <c r="AB376" s="657">
        <f>[3]building!Z376</f>
        <v>107291.88</v>
      </c>
      <c r="AC376" s="657">
        <f>[3]building!Z376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[3]building!Y378</f>
        <v>97.5</v>
      </c>
      <c r="AB378" s="657">
        <f>[3]building!Z378</f>
        <v>27411.15</v>
      </c>
      <c r="AC378" s="657">
        <f>[3]building!Z378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3354.47</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5228.5600000000004</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1990.65</v>
      </c>
      <c r="D396" s="669" t="s">
        <v>1398</v>
      </c>
      <c r="E396" s="677">
        <v>32</v>
      </c>
      <c r="F396" s="670">
        <f t="shared" si="78"/>
        <v>63700.800000000003</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63700.800000000003</v>
      </c>
      <c r="AA396" s="657">
        <f>[3]building!Y396</f>
        <v>32</v>
      </c>
      <c r="AB396" s="657">
        <f>[3]building!Z396</f>
        <v>55093.760000000002</v>
      </c>
      <c r="AC396" s="657">
        <f>[3]building!Z396</f>
        <v>55093.760000000002</v>
      </c>
      <c r="AD396" s="657">
        <f t="shared" si="90"/>
        <v>8607.0400000000009</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1990.65</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570.29</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752.18</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6222</v>
      </c>
      <c r="C455" s="686">
        <f>ROUND(Data!K1567,2)</f>
        <v>4672.5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Data!AK537</f>
        <v>1490.71</v>
      </c>
      <c r="D458" s="684" t="s">
        <v>1842</v>
      </c>
      <c r="E458" s="678">
        <v>40.9</v>
      </c>
      <c r="F458" s="670">
        <f t="shared" si="91"/>
        <v>60970.04</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60970.04</v>
      </c>
      <c r="AA458" s="657">
        <f>[3]building!Y458</f>
        <v>40.9</v>
      </c>
      <c r="AB458" s="657">
        <f>[3]building!Z458</f>
        <v>51612.53</v>
      </c>
      <c r="AC458" s="657">
        <f>[3]building!Z458</f>
        <v>51612.53</v>
      </c>
      <c r="AD458" s="657">
        <f t="shared" si="103"/>
        <v>9357.51</v>
      </c>
      <c r="AE458" s="724"/>
      <c r="AF458" s="723"/>
      <c r="AG458" s="723"/>
      <c r="AH458" s="723"/>
    </row>
    <row r="459" spans="1:34" s="705" customFormat="1" ht="70.5" customHeight="1">
      <c r="A459" s="682"/>
      <c r="B459" s="682" t="s">
        <v>1386</v>
      </c>
      <c r="C459" s="683">
        <f>Data!AK538</f>
        <v>1495.48</v>
      </c>
      <c r="D459" s="684" t="s">
        <v>1842</v>
      </c>
      <c r="E459" s="678">
        <v>6.2</v>
      </c>
      <c r="F459" s="670">
        <f t="shared" si="91"/>
        <v>9271.98</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9271.98</v>
      </c>
      <c r="AA459" s="657">
        <f>[3]building!Y459</f>
        <v>6.2</v>
      </c>
      <c r="AB459" s="657">
        <f>[3]building!Z459</f>
        <v>7848.27</v>
      </c>
      <c r="AC459" s="657">
        <f>[3]building!Z459</f>
        <v>7848.27</v>
      </c>
      <c r="AD459" s="657">
        <f t="shared" si="103"/>
        <v>1423.71</v>
      </c>
      <c r="AE459" s="724"/>
      <c r="AF459" s="723"/>
      <c r="AG459" s="723"/>
      <c r="AH459" s="723"/>
    </row>
    <row r="460" spans="1:34" s="705" customFormat="1" ht="70.5" customHeight="1">
      <c r="A460" s="682"/>
      <c r="B460" s="682" t="s">
        <v>1434</v>
      </c>
      <c r="C460" s="683">
        <f>Data!AK539</f>
        <v>1500.25</v>
      </c>
      <c r="D460" s="684" t="s">
        <v>1842</v>
      </c>
      <c r="E460" s="678">
        <v>6.2</v>
      </c>
      <c r="F460" s="670">
        <f t="shared" si="91"/>
        <v>9301.5499999999993</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9301.5499999999993</v>
      </c>
      <c r="AA460" s="657">
        <f>[3]building!Y460</f>
        <v>6.2</v>
      </c>
      <c r="AB460" s="657">
        <f>[3]building!Z460</f>
        <v>7872.64</v>
      </c>
      <c r="AC460" s="657">
        <f>[3]building!Z460</f>
        <v>7872.64</v>
      </c>
      <c r="AD460" s="657">
        <f t="shared" si="103"/>
        <v>1428.91</v>
      </c>
      <c r="AE460" s="724"/>
      <c r="AF460" s="723"/>
      <c r="AG460" s="723"/>
      <c r="AH460" s="723"/>
    </row>
    <row r="461" spans="1:34" s="705" customFormat="1" ht="70.5" customHeight="1">
      <c r="A461" s="682"/>
      <c r="B461" s="682" t="s">
        <v>1324</v>
      </c>
      <c r="C461" s="683">
        <f>Data!AK540</f>
        <v>1505.02</v>
      </c>
      <c r="D461" s="684" t="s">
        <v>1842</v>
      </c>
      <c r="E461" s="678">
        <v>6.2</v>
      </c>
      <c r="F461" s="670">
        <f t="shared" si="91"/>
        <v>9331.1200000000008</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9331.1200000000008</v>
      </c>
      <c r="AA461" s="657">
        <f>[3]building!Y461</f>
        <v>6.2</v>
      </c>
      <c r="AB461" s="657">
        <f>[3]building!Z461</f>
        <v>7897</v>
      </c>
      <c r="AC461" s="657">
        <f>[3]building!Z461</f>
        <v>7897</v>
      </c>
      <c r="AD461" s="657">
        <f t="shared" si="103"/>
        <v>1434.12</v>
      </c>
      <c r="AE461" s="724"/>
      <c r="AF461" s="723"/>
      <c r="AG461" s="723"/>
      <c r="AH461" s="723"/>
    </row>
    <row r="462" spans="1:34" ht="70.5" customHeight="1">
      <c r="A462" s="698"/>
      <c r="B462" s="667" t="s">
        <v>1078</v>
      </c>
      <c r="C462" s="683">
        <f>Data!AK541</f>
        <v>1509.79</v>
      </c>
      <c r="D462" s="669" t="s">
        <v>1842</v>
      </c>
      <c r="E462" s="678">
        <v>6.2</v>
      </c>
      <c r="F462" s="670">
        <f t="shared" si="91"/>
        <v>9360.7000000000007</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9360.7000000000007</v>
      </c>
      <c r="AA462" s="657">
        <f>[3]building!Y462</f>
        <v>6.2</v>
      </c>
      <c r="AB462" s="657">
        <f>[3]building!Z462</f>
        <v>7921.37</v>
      </c>
      <c r="AC462" s="657">
        <f>[3]building!Z462</f>
        <v>7921.37</v>
      </c>
      <c r="AD462" s="657">
        <f t="shared" si="103"/>
        <v>1439.33</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Data!AK559</f>
        <v>2113.2199999999998</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Data!AK561</f>
        <v>2118.06</v>
      </c>
      <c r="D465" s="684" t="s">
        <v>1842</v>
      </c>
      <c r="E465" s="678">
        <v>10.3</v>
      </c>
      <c r="F465" s="670">
        <f t="shared" si="91"/>
        <v>21816.02</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21816.02</v>
      </c>
      <c r="AA465" s="657">
        <f>[3]building!Y465</f>
        <v>10.3</v>
      </c>
      <c r="AB465" s="657">
        <f>[3]building!Z465</f>
        <v>14390.95</v>
      </c>
      <c r="AC465" s="657">
        <f>[3]building!Z465</f>
        <v>14390.95</v>
      </c>
      <c r="AD465" s="657">
        <f t="shared" si="103"/>
        <v>7425.07</v>
      </c>
      <c r="AE465" s="724"/>
      <c r="AF465" s="723"/>
      <c r="AG465" s="723"/>
      <c r="AH465" s="723"/>
    </row>
    <row r="466" spans="1:34" s="705" customFormat="1" ht="70.5" customHeight="1">
      <c r="A466" s="682"/>
      <c r="B466" s="682" t="s">
        <v>1246</v>
      </c>
      <c r="C466" s="683">
        <f>Data!AK562</f>
        <v>2127.59</v>
      </c>
      <c r="D466" s="684" t="s">
        <v>1842</v>
      </c>
      <c r="E466" s="678">
        <v>1.6</v>
      </c>
      <c r="F466" s="670">
        <f t="shared" si="91"/>
        <v>3404.14</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3404.14</v>
      </c>
      <c r="AA466" s="657">
        <f>[3]building!Y466</f>
        <v>1.6</v>
      </c>
      <c r="AB466" s="657">
        <f>[3]building!Z466</f>
        <v>2248.06</v>
      </c>
      <c r="AC466" s="657">
        <f>[3]building!Z466</f>
        <v>2248.06</v>
      </c>
      <c r="AD466" s="657">
        <f t="shared" si="103"/>
        <v>1156.08</v>
      </c>
      <c r="AE466" s="724"/>
      <c r="AF466" s="723"/>
      <c r="AG466" s="723"/>
      <c r="AH466" s="723"/>
    </row>
    <row r="467" spans="1:34" s="705" customFormat="1" ht="70.5" customHeight="1">
      <c r="A467" s="682"/>
      <c r="B467" s="682" t="s">
        <v>680</v>
      </c>
      <c r="C467" s="683">
        <f>Data!AK563</f>
        <v>2137.12</v>
      </c>
      <c r="D467" s="684" t="s">
        <v>1842</v>
      </c>
      <c r="E467" s="678">
        <v>1.6</v>
      </c>
      <c r="F467" s="670">
        <f t="shared" si="91"/>
        <v>3419.39</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3419.39</v>
      </c>
      <c r="AA467" s="657">
        <f>[3]building!Y467</f>
        <v>1.6</v>
      </c>
      <c r="AB467" s="657">
        <f>[3]building!Z467</f>
        <v>2260.64</v>
      </c>
      <c r="AC467" s="657">
        <f>[3]building!Z467</f>
        <v>2260.64</v>
      </c>
      <c r="AD467" s="657">
        <f t="shared" si="103"/>
        <v>1158.75</v>
      </c>
      <c r="AE467" s="724"/>
      <c r="AF467" s="723"/>
      <c r="AG467" s="723"/>
      <c r="AH467" s="723"/>
    </row>
    <row r="468" spans="1:34" s="705" customFormat="1" ht="70.5" customHeight="1">
      <c r="A468" s="682"/>
      <c r="B468" s="682" t="s">
        <v>681</v>
      </c>
      <c r="C468" s="683">
        <f>Data!AK564</f>
        <v>2146.65</v>
      </c>
      <c r="D468" s="684" t="s">
        <v>1842</v>
      </c>
      <c r="E468" s="678">
        <v>1.6</v>
      </c>
      <c r="F468" s="670">
        <f t="shared" si="91"/>
        <v>3434.64</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3434.64</v>
      </c>
      <c r="AA468" s="657">
        <f>[3]building!Y468</f>
        <v>1.6</v>
      </c>
      <c r="AB468" s="657">
        <f>[3]building!Z468</f>
        <v>2273.2199999999998</v>
      </c>
      <c r="AC468" s="657">
        <f>[3]building!Z468</f>
        <v>2273.2199999999998</v>
      </c>
      <c r="AD468" s="657">
        <f t="shared" si="103"/>
        <v>1161.42</v>
      </c>
      <c r="AE468" s="724"/>
      <c r="AF468" s="723"/>
      <c r="AG468" s="723"/>
      <c r="AH468" s="723"/>
    </row>
    <row r="469" spans="1:34" ht="70.5" customHeight="1">
      <c r="A469" s="698"/>
      <c r="B469" s="667" t="s">
        <v>1273</v>
      </c>
      <c r="C469" s="683">
        <f>Data!AK565</f>
        <v>2156.1799999999998</v>
      </c>
      <c r="D469" s="669" t="s">
        <v>1842</v>
      </c>
      <c r="E469" s="678">
        <v>1.6</v>
      </c>
      <c r="F469" s="670">
        <f t="shared" si="91"/>
        <v>3449.89</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3449.89</v>
      </c>
      <c r="AA469" s="657">
        <f>[3]building!Y469</f>
        <v>1.6</v>
      </c>
      <c r="AB469" s="657">
        <f>[3]building!Z469</f>
        <v>2285.79</v>
      </c>
      <c r="AC469" s="657">
        <f>[3]building!Z469</f>
        <v>2285.79</v>
      </c>
      <c r="AD469" s="657">
        <f t="shared" si="103"/>
        <v>1164.0999999999999</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Data!AD537</f>
        <v>1487.79</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Data!AD538</f>
        <v>1492.56</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Data!AD539</f>
        <v>1497.33</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Data!AD540</f>
        <v>1502.1</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Data!AD541</f>
        <v>1506.87</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Data!AD559</f>
        <v>1641.32</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Data!AD561</f>
        <v>1646.16</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Data!AD562</f>
        <v>1655.69</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Data!AD563</f>
        <v>1665.22</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Data!AD564</f>
        <v>1674.75</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Data!AD565</f>
        <v>1684.28</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6223</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Data!AD486</f>
        <v>2973.65</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Data!AD487</f>
        <v>2982.54</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Data!AD488</f>
        <v>2991.43</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Data!AD489</f>
        <v>3000.32</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Data!AD490</f>
        <v>3009.21</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6224</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2953.14</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2962.03</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2970.92</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2979.81</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2988.7</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7775.95</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7895.8</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8131.9</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8368</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8604.1</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7964.6</v>
      </c>
      <c r="D505" s="684" t="s">
        <v>2151</v>
      </c>
      <c r="E505" s="678">
        <v>160</v>
      </c>
      <c r="F505" s="670">
        <f t="shared" si="91"/>
        <v>1274336</v>
      </c>
      <c r="G505" s="678">
        <v>14</v>
      </c>
      <c r="H505" s="677">
        <f t="shared" si="92"/>
        <v>111504.4</v>
      </c>
      <c r="I505" s="678"/>
      <c r="J505" s="677">
        <f t="shared" si="93"/>
        <v>0</v>
      </c>
      <c r="K505" s="678"/>
      <c r="L505" s="677">
        <f t="shared" si="94"/>
        <v>0</v>
      </c>
      <c r="M505" s="678"/>
      <c r="N505" s="677">
        <f t="shared" si="95"/>
        <v>0</v>
      </c>
      <c r="O505" s="678"/>
      <c r="P505" s="677">
        <f t="shared" si="96"/>
        <v>0</v>
      </c>
      <c r="Q505" s="678">
        <v>15.8</v>
      </c>
      <c r="R505" s="677">
        <f t="shared" si="97"/>
        <v>125840.68</v>
      </c>
      <c r="S505" s="678"/>
      <c r="T505" s="677">
        <f t="shared" si="98"/>
        <v>0</v>
      </c>
      <c r="U505" s="677"/>
      <c r="V505" s="677">
        <f t="shared" si="99"/>
        <v>0</v>
      </c>
      <c r="W505" s="679">
        <f t="shared" si="100"/>
        <v>29.8</v>
      </c>
      <c r="X505" s="677">
        <f t="shared" si="101"/>
        <v>237345.08</v>
      </c>
      <c r="Y505" s="680">
        <v>189.8</v>
      </c>
      <c r="Z505" s="675">
        <f t="shared" si="102"/>
        <v>1511681.08</v>
      </c>
      <c r="AA505" s="657">
        <f>[3]building!Y497</f>
        <v>189.8</v>
      </c>
      <c r="AB505" s="657">
        <f>[3]building!Z497</f>
        <v>1356918.16</v>
      </c>
      <c r="AC505" s="657">
        <f>[3]building!Z497</f>
        <v>1356918.16</v>
      </c>
      <c r="AD505" s="657">
        <f t="shared" si="103"/>
        <v>154762.92000000001</v>
      </c>
    </row>
    <row r="506" spans="1:34" s="685" customFormat="1" ht="70.5" customHeight="1">
      <c r="A506" s="729">
        <v>8.1</v>
      </c>
      <c r="B506" s="682" t="s">
        <v>5088</v>
      </c>
      <c r="C506" s="683">
        <f>Data!X744</f>
        <v>8084.45</v>
      </c>
      <c r="D506" s="684" t="s">
        <v>2151</v>
      </c>
      <c r="E506" s="678">
        <v>92.7</v>
      </c>
      <c r="F506" s="670">
        <f t="shared" si="91"/>
        <v>749428.52</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32337.8</v>
      </c>
      <c r="S506" s="678"/>
      <c r="T506" s="677">
        <f t="shared" si="98"/>
        <v>0</v>
      </c>
      <c r="U506" s="677"/>
      <c r="V506" s="677">
        <f t="shared" si="99"/>
        <v>0</v>
      </c>
      <c r="W506" s="679">
        <f t="shared" si="100"/>
        <v>4</v>
      </c>
      <c r="X506" s="677">
        <f t="shared" si="101"/>
        <v>32337.8</v>
      </c>
      <c r="Y506" s="680">
        <v>96.7</v>
      </c>
      <c r="Z506" s="675">
        <f t="shared" si="102"/>
        <v>781766.32</v>
      </c>
      <c r="AA506" s="657">
        <f>[3]building!Y498</f>
        <v>96.7</v>
      </c>
      <c r="AB506" s="657">
        <f>[3]building!Z498</f>
        <v>700890.3</v>
      </c>
      <c r="AC506" s="657">
        <f>[3]building!Z498</f>
        <v>700890.3</v>
      </c>
      <c r="AD506" s="657">
        <f t="shared" si="103"/>
        <v>80876.02</v>
      </c>
    </row>
    <row r="507" spans="1:34" s="685" customFormat="1" ht="70.5" customHeight="1">
      <c r="A507" s="729"/>
      <c r="B507" s="682" t="s">
        <v>547</v>
      </c>
      <c r="C507" s="683">
        <f>Data!X745</f>
        <v>8320.5499999999993</v>
      </c>
      <c r="D507" s="684" t="s">
        <v>2151</v>
      </c>
      <c r="E507" s="678">
        <v>85.4</v>
      </c>
      <c r="F507" s="670">
        <f t="shared" si="91"/>
        <v>710574.97</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710574.97</v>
      </c>
      <c r="AA507" s="657">
        <f>[3]building!Y499</f>
        <v>85.4</v>
      </c>
      <c r="AB507" s="657">
        <f>[3]building!Z499</f>
        <v>635614.27</v>
      </c>
      <c r="AC507" s="657">
        <f>[3]building!Z499</f>
        <v>635614.27</v>
      </c>
      <c r="AD507" s="657">
        <f t="shared" si="103"/>
        <v>74960.7</v>
      </c>
    </row>
    <row r="508" spans="1:34" s="685" customFormat="1" ht="70.5" customHeight="1">
      <c r="A508" s="729"/>
      <c r="B508" s="682" t="s">
        <v>1806</v>
      </c>
      <c r="C508" s="683">
        <f>Data!X746</f>
        <v>8556.65</v>
      </c>
      <c r="D508" s="684" t="s">
        <v>2151</v>
      </c>
      <c r="E508" s="678">
        <v>85.4</v>
      </c>
      <c r="F508" s="670">
        <f t="shared" si="91"/>
        <v>730737.91</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730737.91</v>
      </c>
      <c r="AA508" s="657">
        <f>[3]building!Y500</f>
        <v>85.4</v>
      </c>
      <c r="AB508" s="657">
        <f>[3]building!Z500</f>
        <v>652241.65</v>
      </c>
      <c r="AC508" s="657">
        <f>[3]building!Z500</f>
        <v>652241.65</v>
      </c>
      <c r="AD508" s="657">
        <f t="shared" si="103"/>
        <v>78496.259999999995</v>
      </c>
    </row>
    <row r="509" spans="1:34" s="685" customFormat="1" ht="70.5" customHeight="1">
      <c r="A509" s="729"/>
      <c r="B509" s="682" t="s">
        <v>681</v>
      </c>
      <c r="C509" s="683">
        <f>Data!X747</f>
        <v>8792.75</v>
      </c>
      <c r="D509" s="684" t="s">
        <v>2151</v>
      </c>
      <c r="E509" s="678">
        <v>87.5</v>
      </c>
      <c r="F509" s="670">
        <f t="shared" si="91"/>
        <v>769365.63</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769365.63</v>
      </c>
      <c r="AA509" s="657">
        <f>[3]building!Y501</f>
        <v>87.5</v>
      </c>
      <c r="AB509" s="657">
        <f>[3]building!Z501</f>
        <v>685316.63</v>
      </c>
      <c r="AC509" s="657">
        <f>[3]building!Z501</f>
        <v>685316.63</v>
      </c>
      <c r="AD509" s="657">
        <f t="shared" si="103"/>
        <v>84049</v>
      </c>
    </row>
    <row r="510" spans="1:34" s="685" customFormat="1" ht="70.5" customHeight="1">
      <c r="A510" s="729"/>
      <c r="B510" s="682" t="s">
        <v>4010</v>
      </c>
      <c r="C510" s="683">
        <f>Data!X748</f>
        <v>9028.85</v>
      </c>
      <c r="D510" s="684" t="s">
        <v>2151</v>
      </c>
      <c r="E510" s="678">
        <v>92.5</v>
      </c>
      <c r="F510" s="670">
        <f t="shared" si="91"/>
        <v>835168.63</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835168.63</v>
      </c>
      <c r="AA510" s="657">
        <f>[3]building!Y502</f>
        <v>92.5</v>
      </c>
      <c r="AB510" s="657">
        <f>[3]building!Z502</f>
        <v>742487.33</v>
      </c>
      <c r="AC510" s="657">
        <f>[3]building!Z502</f>
        <v>742487.33</v>
      </c>
      <c r="AD510" s="657">
        <f t="shared" si="103"/>
        <v>92681.3</v>
      </c>
    </row>
    <row r="511" spans="1:34" s="685" customFormat="1" ht="70.5" customHeight="1">
      <c r="A511" s="729"/>
      <c r="B511" s="682" t="s">
        <v>4747</v>
      </c>
      <c r="C511" s="683">
        <f>Data!X749</f>
        <v>9123.0499999999993</v>
      </c>
      <c r="D511" s="684" t="s">
        <v>2151</v>
      </c>
      <c r="E511" s="678">
        <v>31.3</v>
      </c>
      <c r="F511" s="670">
        <f t="shared" si="91"/>
        <v>285551.46999999997</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285551.46999999997</v>
      </c>
      <c r="AA511" s="657">
        <f>[3]building!Y503</f>
        <v>31.3</v>
      </c>
      <c r="AB511" s="657">
        <f>[3]building!Z503</f>
        <v>253675.86</v>
      </c>
      <c r="AC511" s="657">
        <f>[3]building!Z503</f>
        <v>253675.86</v>
      </c>
      <c r="AD511" s="657">
        <f t="shared" si="103"/>
        <v>31875.61</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8320.2099999999991</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8440.06</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8676.16</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8912.26</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9148.36</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8195.43</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8315.2800000000007</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8114.52</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8234.3700000000008</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8470.4699999999993</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8706.57</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8942.67</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9178.77</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9414.8700000000008</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9650.9699999999993</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9887.07</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10123.17</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10359.27</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10595.37</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10831.47</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11067.57</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11303.67</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6225</v>
      </c>
      <c r="C537" s="676">
        <f>Data!AS73</f>
        <v>6791.04</v>
      </c>
      <c r="D537" s="669" t="s">
        <v>1197</v>
      </c>
      <c r="E537" s="677">
        <v>44.5</v>
      </c>
      <c r="F537" s="670">
        <f t="shared" si="105"/>
        <v>302201.28000000003</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39388.03</v>
      </c>
      <c r="S537" s="678"/>
      <c r="T537" s="677">
        <f t="shared" si="112"/>
        <v>0</v>
      </c>
      <c r="U537" s="677"/>
      <c r="V537" s="677">
        <f t="shared" si="113"/>
        <v>0</v>
      </c>
      <c r="W537" s="679">
        <f t="shared" si="114"/>
        <v>5.8</v>
      </c>
      <c r="X537" s="677">
        <f t="shared" si="115"/>
        <v>39388.03</v>
      </c>
      <c r="Y537" s="680">
        <v>50.3</v>
      </c>
      <c r="Z537" s="675">
        <f t="shared" si="116"/>
        <v>341589.31</v>
      </c>
      <c r="AA537" s="657">
        <f>[3]building!Y529</f>
        <v>50.3</v>
      </c>
      <c r="AB537" s="657">
        <f>[3]building!Z529</f>
        <v>315075.18</v>
      </c>
      <c r="AC537" s="657">
        <f>[3]building!Z529</f>
        <v>315075.18</v>
      </c>
      <c r="AD537" s="657">
        <f t="shared" si="117"/>
        <v>26514.13</v>
      </c>
    </row>
    <row r="538" spans="1:30" ht="70.5" customHeight="1">
      <c r="A538" s="666">
        <v>9.1999999999999993</v>
      </c>
      <c r="B538" s="691" t="s">
        <v>6226</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Data!AS99</f>
        <v>6795.68</v>
      </c>
      <c r="D539" s="669" t="s">
        <v>1197</v>
      </c>
      <c r="E539" s="678">
        <v>81.900000000000006</v>
      </c>
      <c r="F539" s="670">
        <f t="shared" si="105"/>
        <v>556566.18999999994</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556566.18999999994</v>
      </c>
      <c r="AA539" s="657">
        <f>[3]building!Y531</f>
        <v>81.900000000000006</v>
      </c>
      <c r="AB539" s="657">
        <f>[3]building!Z531</f>
        <v>512648.14</v>
      </c>
      <c r="AC539" s="657">
        <f>[3]building!Z531</f>
        <v>512648.14</v>
      </c>
      <c r="AD539" s="657">
        <f t="shared" si="117"/>
        <v>43918.05</v>
      </c>
    </row>
    <row r="540" spans="1:30" ht="70.5" customHeight="1">
      <c r="A540" s="719"/>
      <c r="B540" s="667" t="s">
        <v>203</v>
      </c>
      <c r="C540" s="686">
        <f>Data!AS100</f>
        <v>6954.88</v>
      </c>
      <c r="D540" s="669" t="s">
        <v>1197</v>
      </c>
      <c r="E540" s="678">
        <v>67.7</v>
      </c>
      <c r="F540" s="670">
        <f t="shared" si="105"/>
        <v>470845.38</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470845.38</v>
      </c>
      <c r="AA540" s="657">
        <f>[3]building!Y532</f>
        <v>67.7</v>
      </c>
      <c r="AB540" s="657">
        <f>[3]building!Z532</f>
        <v>432648.36</v>
      </c>
      <c r="AC540" s="657">
        <f>[3]building!Z532</f>
        <v>432648.36</v>
      </c>
      <c r="AD540" s="657">
        <f t="shared" si="117"/>
        <v>38197.019999999997</v>
      </c>
    </row>
    <row r="541" spans="1:30" ht="70.5" customHeight="1">
      <c r="A541" s="719"/>
      <c r="B541" s="667" t="s">
        <v>204</v>
      </c>
      <c r="C541" s="686">
        <f>Data!AS101</f>
        <v>7114.08</v>
      </c>
      <c r="D541" s="669" t="s">
        <v>1197</v>
      </c>
      <c r="E541" s="678">
        <v>67.7</v>
      </c>
      <c r="F541" s="670">
        <f t="shared" si="105"/>
        <v>481623.22</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481623.22</v>
      </c>
      <c r="AA541" s="657">
        <f>[3]building!Y533</f>
        <v>67.7</v>
      </c>
      <c r="AB541" s="657">
        <f>[3]building!Z533</f>
        <v>441532.63</v>
      </c>
      <c r="AC541" s="657">
        <f>[3]building!Z533</f>
        <v>441532.63</v>
      </c>
      <c r="AD541" s="657">
        <f t="shared" si="117"/>
        <v>40090.589999999997</v>
      </c>
    </row>
    <row r="542" spans="1:30" ht="70.5" customHeight="1">
      <c r="A542" s="719"/>
      <c r="B542" s="667" t="s">
        <v>205</v>
      </c>
      <c r="C542" s="686">
        <f>Data!AS102</f>
        <v>7273.28</v>
      </c>
      <c r="D542" s="669" t="s">
        <v>1197</v>
      </c>
      <c r="E542" s="678">
        <v>80.5</v>
      </c>
      <c r="F542" s="670">
        <f t="shared" si="105"/>
        <v>585499.04</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585499.04</v>
      </c>
      <c r="AA542" s="657">
        <f>[3]building!Y534</f>
        <v>80.5</v>
      </c>
      <c r="AB542" s="657">
        <f>[3]building!Z534</f>
        <v>535576.97</v>
      </c>
      <c r="AC542" s="657">
        <f>[3]building!Z534</f>
        <v>535576.97</v>
      </c>
      <c r="AD542" s="657">
        <f t="shared" si="117"/>
        <v>49922.07</v>
      </c>
    </row>
    <row r="543" spans="1:30" ht="70.5" customHeight="1">
      <c r="A543" s="719"/>
      <c r="B543" s="667" t="s">
        <v>606</v>
      </c>
      <c r="C543" s="686">
        <f>Data!AS103</f>
        <v>7432.48</v>
      </c>
      <c r="D543" s="669" t="s">
        <v>1197</v>
      </c>
      <c r="E543" s="678">
        <v>101.3</v>
      </c>
      <c r="F543" s="670">
        <f t="shared" si="105"/>
        <v>752910.22</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752910.22</v>
      </c>
      <c r="AA543" s="657">
        <f>[3]building!Y535</f>
        <v>101.3</v>
      </c>
      <c r="AB543" s="657">
        <f>[3]building!Z535</f>
        <v>687255.67</v>
      </c>
      <c r="AC543" s="657">
        <f>[3]building!Z535</f>
        <v>687255.67</v>
      </c>
      <c r="AD543" s="657">
        <f t="shared" si="117"/>
        <v>65654.55</v>
      </c>
    </row>
    <row r="544" spans="1:30" ht="70.5" customHeight="1">
      <c r="A544" s="719"/>
      <c r="B544" s="667" t="s">
        <v>4743</v>
      </c>
      <c r="C544" s="686">
        <f>Data!AS104</f>
        <v>7591.68</v>
      </c>
      <c r="D544" s="669" t="s">
        <v>1197</v>
      </c>
      <c r="E544" s="678">
        <v>20.100000000000001</v>
      </c>
      <c r="F544" s="670">
        <f t="shared" si="105"/>
        <v>152592.76999999999</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152592.76999999999</v>
      </c>
      <c r="AA544" s="657">
        <f>[3]building!Y536</f>
        <v>20.100000000000001</v>
      </c>
      <c r="AB544" s="657">
        <f>[3]building!Z536</f>
        <v>139003.35999999999</v>
      </c>
      <c r="AC544" s="657">
        <f>[3]building!Z536</f>
        <v>139003.35999999999</v>
      </c>
      <c r="AD544" s="657">
        <f t="shared" si="117"/>
        <v>13589.41</v>
      </c>
    </row>
    <row r="545" spans="1:30" ht="70.5" customHeight="1">
      <c r="A545" s="666">
        <v>10.199999999999999</v>
      </c>
      <c r="B545" s="691" t="s">
        <v>6227</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Data!AS153</f>
        <v>858.68</v>
      </c>
      <c r="D546" s="669" t="s">
        <v>2283</v>
      </c>
      <c r="E546" s="678"/>
      <c r="F546" s="670">
        <f t="shared" si="105"/>
        <v>0</v>
      </c>
      <c r="G546" s="678"/>
      <c r="H546" s="677">
        <f t="shared" si="106"/>
        <v>0</v>
      </c>
      <c r="I546" s="678">
        <v>44.7</v>
      </c>
      <c r="J546" s="677">
        <f t="shared" si="107"/>
        <v>38383</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38383</v>
      </c>
      <c r="Y546" s="680">
        <v>44.7</v>
      </c>
      <c r="Z546" s="675">
        <f t="shared" si="116"/>
        <v>38383</v>
      </c>
      <c r="AA546" s="657">
        <f>[3]building!Y538</f>
        <v>44.7</v>
      </c>
      <c r="AB546" s="657">
        <f>[3]building!Z538</f>
        <v>35094.42</v>
      </c>
      <c r="AC546" s="657">
        <f>[3]building!Z538</f>
        <v>35094.42</v>
      </c>
      <c r="AD546" s="657">
        <f t="shared" si="117"/>
        <v>3288.58</v>
      </c>
    </row>
    <row r="547" spans="1:30" ht="70.5" customHeight="1">
      <c r="A547" s="719"/>
      <c r="B547" s="667" t="s">
        <v>5111</v>
      </c>
      <c r="C547" s="686">
        <f>Data!AS155</f>
        <v>867.36</v>
      </c>
      <c r="D547" s="669" t="s">
        <v>2283</v>
      </c>
      <c r="E547" s="678">
        <v>210.5</v>
      </c>
      <c r="F547" s="670">
        <f t="shared" si="105"/>
        <v>182579.28</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87082.94</v>
      </c>
      <c r="S547" s="678"/>
      <c r="T547" s="677">
        <f t="shared" si="112"/>
        <v>0</v>
      </c>
      <c r="U547" s="677"/>
      <c r="V547" s="677">
        <f t="shared" si="113"/>
        <v>0</v>
      </c>
      <c r="W547" s="679">
        <f t="shared" si="114"/>
        <v>100.4</v>
      </c>
      <c r="X547" s="677">
        <f t="shared" si="115"/>
        <v>87082.94</v>
      </c>
      <c r="Y547" s="680">
        <v>310.89999999999998</v>
      </c>
      <c r="Z547" s="675">
        <f t="shared" si="116"/>
        <v>269662.21999999997</v>
      </c>
      <c r="AA547" s="657">
        <f>[3]building!Y539</f>
        <v>310.89999999999998</v>
      </c>
      <c r="AB547" s="657">
        <f>[3]building!Z539</f>
        <v>246316.74</v>
      </c>
      <c r="AC547" s="657">
        <f>[3]building!Z539</f>
        <v>246316.74</v>
      </c>
      <c r="AD547" s="657">
        <f t="shared" si="117"/>
        <v>23345.48</v>
      </c>
    </row>
    <row r="548" spans="1:30" ht="70.5" customHeight="1">
      <c r="A548" s="719"/>
      <c r="B548" s="667" t="s">
        <v>547</v>
      </c>
      <c r="C548" s="686">
        <f>Data!AS156</f>
        <v>884.87</v>
      </c>
      <c r="D548" s="669" t="s">
        <v>2283</v>
      </c>
      <c r="E548" s="678">
        <v>260.8</v>
      </c>
      <c r="F548" s="670">
        <f t="shared" si="105"/>
        <v>230774.1</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230774.1</v>
      </c>
      <c r="AA548" s="657">
        <f>[3]building!Y540</f>
        <v>260.8</v>
      </c>
      <c r="AB548" s="657">
        <f>[3]building!Z540</f>
        <v>210389.97</v>
      </c>
      <c r="AC548" s="657">
        <f>[3]building!Z540</f>
        <v>210389.97</v>
      </c>
      <c r="AD548" s="657">
        <f t="shared" si="117"/>
        <v>20384.13</v>
      </c>
    </row>
    <row r="549" spans="1:30" s="685" customFormat="1" ht="70.5" customHeight="1">
      <c r="A549" s="729"/>
      <c r="B549" s="667" t="s">
        <v>1806</v>
      </c>
      <c r="C549" s="686">
        <f>Data!AS157</f>
        <v>902.38</v>
      </c>
      <c r="D549" s="669" t="s">
        <v>2283</v>
      </c>
      <c r="E549" s="678">
        <v>260.8</v>
      </c>
      <c r="F549" s="670">
        <f t="shared" si="105"/>
        <v>235340.7</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235340.7</v>
      </c>
      <c r="AA549" s="657">
        <f>[3]building!Y541</f>
        <v>260.8</v>
      </c>
      <c r="AB549" s="657">
        <f>[3]building!Z541</f>
        <v>214155.92</v>
      </c>
      <c r="AC549" s="657">
        <f>[3]building!Z541</f>
        <v>214155.92</v>
      </c>
      <c r="AD549" s="657">
        <f t="shared" si="117"/>
        <v>21184.78</v>
      </c>
    </row>
    <row r="550" spans="1:30" ht="70.5" customHeight="1">
      <c r="A550" s="719"/>
      <c r="B550" s="667" t="s">
        <v>2215</v>
      </c>
      <c r="C550" s="686">
        <f>Data!AS158</f>
        <v>919.89</v>
      </c>
      <c r="D550" s="669" t="s">
        <v>2283</v>
      </c>
      <c r="E550" s="678">
        <v>314.10000000000002</v>
      </c>
      <c r="F550" s="670">
        <f t="shared" si="105"/>
        <v>288937.45</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288937.45</v>
      </c>
      <c r="AA550" s="657">
        <f>[3]building!Y542</f>
        <v>314.10000000000002</v>
      </c>
      <c r="AB550" s="657">
        <f>[3]building!Z542</f>
        <v>262458.82</v>
      </c>
      <c r="AC550" s="657">
        <f>[3]building!Z542</f>
        <v>262458.82</v>
      </c>
      <c r="AD550" s="657">
        <f t="shared" si="117"/>
        <v>26478.63</v>
      </c>
    </row>
    <row r="551" spans="1:30" ht="70.5" customHeight="1">
      <c r="A551" s="719"/>
      <c r="B551" s="667" t="s">
        <v>1064</v>
      </c>
      <c r="C551" s="686">
        <f>Data!AS159</f>
        <v>937.4</v>
      </c>
      <c r="D551" s="669" t="s">
        <v>2283</v>
      </c>
      <c r="E551" s="678">
        <v>314.10000000000002</v>
      </c>
      <c r="F551" s="670">
        <f t="shared" si="105"/>
        <v>294437.34000000003</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294437.34000000003</v>
      </c>
      <c r="AA551" s="657">
        <f>[3]building!Y543</f>
        <v>314.10000000000002</v>
      </c>
      <c r="AB551" s="657">
        <f>[3]building!Z543</f>
        <v>266994.42</v>
      </c>
      <c r="AC551" s="657">
        <f>[3]building!Z543</f>
        <v>266994.42</v>
      </c>
      <c r="AD551" s="657">
        <f t="shared" si="117"/>
        <v>27442.92</v>
      </c>
    </row>
    <row r="552" spans="1:30" ht="70.5" customHeight="1">
      <c r="A552" s="719"/>
      <c r="B552" s="667" t="s">
        <v>3557</v>
      </c>
      <c r="C552" s="686">
        <f>Data!AS160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6228</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Data!AS187</f>
        <v>588.28</v>
      </c>
      <c r="D554" s="669" t="s">
        <v>2283</v>
      </c>
      <c r="E554" s="678">
        <v>33.5</v>
      </c>
      <c r="F554" s="670">
        <f t="shared" si="105"/>
        <v>19707.38</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19707.38</v>
      </c>
      <c r="AA554" s="657">
        <f>[3]building!Y546</f>
        <v>33.5</v>
      </c>
      <c r="AB554" s="657">
        <f>[3]building!Z546</f>
        <v>17920.16</v>
      </c>
      <c r="AC554" s="657">
        <f>[3]building!Z546</f>
        <v>17920.16</v>
      </c>
      <c r="AD554" s="657">
        <f t="shared" si="117"/>
        <v>1787.22</v>
      </c>
    </row>
    <row r="555" spans="1:30" ht="70.5" customHeight="1">
      <c r="A555" s="719"/>
      <c r="B555" s="667" t="s">
        <v>203</v>
      </c>
      <c r="C555" s="686">
        <f>Data!AS188</f>
        <v>599.41999999999996</v>
      </c>
      <c r="D555" s="669" t="s">
        <v>2283</v>
      </c>
      <c r="E555" s="678">
        <v>10.5</v>
      </c>
      <c r="F555" s="670">
        <f t="shared" si="105"/>
        <v>6293.91</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6293.91</v>
      </c>
      <c r="AA555" s="657">
        <f>[3]building!Y547</f>
        <v>10.5</v>
      </c>
      <c r="AB555" s="657">
        <f>[3]building!Z547</f>
        <v>5713.26</v>
      </c>
      <c r="AC555" s="657">
        <f>[3]building!Z547</f>
        <v>5713.26</v>
      </c>
      <c r="AD555" s="657">
        <f t="shared" si="117"/>
        <v>580.65</v>
      </c>
    </row>
    <row r="556" spans="1:30" ht="70.5" customHeight="1">
      <c r="A556" s="719"/>
      <c r="B556" s="667" t="s">
        <v>204</v>
      </c>
      <c r="C556" s="686">
        <f>Data!AS189</f>
        <v>610.55999999999995</v>
      </c>
      <c r="D556" s="669" t="s">
        <v>2283</v>
      </c>
      <c r="E556" s="678">
        <v>10.5</v>
      </c>
      <c r="F556" s="670">
        <f t="shared" si="105"/>
        <v>6410.88</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6410.88</v>
      </c>
      <c r="AA556" s="657">
        <f>[3]building!Y548</f>
        <v>10.5</v>
      </c>
      <c r="AB556" s="657">
        <f>[3]building!Z548</f>
        <v>5809.76</v>
      </c>
      <c r="AC556" s="657">
        <f>[3]building!Z548</f>
        <v>5809.76</v>
      </c>
      <c r="AD556" s="657">
        <f t="shared" si="117"/>
        <v>601.12</v>
      </c>
    </row>
    <row r="557" spans="1:30" ht="70.5" customHeight="1">
      <c r="A557" s="719"/>
      <c r="B557" s="667" t="s">
        <v>205</v>
      </c>
      <c r="C557" s="686">
        <f>Data!AS190</f>
        <v>621.70000000000005</v>
      </c>
      <c r="D557" s="669" t="s">
        <v>2283</v>
      </c>
      <c r="E557" s="678">
        <v>10.5</v>
      </c>
      <c r="F557" s="670">
        <f t="shared" si="105"/>
        <v>6527.85</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6527.85</v>
      </c>
      <c r="AA557" s="657">
        <f>[3]building!Y549</f>
        <v>10.5</v>
      </c>
      <c r="AB557" s="657">
        <f>[3]building!Z549</f>
        <v>5906.25</v>
      </c>
      <c r="AC557" s="657">
        <f>[3]building!Z549</f>
        <v>5906.25</v>
      </c>
      <c r="AD557" s="657">
        <f t="shared" si="117"/>
        <v>621.6</v>
      </c>
    </row>
    <row r="558" spans="1:30" ht="70.5" customHeight="1">
      <c r="A558" s="719"/>
      <c r="B558" s="667" t="s">
        <v>606</v>
      </c>
      <c r="C558" s="686">
        <f>Data!AS191</f>
        <v>632.84</v>
      </c>
      <c r="D558" s="669" t="s">
        <v>2283</v>
      </c>
      <c r="E558" s="678">
        <v>10.5</v>
      </c>
      <c r="F558" s="670">
        <f t="shared" si="105"/>
        <v>6644.82</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6644.82</v>
      </c>
      <c r="AA558" s="657">
        <f>[3]building!Y550</f>
        <v>10.5</v>
      </c>
      <c r="AB558" s="657">
        <f>[3]building!Z550</f>
        <v>6002.75</v>
      </c>
      <c r="AC558" s="657">
        <f>[3]building!Z550</f>
        <v>6002.75</v>
      </c>
      <c r="AD558" s="657">
        <f t="shared" si="117"/>
        <v>642.07000000000005</v>
      </c>
    </row>
    <row r="559" spans="1:30" ht="70.5" customHeight="1">
      <c r="A559" s="719"/>
      <c r="B559" s="667" t="s">
        <v>3800</v>
      </c>
      <c r="C559" s="686">
        <f>Data!K3515</f>
        <v>3459.01</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297.27</v>
      </c>
      <c r="D560" s="669" t="s">
        <v>1197</v>
      </c>
      <c r="E560" s="677">
        <v>278.3</v>
      </c>
      <c r="F560" s="670">
        <f t="shared" si="105"/>
        <v>82730.240000000005</v>
      </c>
      <c r="G560" s="677">
        <v>2.2999999999999998</v>
      </c>
      <c r="H560" s="677">
        <f t="shared" si="106"/>
        <v>683.72</v>
      </c>
      <c r="I560" s="677">
        <v>44.3</v>
      </c>
      <c r="J560" s="677">
        <f t="shared" si="107"/>
        <v>13169.06</v>
      </c>
      <c r="K560" s="677">
        <v>19.399999999999999</v>
      </c>
      <c r="L560" s="677">
        <f t="shared" si="108"/>
        <v>5767.04</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19619.82</v>
      </c>
      <c r="Y560" s="680">
        <v>344.3</v>
      </c>
      <c r="Z560" s="675">
        <f t="shared" si="116"/>
        <v>102350.06</v>
      </c>
      <c r="AA560" s="657">
        <f>[3]building!Y552</f>
        <v>344.3</v>
      </c>
      <c r="AB560" s="657">
        <f>[3]building!Z552</f>
        <v>83351.59</v>
      </c>
      <c r="AC560" s="657">
        <f>[3]building!Z552</f>
        <v>83351.59</v>
      </c>
      <c r="AD560" s="657">
        <f t="shared" si="117"/>
        <v>18998.47</v>
      </c>
    </row>
    <row r="561" spans="1:30" ht="70.5" customHeight="1">
      <c r="A561" s="686"/>
      <c r="B561" s="667" t="s">
        <v>3693</v>
      </c>
      <c r="C561" s="676">
        <f>Data!K1442</f>
        <v>272.94</v>
      </c>
      <c r="D561" s="669" t="s">
        <v>2283</v>
      </c>
      <c r="E561" s="677">
        <v>196.1</v>
      </c>
      <c r="F561" s="670">
        <f t="shared" si="105"/>
        <v>53523.53</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53523.53</v>
      </c>
      <c r="AA561" s="657">
        <f>[3]building!Y553</f>
        <v>196.1</v>
      </c>
      <c r="AB561" s="657">
        <f>[3]building!Z553</f>
        <v>46875.74</v>
      </c>
      <c r="AC561" s="657">
        <f>[3]building!Z553</f>
        <v>46875.74</v>
      </c>
      <c r="AD561" s="657">
        <f t="shared" si="117"/>
        <v>6647.79</v>
      </c>
    </row>
    <row r="562" spans="1:30" s="734" customFormat="1" ht="70.5" customHeight="1">
      <c r="A562" s="733"/>
      <c r="B562" s="667" t="s">
        <v>3691</v>
      </c>
      <c r="C562" s="667">
        <f>Data!R144</f>
        <v>261.64999999999998</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6229</v>
      </c>
      <c r="C563" s="687">
        <f>Data!K368</f>
        <v>6932.46</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6230</v>
      </c>
      <c r="C564" s="686">
        <f>Data!K369</f>
        <v>7091.66</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6231</v>
      </c>
      <c r="C565" s="687">
        <f>Data!$K$370</f>
        <v>7250.86</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6232</v>
      </c>
      <c r="C566" s="687">
        <f>Data!K371</f>
        <v>7410.06</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6233</v>
      </c>
      <c r="C567" s="686">
        <f>Data!X88</f>
        <v>161.1</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6234</v>
      </c>
      <c r="C568" s="686">
        <f>Data!X118</f>
        <v>74.849999999999994</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6235</v>
      </c>
      <c r="C569" s="686">
        <f>Data!X133</f>
        <v>112.28</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7074.74</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7194.59</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7430.69</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7666.79</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687.64</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691.68</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695.73</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3202.71</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4006.96</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2460.52</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3202.71</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758.53</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5605.48</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4902.04</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5228.2</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848.08</v>
      </c>
      <c r="D594" s="669" t="s">
        <v>2283</v>
      </c>
      <c r="E594" s="677">
        <v>436.4</v>
      </c>
      <c r="F594" s="670">
        <f t="shared" si="118"/>
        <v>370102.11</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38842.06</v>
      </c>
      <c r="S594" s="678"/>
      <c r="T594" s="677">
        <f t="shared" si="125"/>
        <v>0</v>
      </c>
      <c r="U594" s="677"/>
      <c r="V594" s="677">
        <f t="shared" si="126"/>
        <v>0</v>
      </c>
      <c r="W594" s="679">
        <f t="shared" si="127"/>
        <v>45.8</v>
      </c>
      <c r="X594" s="677">
        <f t="shared" si="128"/>
        <v>38842.06</v>
      </c>
      <c r="Y594" s="680">
        <v>482.2</v>
      </c>
      <c r="Z594" s="675">
        <f t="shared" si="129"/>
        <v>408944.18</v>
      </c>
      <c r="AA594" s="657">
        <f>[3]building!Y586</f>
        <v>482.2</v>
      </c>
      <c r="AB594" s="657">
        <f>[3]building!Z586</f>
        <v>348543.8</v>
      </c>
      <c r="AC594" s="657">
        <f>[3]building!Z586</f>
        <v>348543.8</v>
      </c>
      <c r="AD594" s="657">
        <f t="shared" si="130"/>
        <v>60400.38</v>
      </c>
    </row>
    <row r="595" spans="1:31" ht="70.5" customHeight="1">
      <c r="A595" s="666"/>
      <c r="B595" s="667" t="s">
        <v>1075</v>
      </c>
      <c r="C595" s="676">
        <f>ROUND(Data!I2356,2)</f>
        <v>946.62</v>
      </c>
      <c r="D595" s="669" t="s">
        <v>2283</v>
      </c>
      <c r="E595" s="677">
        <v>3231.1</v>
      </c>
      <c r="F595" s="670">
        <f t="shared" si="118"/>
        <v>3058623.88</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3058623.88</v>
      </c>
      <c r="AA595" s="657">
        <f>[3]building!Y587</f>
        <v>3231.1</v>
      </c>
      <c r="AB595" s="657">
        <f>[3]building!Z587</f>
        <v>2629921.5299999998</v>
      </c>
      <c r="AC595" s="657">
        <f>[3]building!Z587</f>
        <v>2629921.5299999998</v>
      </c>
      <c r="AD595" s="657">
        <f t="shared" si="130"/>
        <v>428702.35</v>
      </c>
    </row>
    <row r="596" spans="1:31" ht="70.5" customHeight="1">
      <c r="A596" s="667"/>
      <c r="B596" s="667" t="s">
        <v>1655</v>
      </c>
      <c r="C596" s="676">
        <f>ROUND(Data!I2358,2)</f>
        <v>1135.94</v>
      </c>
      <c r="D596" s="669" t="s">
        <v>2283</v>
      </c>
      <c r="E596" s="677">
        <v>1260.3</v>
      </c>
      <c r="F596" s="670">
        <f t="shared" si="118"/>
        <v>1431625.18</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106210.39</v>
      </c>
      <c r="S596" s="678"/>
      <c r="T596" s="677">
        <f t="shared" si="125"/>
        <v>0</v>
      </c>
      <c r="U596" s="677"/>
      <c r="V596" s="677">
        <f t="shared" si="126"/>
        <v>0</v>
      </c>
      <c r="W596" s="679">
        <f t="shared" si="127"/>
        <v>93.5</v>
      </c>
      <c r="X596" s="677">
        <f t="shared" si="128"/>
        <v>106210.39</v>
      </c>
      <c r="Y596" s="680">
        <v>1353.8</v>
      </c>
      <c r="Z596" s="675">
        <f t="shared" si="129"/>
        <v>1537835.57</v>
      </c>
      <c r="AA596" s="657">
        <f>[3]building!Y588</f>
        <v>1353.8</v>
      </c>
      <c r="AB596" s="657">
        <f>[3]building!Z588</f>
        <v>1322297.07</v>
      </c>
      <c r="AC596" s="657">
        <f>[3]building!Z588</f>
        <v>1322297.07</v>
      </c>
      <c r="AD596" s="657">
        <f t="shared" si="130"/>
        <v>215538.5</v>
      </c>
    </row>
    <row r="597" spans="1:31" ht="70.5" customHeight="1">
      <c r="A597" s="686"/>
      <c r="B597" s="667" t="s">
        <v>3991</v>
      </c>
      <c r="C597" s="686">
        <f>Data!I2360</f>
        <v>1041.28</v>
      </c>
      <c r="D597" s="669" t="s">
        <v>2283</v>
      </c>
      <c r="E597" s="677">
        <v>126</v>
      </c>
      <c r="F597" s="670">
        <f t="shared" si="118"/>
        <v>131201.28</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131201.28</v>
      </c>
      <c r="AA597" s="657">
        <f>[3]building!Y589</f>
        <v>126</v>
      </c>
      <c r="AB597" s="657">
        <f>[3]building!Z589</f>
        <v>112811.58</v>
      </c>
      <c r="AC597" s="657">
        <f>[3]building!Z589</f>
        <v>112811.58</v>
      </c>
      <c r="AD597" s="657">
        <f t="shared" si="130"/>
        <v>18389.7</v>
      </c>
    </row>
    <row r="598" spans="1:31" ht="70.5" customHeight="1">
      <c r="A598" s="698"/>
      <c r="B598" s="667" t="s">
        <v>3804</v>
      </c>
      <c r="C598" s="676">
        <f>C596*2</f>
        <v>2271.88</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1419.93</v>
      </c>
      <c r="D599" s="669" t="s">
        <v>2283</v>
      </c>
      <c r="E599" s="677"/>
      <c r="F599" s="670">
        <f t="shared" si="118"/>
        <v>0</v>
      </c>
      <c r="G599" s="677">
        <v>98.8</v>
      </c>
      <c r="H599" s="677">
        <f t="shared" si="119"/>
        <v>140289.07999999999</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140289.07999999999</v>
      </c>
      <c r="Y599" s="680">
        <v>98.8</v>
      </c>
      <c r="Z599" s="675">
        <f t="shared" si="129"/>
        <v>140289.07999999999</v>
      </c>
      <c r="AA599" s="657">
        <f>[3]building!Y591</f>
        <v>98.8</v>
      </c>
      <c r="AB599" s="657">
        <f>[3]building!Z591</f>
        <v>120625.91</v>
      </c>
      <c r="AC599" s="657">
        <f>[3]building!Z591</f>
        <v>120625.91</v>
      </c>
      <c r="AD599" s="657">
        <f t="shared" si="130"/>
        <v>19663.169999999998</v>
      </c>
    </row>
    <row r="600" spans="1:31" ht="70.5" customHeight="1">
      <c r="A600" s="698"/>
      <c r="B600" s="667" t="s">
        <v>3594</v>
      </c>
      <c r="C600" s="686">
        <f>C595*2</f>
        <v>1893.24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2764.36</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3299.26</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2785.95</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2727.37</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3597.23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3796.08</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2804.85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2189.9299999999998</v>
      </c>
      <c r="D612" s="745" t="s">
        <v>2283</v>
      </c>
      <c r="E612" s="678">
        <v>5.3</v>
      </c>
      <c r="F612" s="670">
        <f t="shared" si="118"/>
        <v>11606.63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11606.63</v>
      </c>
      <c r="AA612" s="657">
        <f>[3]building!Y604</f>
        <v>5.3</v>
      </c>
      <c r="AB612" s="657">
        <f>[3]building!Z604</f>
        <v>11501.21</v>
      </c>
      <c r="AC612" s="657">
        <f>[3]building!Z604</f>
        <v>11501.21</v>
      </c>
      <c r="AD612" s="657">
        <f t="shared" si="130"/>
        <v>105.42</v>
      </c>
    </row>
    <row r="613" spans="1:30" ht="70.5" customHeight="1">
      <c r="A613" s="719"/>
      <c r="B613" s="667" t="s">
        <v>1520</v>
      </c>
      <c r="C613" s="676">
        <f>ROUND(Data!K3114,2)</f>
        <v>4253.0600000000004</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2806.82</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2852.74</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6687.18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5747.88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6050.31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5030.8599999999997</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5046.57</v>
      </c>
      <c r="D624" s="669" t="s">
        <v>2283</v>
      </c>
      <c r="E624" s="677">
        <v>97.2</v>
      </c>
      <c r="F624" s="670">
        <f t="shared" si="118"/>
        <v>490526.6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490526.6</v>
      </c>
      <c r="AA624" s="657">
        <f>[3]building!Y616</f>
        <v>97.2</v>
      </c>
      <c r="AB624" s="657">
        <f>[3]building!Z616</f>
        <v>466570.69</v>
      </c>
      <c r="AC624" s="657">
        <f>[3]building!Z616</f>
        <v>466570.69</v>
      </c>
      <c r="AD624" s="657">
        <f t="shared" si="130"/>
        <v>23955.91</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6236</v>
      </c>
      <c r="C626" s="686">
        <f>Data!K3434</f>
        <v>5266.65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6237</v>
      </c>
      <c r="C627" s="686">
        <f>Data!AG2629</f>
        <v>5871.42</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6238</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6239</v>
      </c>
      <c r="C629" s="686">
        <f>Data!R3203</f>
        <v>6220.61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6240</v>
      </c>
      <c r="C630" s="686">
        <f>Data!K2647</f>
        <v>6538.42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6241</v>
      </c>
      <c r="C631" s="686">
        <f>Data!R2654</f>
        <v>7153.15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6242</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4068.54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835.7</v>
      </c>
      <c r="D640" s="684" t="s">
        <v>2283</v>
      </c>
      <c r="E640" s="678">
        <v>10.3</v>
      </c>
      <c r="F640" s="670">
        <f t="shared" si="118"/>
        <v>8607.7099999999991</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8607.7099999999991</v>
      </c>
      <c r="AA640" s="657">
        <f>[3]building!Y632</f>
        <v>10.3</v>
      </c>
      <c r="AB640" s="657">
        <f>[3]building!Z632</f>
        <v>8770.4500000000007</v>
      </c>
      <c r="AC640" s="657">
        <f>[3]building!Z632</f>
        <v>8770.4500000000007</v>
      </c>
      <c r="AD640" s="657">
        <f t="shared" si="130"/>
        <v>-162.74</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597.89</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602.61</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607.33000000000004</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612.04999999999995</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616.77</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556.1</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560.82000000000005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565.54</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570.26</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574.98</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589.79</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599.23</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599.23</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608.66999999999996</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618.11</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2072.79</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2082.23</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2091.67</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2101.11</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2110.5500000000002</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1373.62</v>
      </c>
      <c r="D665" s="669" t="s">
        <v>2283</v>
      </c>
      <c r="E665" s="677">
        <v>609.79999999999995</v>
      </c>
      <c r="F665" s="670">
        <f t="shared" si="131"/>
        <v>837633.48</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837633.48</v>
      </c>
      <c r="AA665" s="657">
        <f>[3]building!Y657</f>
        <v>609.79999999999995</v>
      </c>
      <c r="AB665" s="657">
        <f>[3]building!Z657</f>
        <v>734937.06</v>
      </c>
      <c r="AC665" s="657">
        <f>[3]building!Z657</f>
        <v>734937.06</v>
      </c>
      <c r="AD665" s="657">
        <f t="shared" si="143"/>
        <v>102696.42</v>
      </c>
      <c r="AG665" s="658">
        <f>43.34+32.51+10.84+3.6</f>
        <v>90.29</v>
      </c>
    </row>
    <row r="666" spans="1:33" ht="70.5" customHeight="1">
      <c r="A666" s="666"/>
      <c r="B666" s="667" t="s">
        <v>2174</v>
      </c>
      <c r="C666" s="686">
        <f>ROUND(Data!K1264,2)</f>
        <v>1204.75</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1204.75</v>
      </c>
      <c r="D667" s="669" t="s">
        <v>2283</v>
      </c>
      <c r="E667" s="677">
        <v>160.5</v>
      </c>
      <c r="F667" s="670">
        <f t="shared" si="131"/>
        <v>193362.38</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193362.38</v>
      </c>
      <c r="AA667" s="657">
        <f>[3]building!Y659</f>
        <v>160.5</v>
      </c>
      <c r="AB667" s="657">
        <f>[3]building!Z659</f>
        <v>170028.89</v>
      </c>
      <c r="AC667" s="657">
        <f>[3]building!Z659</f>
        <v>170028.89</v>
      </c>
      <c r="AD667" s="657">
        <f t="shared" si="143"/>
        <v>23333.49</v>
      </c>
      <c r="AG667" s="658">
        <f>AG665+1685</f>
        <v>1775.29</v>
      </c>
    </row>
    <row r="668" spans="1:33" s="685" customFormat="1" ht="70.5" customHeight="1">
      <c r="A668" s="681">
        <v>38.4</v>
      </c>
      <c r="B668" s="682" t="s">
        <v>1698</v>
      </c>
      <c r="C668" s="683">
        <f>Data!K2725</f>
        <v>130.27000000000001</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163.93</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61.63</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6243</v>
      </c>
      <c r="C671" s="676">
        <f>ROUND(Data!K1582,2)</f>
        <v>90882</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6244</v>
      </c>
      <c r="C672" s="687">
        <f>ROUND(Data!K1608,2)</f>
        <v>88873.5</v>
      </c>
      <c r="D672" s="684" t="s">
        <v>528</v>
      </c>
      <c r="E672" s="697">
        <v>71.319999999999993</v>
      </c>
      <c r="F672" s="670">
        <f t="shared" si="131"/>
        <v>6338458.0199999996</v>
      </c>
      <c r="G672" s="678">
        <v>1.54</v>
      </c>
      <c r="H672" s="677">
        <f t="shared" si="132"/>
        <v>136865.19</v>
      </c>
      <c r="I672" s="678"/>
      <c r="J672" s="677">
        <f t="shared" si="133"/>
        <v>0</v>
      </c>
      <c r="K672" s="678"/>
      <c r="L672" s="677">
        <f t="shared" si="134"/>
        <v>0</v>
      </c>
      <c r="M672" s="678"/>
      <c r="N672" s="677">
        <f t="shared" si="135"/>
        <v>0</v>
      </c>
      <c r="O672" s="678"/>
      <c r="P672" s="677">
        <f t="shared" si="136"/>
        <v>0</v>
      </c>
      <c r="Q672" s="678">
        <v>1.59</v>
      </c>
      <c r="R672" s="677">
        <f t="shared" si="137"/>
        <v>141308.87</v>
      </c>
      <c r="S672" s="678"/>
      <c r="T672" s="677">
        <f t="shared" si="138"/>
        <v>0</v>
      </c>
      <c r="U672" s="677"/>
      <c r="V672" s="677">
        <f t="shared" si="139"/>
        <v>0</v>
      </c>
      <c r="W672" s="679">
        <f t="shared" si="140"/>
        <v>3.13</v>
      </c>
      <c r="X672" s="677">
        <f t="shared" si="141"/>
        <v>278174.06</v>
      </c>
      <c r="Y672" s="680">
        <v>74.45</v>
      </c>
      <c r="Z672" s="675">
        <f t="shared" si="142"/>
        <v>6616632.0800000001</v>
      </c>
      <c r="AA672" s="657">
        <f>[3]building!Y664</f>
        <v>74.45</v>
      </c>
      <c r="AB672" s="657">
        <f>[3]building!Z664</f>
        <v>5294660.6500000004</v>
      </c>
      <c r="AC672" s="657">
        <f>[3]building!Z664</f>
        <v>5294660.6500000004</v>
      </c>
      <c r="AD672" s="657">
        <f t="shared" si="143"/>
        <v>1321971.43</v>
      </c>
    </row>
    <row r="673" spans="1:31" s="685" customFormat="1" ht="70.5" customHeight="1">
      <c r="A673" s="681">
        <v>44.6</v>
      </c>
      <c r="B673" s="682" t="s">
        <v>6245</v>
      </c>
      <c r="C673" s="683">
        <f>ROUND(Data!K1638,2)</f>
        <v>343.11</v>
      </c>
      <c r="D673" s="684" t="s">
        <v>826</v>
      </c>
      <c r="E673" s="678">
        <v>196</v>
      </c>
      <c r="F673" s="670">
        <f t="shared" si="131"/>
        <v>67249.56</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67249.56</v>
      </c>
      <c r="AA673" s="657">
        <f>[3]building!Y665</f>
        <v>196</v>
      </c>
      <c r="AB673" s="657">
        <f>[3]building!Z665</f>
        <v>62026.16</v>
      </c>
      <c r="AC673" s="657">
        <f>[3]building!Z665</f>
        <v>62026.16</v>
      </c>
      <c r="AD673" s="657">
        <f t="shared" si="143"/>
        <v>5223.3999999999996</v>
      </c>
    </row>
    <row r="674" spans="1:31" s="685" customFormat="1" ht="70.5" customHeight="1">
      <c r="A674" s="681">
        <v>50.6</v>
      </c>
      <c r="B674" s="682" t="s">
        <v>1077</v>
      </c>
      <c r="C674" s="683">
        <f>ROUND(Data!K2392,2)</f>
        <v>399.56</v>
      </c>
      <c r="D674" s="684" t="s">
        <v>2283</v>
      </c>
      <c r="E674" s="678"/>
      <c r="F674" s="670">
        <f t="shared" si="131"/>
        <v>0</v>
      </c>
      <c r="G674" s="678"/>
      <c r="H674" s="677">
        <f t="shared" si="132"/>
        <v>0</v>
      </c>
      <c r="I674" s="678">
        <v>78.900000000000006</v>
      </c>
      <c r="J674" s="677">
        <f t="shared" si="133"/>
        <v>31525.279999999999</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31525.279999999999</v>
      </c>
      <c r="Y674" s="680">
        <v>78.900000000000006</v>
      </c>
      <c r="Z674" s="675">
        <f t="shared" si="142"/>
        <v>31525.279999999999</v>
      </c>
      <c r="AA674" s="657">
        <f>[3]building!Y666</f>
        <v>78.900000000000006</v>
      </c>
      <c r="AB674" s="657">
        <f>[3]building!Z666</f>
        <v>28328.26</v>
      </c>
      <c r="AC674" s="657">
        <f>[3]building!Z666</f>
        <v>28328.26</v>
      </c>
      <c r="AD674" s="657">
        <f t="shared" si="143"/>
        <v>3197.02</v>
      </c>
    </row>
    <row r="675" spans="1:31" ht="70.5" customHeight="1">
      <c r="A675" s="666">
        <v>52.4</v>
      </c>
      <c r="B675" s="667" t="s">
        <v>2228</v>
      </c>
      <c r="C675" s="676">
        <f>ROUND(Data!K2767,2)</f>
        <v>231.61</v>
      </c>
      <c r="D675" s="669" t="s">
        <v>826</v>
      </c>
      <c r="E675" s="677">
        <v>427</v>
      </c>
      <c r="F675" s="670">
        <f t="shared" si="131"/>
        <v>98897.47</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98897.47</v>
      </c>
      <c r="AA675" s="657">
        <f>[3]building!Y667</f>
        <v>427</v>
      </c>
      <c r="AB675" s="657">
        <f>[3]building!Z667</f>
        <v>86574.25</v>
      </c>
      <c r="AC675" s="657">
        <f>[3]building!Z667</f>
        <v>86574.25</v>
      </c>
      <c r="AD675" s="657">
        <f t="shared" si="143"/>
        <v>12323.22</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3337.32</v>
      </c>
      <c r="D677" s="669" t="s">
        <v>1398</v>
      </c>
      <c r="E677" s="677">
        <v>42</v>
      </c>
      <c r="F677" s="670">
        <f t="shared" si="131"/>
        <v>140167.44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140167.44</v>
      </c>
      <c r="AA677" s="657">
        <f>[3]building!Y669</f>
        <v>42</v>
      </c>
      <c r="AB677" s="657">
        <f>[3]building!Z669</f>
        <v>128764.44</v>
      </c>
      <c r="AC677" s="657">
        <f>[3]building!Z669</f>
        <v>128764.44</v>
      </c>
      <c r="AD677" s="657">
        <f t="shared" si="143"/>
        <v>11403</v>
      </c>
    </row>
    <row r="678" spans="1:31" ht="70.5" customHeight="1">
      <c r="A678" s="666">
        <v>54.3</v>
      </c>
      <c r="B678" s="667" t="s">
        <v>6246</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3354.47</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5228.5600000000004</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717.55</v>
      </c>
      <c r="D682" s="669" t="s">
        <v>826</v>
      </c>
      <c r="E682" s="677">
        <v>398</v>
      </c>
      <c r="F682" s="670">
        <f t="shared" si="131"/>
        <v>285584.90000000002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285584.90000000002</v>
      </c>
      <c r="AA682" s="657">
        <f>[3]building!Y674</f>
        <v>398</v>
      </c>
      <c r="AB682" s="657">
        <f>[3]building!Z674</f>
        <v>255476.2</v>
      </c>
      <c r="AC682" s="657">
        <f>[3]building!Z674</f>
        <v>255476.2</v>
      </c>
      <c r="AD682" s="657">
        <f t="shared" si="143"/>
        <v>30108.7</v>
      </c>
    </row>
    <row r="683" spans="1:31" ht="70.5" customHeight="1">
      <c r="A683" s="686"/>
      <c r="B683" s="667" t="s">
        <v>36</v>
      </c>
      <c r="C683" s="676">
        <f>ROUND(Data!K2087,2)</f>
        <v>600.25</v>
      </c>
      <c r="D683" s="669" t="s">
        <v>826</v>
      </c>
      <c r="E683" s="677">
        <v>602</v>
      </c>
      <c r="F683" s="670">
        <f t="shared" si="131"/>
        <v>361350.5</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361350.5</v>
      </c>
      <c r="AA683" s="657">
        <f>[3]building!Y675</f>
        <v>602</v>
      </c>
      <c r="AB683" s="657">
        <f>[3]building!Z675</f>
        <v>318518.2</v>
      </c>
      <c r="AC683" s="657">
        <f>[3]building!Z675</f>
        <v>318518.2</v>
      </c>
      <c r="AD683" s="657">
        <f t="shared" si="143"/>
        <v>42832.3</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6247</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6248</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6249</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6250</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6251</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6252</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2057.2800000000002</v>
      </c>
      <c r="D708" s="756" t="s">
        <v>1398</v>
      </c>
      <c r="E708" s="677">
        <v>10</v>
      </c>
      <c r="F708" s="670">
        <f t="shared" si="131"/>
        <v>20572.8</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20572.8</v>
      </c>
      <c r="AA708" s="657">
        <f>[3]building!Y700</f>
        <v>10</v>
      </c>
      <c r="AB708" s="657">
        <f>[3]building!Z700</f>
        <v>17911.8</v>
      </c>
      <c r="AC708" s="657">
        <f>[3]building!Z700</f>
        <v>17911.8</v>
      </c>
      <c r="AD708" s="657">
        <f t="shared" si="143"/>
        <v>2661</v>
      </c>
    </row>
    <row r="709" spans="1:30" ht="70.5" customHeight="1">
      <c r="A709" s="666"/>
      <c r="B709" s="667" t="s">
        <v>318</v>
      </c>
      <c r="C709" s="676">
        <f>Data!R2357</f>
        <v>488.4</v>
      </c>
      <c r="D709" s="756" t="s">
        <v>826</v>
      </c>
      <c r="E709" s="677">
        <v>40</v>
      </c>
      <c r="F709" s="670">
        <f t="shared" si="131"/>
        <v>19536</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19536</v>
      </c>
      <c r="AA709" s="657">
        <f>[3]building!Y701</f>
        <v>40</v>
      </c>
      <c r="AB709" s="657">
        <f>[3]building!Z701</f>
        <v>16740.8</v>
      </c>
      <c r="AC709" s="657">
        <f>[3]building!Z701</f>
        <v>16740.8</v>
      </c>
      <c r="AD709" s="657">
        <f t="shared" si="143"/>
        <v>2795.2</v>
      </c>
    </row>
    <row r="710" spans="1:30" ht="70.5" customHeight="1">
      <c r="A710" s="666">
        <v>257.10000000000002</v>
      </c>
      <c r="B710" s="667" t="s">
        <v>1384</v>
      </c>
      <c r="C710" s="686">
        <f>ROUND(Data!K2703,2)</f>
        <v>272.93</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5948</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5949</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304.19</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1753.5</v>
      </c>
      <c r="D716" s="771" t="s">
        <v>1398</v>
      </c>
      <c r="E716" s="678">
        <v>3</v>
      </c>
      <c r="F716" s="670">
        <f t="shared" si="131"/>
        <v>5260.5</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5260.5</v>
      </c>
      <c r="AA716" s="657">
        <f>[3]building!Y708</f>
        <v>3</v>
      </c>
      <c r="AB716" s="657">
        <f>[3]building!Z708</f>
        <v>4469.8500000000004</v>
      </c>
      <c r="AC716" s="657">
        <f>[3]building!Z708</f>
        <v>4469.8500000000004</v>
      </c>
      <c r="AD716" s="657">
        <f t="shared" si="143"/>
        <v>790.65</v>
      </c>
    </row>
    <row r="717" spans="1:30" ht="70.5" customHeight="1">
      <c r="A717" s="718">
        <v>385</v>
      </c>
      <c r="B717" s="667" t="s">
        <v>228</v>
      </c>
      <c r="C717" s="686">
        <f>ROUND(Data!K2690,2)</f>
        <v>829.6</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6253</v>
      </c>
      <c r="C718" s="686">
        <f>ROUND(Data!K2778,2)</f>
        <v>2867.75</v>
      </c>
      <c r="D718" s="765" t="s">
        <v>528</v>
      </c>
      <c r="E718" s="679">
        <v>8.9499999999999993</v>
      </c>
      <c r="F718" s="670">
        <f t="shared" si="131"/>
        <v>25666.36</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1233.1300000000001</v>
      </c>
      <c r="S718" s="678"/>
      <c r="T718" s="677">
        <f t="shared" si="138"/>
        <v>0</v>
      </c>
      <c r="U718" s="677"/>
      <c r="V718" s="677">
        <f t="shared" si="139"/>
        <v>0</v>
      </c>
      <c r="W718" s="679">
        <f t="shared" si="140"/>
        <v>0.43</v>
      </c>
      <c r="X718" s="677">
        <f t="shared" si="141"/>
        <v>1233.1300000000001</v>
      </c>
      <c r="Y718" s="680">
        <v>9.3800000000000008</v>
      </c>
      <c r="Z718" s="675">
        <f t="shared" si="142"/>
        <v>26899.5</v>
      </c>
      <c r="AA718" s="657">
        <f>[3]building!Y710</f>
        <v>9.3800000000000008</v>
      </c>
      <c r="AB718" s="657">
        <f>[3]building!Z710</f>
        <v>24073.77</v>
      </c>
      <c r="AC718" s="657">
        <f>[3]building!Z710</f>
        <v>24073.77</v>
      </c>
      <c r="AD718" s="657">
        <f t="shared" si="143"/>
        <v>2825.73</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231.43</v>
      </c>
      <c r="D725" s="765" t="s">
        <v>2283</v>
      </c>
      <c r="E725" s="677">
        <v>8851.6</v>
      </c>
      <c r="F725" s="670">
        <f t="shared" si="144"/>
        <v>2048525.79</v>
      </c>
      <c r="G725" s="677"/>
      <c r="H725" s="677">
        <f t="shared" si="145"/>
        <v>0</v>
      </c>
      <c r="I725" s="677">
        <v>22.4</v>
      </c>
      <c r="J725" s="677">
        <f t="shared" si="146"/>
        <v>5184.03</v>
      </c>
      <c r="K725" s="677"/>
      <c r="L725" s="677">
        <f t="shared" si="147"/>
        <v>0</v>
      </c>
      <c r="M725" s="677"/>
      <c r="N725" s="677">
        <f t="shared" si="148"/>
        <v>0</v>
      </c>
      <c r="O725" s="677"/>
      <c r="P725" s="677">
        <f t="shared" si="149"/>
        <v>0</v>
      </c>
      <c r="Q725" s="677">
        <v>369.4</v>
      </c>
      <c r="R725" s="677">
        <f t="shared" si="150"/>
        <v>85490.240000000005</v>
      </c>
      <c r="S725" s="678"/>
      <c r="T725" s="677">
        <f t="shared" si="151"/>
        <v>0</v>
      </c>
      <c r="U725" s="677"/>
      <c r="V725" s="677">
        <f t="shared" si="152"/>
        <v>0</v>
      </c>
      <c r="W725" s="679">
        <f t="shared" si="153"/>
        <v>391.8</v>
      </c>
      <c r="X725" s="677">
        <f t="shared" si="154"/>
        <v>90674.27</v>
      </c>
      <c r="Y725" s="680">
        <v>9243.4</v>
      </c>
      <c r="Z725" s="675">
        <f t="shared" si="155"/>
        <v>2139200.06</v>
      </c>
      <c r="AA725" s="657">
        <f>[3]building!Y717</f>
        <v>9243.4</v>
      </c>
      <c r="AB725" s="657">
        <f>[3]building!Z717</f>
        <v>1884174.66</v>
      </c>
      <c r="AC725" s="657">
        <f>[3]building!Z717</f>
        <v>1884174.66</v>
      </c>
      <c r="AD725" s="657">
        <f t="shared" si="156"/>
        <v>255025.4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125.27</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5950</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138.32</v>
      </c>
      <c r="D732" s="771" t="s">
        <v>1398</v>
      </c>
      <c r="E732" s="678">
        <v>42</v>
      </c>
      <c r="F732" s="670">
        <f t="shared" si="144"/>
        <v>5809.44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5809.44</v>
      </c>
      <c r="AA732" s="657">
        <f>[3]building!Y724</f>
        <v>42</v>
      </c>
      <c r="AB732" s="657">
        <f>[3]building!Z724</f>
        <v>4959.3599999999997</v>
      </c>
      <c r="AC732" s="657">
        <f>[3]building!Z724</f>
        <v>4959.3599999999997</v>
      </c>
      <c r="AD732" s="657">
        <f t="shared" si="156"/>
        <v>850.08</v>
      </c>
    </row>
    <row r="733" spans="1:30" ht="70.5" customHeight="1">
      <c r="A733" s="666"/>
      <c r="B733" s="667" t="s">
        <v>6254</v>
      </c>
      <c r="C733" s="686">
        <f>Data!AD1271</f>
        <v>1751.62</v>
      </c>
      <c r="D733" s="756" t="s">
        <v>2283</v>
      </c>
      <c r="E733" s="677">
        <v>79.3</v>
      </c>
      <c r="F733" s="670">
        <f t="shared" si="144"/>
        <v>138903.47</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138903.47</v>
      </c>
      <c r="AA733" s="657">
        <f>[3]building!Y725</f>
        <v>79.3</v>
      </c>
      <c r="AB733" s="657">
        <f>[3]building!Z725</f>
        <v>121662.85</v>
      </c>
      <c r="AC733" s="657">
        <f>[3]building!Z725</f>
        <v>121662.85</v>
      </c>
      <c r="AD733" s="657">
        <f t="shared" si="156"/>
        <v>17240.62</v>
      </c>
    </row>
    <row r="734" spans="1:30" ht="70.5" customHeight="1">
      <c r="A734" s="666"/>
      <c r="B734" s="667" t="s">
        <v>6255</v>
      </c>
      <c r="C734" s="676">
        <f>Data!R2416</f>
        <v>1438.54</v>
      </c>
      <c r="D734" s="756" t="s">
        <v>2283</v>
      </c>
      <c r="E734" s="677">
        <v>345.7</v>
      </c>
      <c r="F734" s="670">
        <f t="shared" si="144"/>
        <v>497303.28</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497303.28</v>
      </c>
      <c r="AA734" s="657">
        <f>[3]building!Y726</f>
        <v>345.7</v>
      </c>
      <c r="AB734" s="657">
        <f>[3]building!Z726</f>
        <v>443737.06</v>
      </c>
      <c r="AC734" s="657">
        <f>[3]building!Z726</f>
        <v>443737.06</v>
      </c>
      <c r="AD734" s="657">
        <f t="shared" si="156"/>
        <v>53566.22</v>
      </c>
    </row>
    <row r="735" spans="1:30" ht="70.5" customHeight="1">
      <c r="A735" s="666"/>
      <c r="B735" s="667" t="s">
        <v>5090</v>
      </c>
      <c r="C735" s="683">
        <f>Data!AD1271</f>
        <v>1751.62</v>
      </c>
      <c r="D735" s="756" t="s">
        <v>2283</v>
      </c>
      <c r="E735" s="678">
        <v>49.8</v>
      </c>
      <c r="F735" s="670">
        <f t="shared" si="144"/>
        <v>87230.68</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87230.68</v>
      </c>
      <c r="AA735" s="657">
        <f>[3]building!Y727</f>
        <v>49.8</v>
      </c>
      <c r="AB735" s="657">
        <f>[3]building!Z727</f>
        <v>78495.259999999995</v>
      </c>
      <c r="AC735" s="657">
        <f>[3]building!Z727</f>
        <v>78495.259999999995</v>
      </c>
      <c r="AD735" s="657">
        <f t="shared" si="156"/>
        <v>8735.42</v>
      </c>
    </row>
    <row r="736" spans="1:30" ht="70.5" customHeight="1">
      <c r="A736" s="666"/>
      <c r="B736" s="667" t="s">
        <v>4951</v>
      </c>
      <c r="C736" s="676">
        <f>Data!K2435</f>
        <v>1473.32</v>
      </c>
      <c r="D736" s="756" t="s">
        <v>233</v>
      </c>
      <c r="E736" s="677">
        <v>50.2</v>
      </c>
      <c r="F736" s="670">
        <f t="shared" si="144"/>
        <v>73960.66</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73960.66</v>
      </c>
      <c r="AA736" s="657">
        <f>[3]building!Y728</f>
        <v>50.2</v>
      </c>
      <c r="AB736" s="657">
        <f>[3]building!Z728</f>
        <v>65752.960000000006</v>
      </c>
      <c r="AC736" s="657">
        <f>[3]building!Z728</f>
        <v>65752.960000000006</v>
      </c>
      <c r="AD736" s="657">
        <f t="shared" si="156"/>
        <v>8207.7000000000007</v>
      </c>
    </row>
    <row r="737" spans="1:30" ht="70.5" customHeight="1">
      <c r="A737" s="666"/>
      <c r="B737" s="773" t="s">
        <v>4973</v>
      </c>
      <c r="C737" s="774">
        <f>Data!R1249</f>
        <v>1484.89</v>
      </c>
      <c r="D737" s="775" t="s">
        <v>2283</v>
      </c>
      <c r="E737" s="776">
        <v>481.9</v>
      </c>
      <c r="F737" s="670">
        <f t="shared" si="144"/>
        <v>715568.49</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715568.49</v>
      </c>
      <c r="AA737" s="657">
        <f>[3]building!Y729</f>
        <v>481.9</v>
      </c>
      <c r="AB737" s="657">
        <f>[3]building!Z729</f>
        <v>634300.88</v>
      </c>
      <c r="AC737" s="657">
        <f>[3]building!Z729</f>
        <v>634300.88</v>
      </c>
      <c r="AD737" s="657">
        <f t="shared" si="156"/>
        <v>81267.61</v>
      </c>
    </row>
    <row r="738" spans="1:30" ht="70.5" customHeight="1">
      <c r="A738" s="666"/>
      <c r="B738" s="777" t="s">
        <v>4974</v>
      </c>
      <c r="C738" s="774">
        <f>Data!R1272</f>
        <v>1248.19</v>
      </c>
      <c r="D738" s="775" t="s">
        <v>2283</v>
      </c>
      <c r="E738" s="776">
        <v>892.5</v>
      </c>
      <c r="F738" s="670">
        <f t="shared" si="144"/>
        <v>1114009.58</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1114009.58</v>
      </c>
      <c r="AA738" s="657">
        <f>[3]building!Y730</f>
        <v>892.5</v>
      </c>
      <c r="AB738" s="657">
        <f>[3]building!Z730</f>
        <v>1174753.1299999999</v>
      </c>
      <c r="AC738" s="657">
        <f>[3]building!Z730</f>
        <v>1174753.1299999999</v>
      </c>
      <c r="AD738" s="657">
        <f t="shared" si="156"/>
        <v>-60743.55</v>
      </c>
    </row>
    <row r="739" spans="1:30" ht="70.5" customHeight="1">
      <c r="A739" s="666" t="s">
        <v>4251</v>
      </c>
      <c r="B739" s="667" t="s">
        <v>3806</v>
      </c>
      <c r="C739" s="676">
        <f>Data!R1230</f>
        <v>1478.12</v>
      </c>
      <c r="D739" s="756" t="s">
        <v>2283</v>
      </c>
      <c r="E739" s="678">
        <v>164.7</v>
      </c>
      <c r="F739" s="670">
        <f t="shared" si="144"/>
        <v>243446.36</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243446.36</v>
      </c>
      <c r="AA739" s="657">
        <f>[3]building!Y731</f>
        <v>164.7</v>
      </c>
      <c r="AB739" s="657">
        <f>[3]building!Z731</f>
        <v>215817.94</v>
      </c>
      <c r="AC739" s="657">
        <f>[3]building!Z731</f>
        <v>215817.94</v>
      </c>
      <c r="AD739" s="657">
        <f t="shared" si="156"/>
        <v>27628.42</v>
      </c>
    </row>
    <row r="740" spans="1:30" ht="70.5" customHeight="1">
      <c r="A740" s="666"/>
      <c r="B740" s="667" t="s">
        <v>4960</v>
      </c>
      <c r="C740" s="683">
        <f>Data!AD1257</f>
        <v>1619.89</v>
      </c>
      <c r="D740" s="756" t="s">
        <v>2283</v>
      </c>
      <c r="E740" s="677">
        <v>15.1</v>
      </c>
      <c r="F740" s="670">
        <f t="shared" si="144"/>
        <v>24460.34</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24460.34</v>
      </c>
      <c r="AA740" s="657">
        <f>[3]building!Y732</f>
        <v>15.1</v>
      </c>
      <c r="AB740" s="657">
        <f>[3]building!Z732</f>
        <v>25129.57</v>
      </c>
      <c r="AC740" s="657">
        <f>[3]building!Z732</f>
        <v>25129.57</v>
      </c>
      <c r="AD740" s="657">
        <f t="shared" si="156"/>
        <v>-669.23</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1365.1</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2949.18</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4504.3599999999997</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6256</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6257</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6258</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6259</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6260</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6261</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6262</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6263</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6264</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6236.68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5580.9</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5573</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4875.91</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4991.1499999999996</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6265</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6266</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6267</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6268</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6269</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5953</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5951</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5952</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3045.27</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3061.39</v>
      </c>
      <c r="D810" s="741" t="s">
        <v>2283</v>
      </c>
      <c r="E810" s="678">
        <v>3.5</v>
      </c>
      <c r="F810" s="670">
        <f t="shared" si="157"/>
        <v>10714.87</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10714.87</v>
      </c>
      <c r="AA810" s="657">
        <f>[3]building!Y802</f>
        <v>3.5</v>
      </c>
      <c r="AB810" s="657">
        <f>[3]building!Z802</f>
        <v>10198.48</v>
      </c>
      <c r="AC810" s="657">
        <f>[3]building!Z802</f>
        <v>10198.48</v>
      </c>
      <c r="AD810" s="657">
        <f t="shared" si="169"/>
        <v>516.39</v>
      </c>
    </row>
    <row r="811" spans="1:30" ht="70.5" customHeight="1">
      <c r="A811" s="666"/>
      <c r="B811" s="802" t="s">
        <v>4392</v>
      </c>
      <c r="C811" s="803">
        <f>Data!X3581</f>
        <v>3087.68</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3161.99</v>
      </c>
      <c r="D812" s="741" t="s">
        <v>2283</v>
      </c>
      <c r="E812" s="678">
        <v>11.5</v>
      </c>
      <c r="F812" s="670">
        <f t="shared" si="157"/>
        <v>36362.89</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36362.89</v>
      </c>
      <c r="AA812" s="657">
        <f>[3]building!Y804</f>
        <v>11.5</v>
      </c>
      <c r="AB812" s="657">
        <f>[3]building!Z804</f>
        <v>34554.050000000003</v>
      </c>
      <c r="AC812" s="657">
        <f>[3]building!Z804</f>
        <v>34554.050000000003</v>
      </c>
      <c r="AD812" s="657">
        <f t="shared" si="169"/>
        <v>1808.84</v>
      </c>
    </row>
    <row r="813" spans="1:30" ht="70.5" customHeight="1">
      <c r="A813" s="666"/>
      <c r="B813" s="802" t="s">
        <v>4393</v>
      </c>
      <c r="C813" s="803">
        <f>Data!K3533</f>
        <v>3295.07</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3319.77</v>
      </c>
      <c r="D814" s="741" t="s">
        <v>2283</v>
      </c>
      <c r="E814" s="678">
        <v>9.1</v>
      </c>
      <c r="F814" s="670">
        <f t="shared" si="157"/>
        <v>30209.91</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30209.91</v>
      </c>
      <c r="AA814" s="657">
        <f>[3]building!Y806</f>
        <v>9.1</v>
      </c>
      <c r="AB814" s="657">
        <f>[3]building!Z806</f>
        <v>25395.1</v>
      </c>
      <c r="AC814" s="657">
        <f>[3]building!Z806</f>
        <v>25395.1</v>
      </c>
      <c r="AD814" s="657">
        <f t="shared" si="169"/>
        <v>4814.8100000000004</v>
      </c>
    </row>
    <row r="815" spans="1:30" ht="70.5" customHeight="1">
      <c r="A815" s="666"/>
      <c r="B815" s="802" t="s">
        <v>4394</v>
      </c>
      <c r="C815" s="803">
        <f>Data!K3549</f>
        <v>3012.54</v>
      </c>
      <c r="D815" s="741" t="s">
        <v>2283</v>
      </c>
      <c r="E815" s="678">
        <v>9.1</v>
      </c>
      <c r="F815" s="670">
        <f t="shared" si="157"/>
        <v>27414.11</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27414.11</v>
      </c>
      <c r="AA815" s="657">
        <f>[3]building!Y807</f>
        <v>9.1</v>
      </c>
      <c r="AB815" s="657">
        <f>[3]building!Z807</f>
        <v>26220.38</v>
      </c>
      <c r="AC815" s="657">
        <f>[3]building!Z807</f>
        <v>26220.38</v>
      </c>
      <c r="AD815" s="657">
        <f t="shared" si="169"/>
        <v>1193.73</v>
      </c>
    </row>
    <row r="816" spans="1:30" ht="70.5" customHeight="1">
      <c r="A816" s="666"/>
      <c r="B816" s="802" t="s">
        <v>4395</v>
      </c>
      <c r="C816" s="803">
        <f>Data!X3549</f>
        <v>2985.21</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Data!AG3549</f>
        <v>3079.64</v>
      </c>
      <c r="D817" s="741" t="s">
        <v>2283</v>
      </c>
      <c r="E817" s="677">
        <v>8.3000000000000007</v>
      </c>
      <c r="F817" s="670">
        <f t="shared" si="157"/>
        <v>25561.01</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25561.01</v>
      </c>
      <c r="AA817" s="657">
        <f>[3]building!Y809</f>
        <v>8.3000000000000007</v>
      </c>
      <c r="AB817" s="657">
        <f>[3]building!Z809</f>
        <v>24420.76</v>
      </c>
      <c r="AC817" s="657">
        <f>[3]building!Z809</f>
        <v>24420.76</v>
      </c>
      <c r="AD817" s="657">
        <f t="shared" si="169"/>
        <v>1140.25</v>
      </c>
    </row>
    <row r="818" spans="1:30" ht="70.5" customHeight="1">
      <c r="A818" s="666"/>
      <c r="B818" s="805" t="s">
        <v>5095</v>
      </c>
      <c r="C818" s="803">
        <f>Data!AD3629</f>
        <v>2594.48</v>
      </c>
      <c r="D818" s="741" t="s">
        <v>2283</v>
      </c>
      <c r="E818" s="678">
        <v>70</v>
      </c>
      <c r="F818" s="670">
        <f t="shared" si="157"/>
        <v>181613.6</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181613.6</v>
      </c>
      <c r="AA818" s="657">
        <f>[3]building!Y810</f>
        <v>70</v>
      </c>
      <c r="AB818" s="657">
        <f>[3]building!Z810</f>
        <v>214774</v>
      </c>
      <c r="AC818" s="657">
        <f>[3]building!Z810</f>
        <v>214774</v>
      </c>
      <c r="AD818" s="657">
        <f t="shared" si="169"/>
        <v>-33160.400000000001</v>
      </c>
    </row>
    <row r="819" spans="1:30" ht="70.5" customHeight="1">
      <c r="A819" s="666"/>
      <c r="B819" s="667" t="s">
        <v>3578</v>
      </c>
      <c r="C819" s="676">
        <f>Data!K2353</f>
        <v>32.85</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Data!AD1197</f>
        <v>1958.19</v>
      </c>
      <c r="D821" s="756" t="s">
        <v>2283</v>
      </c>
      <c r="E821" s="677">
        <v>20</v>
      </c>
      <c r="F821" s="670">
        <f t="shared" si="157"/>
        <v>39163.800000000003</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39163.800000000003</v>
      </c>
      <c r="AA821" s="657">
        <f>[3]building!Y813</f>
        <v>20</v>
      </c>
      <c r="AB821" s="657">
        <f>[3]building!Z813</f>
        <v>37979</v>
      </c>
      <c r="AC821" s="657">
        <f>[3]building!Z813</f>
        <v>37979</v>
      </c>
      <c r="AD821" s="657">
        <f t="shared" si="169"/>
        <v>1184.8</v>
      </c>
    </row>
    <row r="822" spans="1:30" ht="70.5" customHeight="1">
      <c r="A822" s="666"/>
      <c r="B822" s="667" t="s">
        <v>1386</v>
      </c>
      <c r="C822" s="676">
        <f>Data!AD1198</f>
        <v>1962.91</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Data!AD1199</f>
        <v>1967.63</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Data!AD1200</f>
        <v>1972.35</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Data!AK1197</f>
        <v>1105.99</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Data!AK1198</f>
        <v>1108.3499999999999</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Data!AK1199</f>
        <v>1110.71</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Data!AK1200</f>
        <v>1112.6600000000001</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5118.3999999999996</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5115.5600000000004</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5115.5600000000004</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5345.47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5680.39</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6431</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6270</v>
      </c>
      <c r="C851" s="809">
        <f>Data!AQ3116</f>
        <v>252</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6271</v>
      </c>
      <c r="C852" s="809">
        <f>Data!AR3116</f>
        <v>241</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982.53</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943.89</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1678.52</v>
      </c>
      <c r="D856" s="669" t="s">
        <v>1842</v>
      </c>
      <c r="E856" s="677">
        <v>338.4</v>
      </c>
      <c r="F856" s="670">
        <f t="shared" si="170"/>
        <v>568011.17000000004</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568011.17000000004</v>
      </c>
      <c r="AA856" s="657">
        <f>[3]building!Y847</f>
        <v>338.4</v>
      </c>
      <c r="AB856" s="657">
        <f>[3]building!Z847</f>
        <v>503065.44</v>
      </c>
      <c r="AC856" s="657">
        <f>[3]building!Z847</f>
        <v>503065.44</v>
      </c>
      <c r="AD856" s="657">
        <f t="shared" si="182"/>
        <v>64945.73</v>
      </c>
    </row>
    <row r="857" spans="1:30" ht="70.5" customHeight="1">
      <c r="A857" s="666"/>
      <c r="B857" s="667" t="s">
        <v>5239</v>
      </c>
      <c r="C857" s="739">
        <f>C856-(Data!X1341/10)</f>
        <v>1451.16</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1647.62</v>
      </c>
      <c r="D858" s="669" t="s">
        <v>1842</v>
      </c>
      <c r="E858" s="677">
        <v>127.6</v>
      </c>
      <c r="F858" s="670">
        <f t="shared" si="170"/>
        <v>210236.31</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210236.31</v>
      </c>
      <c r="AA858" s="657">
        <f>[3]building!Y848</f>
        <v>127.6</v>
      </c>
      <c r="AB858" s="657">
        <f>[3]building!Z848</f>
        <v>189105.75</v>
      </c>
      <c r="AC858" s="657">
        <f>[3]building!Z848</f>
        <v>189105.75</v>
      </c>
      <c r="AD858" s="657">
        <f t="shared" si="182"/>
        <v>21130.560000000001</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480.93</v>
      </c>
      <c r="D861" s="684" t="s">
        <v>826</v>
      </c>
      <c r="E861" s="678">
        <v>64</v>
      </c>
      <c r="F861" s="670">
        <f t="shared" si="170"/>
        <v>30779.52</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30779.52</v>
      </c>
      <c r="AA861" s="657">
        <f>[3]building!Y851</f>
        <v>64</v>
      </c>
      <c r="AB861" s="657">
        <f>[3]building!Z851</f>
        <v>23035.52</v>
      </c>
      <c r="AC861" s="657">
        <f>[3]building!Z851</f>
        <v>23035.52</v>
      </c>
      <c r="AD861" s="657">
        <f t="shared" si="182"/>
        <v>7744</v>
      </c>
    </row>
    <row r="862" spans="1:30" s="685" customFormat="1" ht="70.5" customHeight="1">
      <c r="A862" s="681"/>
      <c r="B862" s="682" t="s">
        <v>3986</v>
      </c>
      <c r="C862" s="811">
        <f>Data!K3697</f>
        <v>805.14</v>
      </c>
      <c r="D862" s="684" t="s">
        <v>826</v>
      </c>
      <c r="E862" s="678">
        <v>64</v>
      </c>
      <c r="F862" s="670">
        <f t="shared" si="170"/>
        <v>51528.959999999999</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51528.959999999999</v>
      </c>
      <c r="AA862" s="657">
        <f>[3]building!Y852</f>
        <v>64</v>
      </c>
      <c r="AB862" s="657">
        <f>[3]building!Z852</f>
        <v>37580.800000000003</v>
      </c>
      <c r="AC862" s="657">
        <f>[3]building!Z852</f>
        <v>37580.800000000003</v>
      </c>
      <c r="AD862" s="657">
        <f t="shared" si="182"/>
        <v>13948.16</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6272</v>
      </c>
      <c r="C869" s="813">
        <f>Data!R1978</f>
        <v>3323.64</v>
      </c>
      <c r="D869" s="684" t="s">
        <v>1398</v>
      </c>
      <c r="E869" s="678">
        <v>1</v>
      </c>
      <c r="F869" s="670">
        <f t="shared" si="170"/>
        <v>3323.64</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3323.64</v>
      </c>
      <c r="AA869" s="657">
        <f>[3]building!Y859</f>
        <v>1</v>
      </c>
      <c r="AB869" s="657">
        <f>[3]building!Z859</f>
        <v>2988.18</v>
      </c>
      <c r="AC869" s="657">
        <f>[3]building!Z859</f>
        <v>2988.18</v>
      </c>
      <c r="AD869" s="657">
        <f t="shared" si="182"/>
        <v>335.46</v>
      </c>
    </row>
    <row r="870" spans="1:30" s="685" customFormat="1" ht="70.5" customHeight="1">
      <c r="A870" s="681"/>
      <c r="B870" s="682" t="s">
        <v>6273</v>
      </c>
      <c r="C870" s="813">
        <f>Data!R1999</f>
        <v>5198.1000000000004</v>
      </c>
      <c r="D870" s="684" t="s">
        <v>1398</v>
      </c>
      <c r="E870" s="678">
        <v>2</v>
      </c>
      <c r="F870" s="670">
        <f t="shared" si="170"/>
        <v>10396.200000000001</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10396.200000000001</v>
      </c>
      <c r="AA870" s="657">
        <f>[3]building!Y860</f>
        <v>2</v>
      </c>
      <c r="AB870" s="657">
        <f>[3]building!Z860</f>
        <v>9407.16</v>
      </c>
      <c r="AC870" s="657">
        <f>[3]building!Z860</f>
        <v>9407.16</v>
      </c>
      <c r="AD870" s="657">
        <f t="shared" si="182"/>
        <v>989.04</v>
      </c>
    </row>
    <row r="871" spans="1:30" s="685" customFormat="1" ht="70.5" customHeight="1">
      <c r="A871" s="681"/>
      <c r="B871" s="682" t="s">
        <v>6274</v>
      </c>
      <c r="C871" s="811">
        <f>Data!R2018</f>
        <v>7084.3</v>
      </c>
      <c r="D871" s="684" t="s">
        <v>1398</v>
      </c>
      <c r="E871" s="678">
        <v>37</v>
      </c>
      <c r="F871" s="670">
        <f t="shared" si="170"/>
        <v>262119.1</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262119.1</v>
      </c>
      <c r="AA871" s="657">
        <f>[3]building!Y861</f>
        <v>37</v>
      </c>
      <c r="AB871" s="657">
        <f>[3]building!Z861</f>
        <v>237179.25</v>
      </c>
      <c r="AC871" s="657">
        <f>[3]building!Z861</f>
        <v>237179.25</v>
      </c>
      <c r="AD871" s="657">
        <f t="shared" si="182"/>
        <v>24939.85</v>
      </c>
    </row>
    <row r="872" spans="1:30" s="685" customFormat="1" ht="70.5" customHeight="1">
      <c r="A872" s="681"/>
      <c r="B872" s="682" t="s">
        <v>6275</v>
      </c>
      <c r="C872" s="811">
        <f>Data!R2037</f>
        <v>7478.3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3446.86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6276</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6277</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6278</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6279</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6280</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6281</v>
      </c>
      <c r="C889" s="739">
        <f>Data!R1609</f>
        <v>89024.3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6282</v>
      </c>
      <c r="C890" s="739">
        <f>Data!R1640</f>
        <v>347.53</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36.64</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9086.7199999999993</v>
      </c>
      <c r="S891" s="678"/>
      <c r="T891" s="677">
        <f t="shared" si="177"/>
        <v>0</v>
      </c>
      <c r="U891" s="677"/>
      <c r="V891" s="677">
        <f t="shared" si="178"/>
        <v>0</v>
      </c>
      <c r="W891" s="679">
        <f t="shared" si="179"/>
        <v>248</v>
      </c>
      <c r="X891" s="677">
        <f t="shared" si="180"/>
        <v>9086.7199999999993</v>
      </c>
      <c r="Y891" s="680">
        <v>248</v>
      </c>
      <c r="Z891" s="675">
        <f t="shared" si="184"/>
        <v>9086.7199999999993</v>
      </c>
      <c r="AA891" s="657">
        <f>[3]building!Y881</f>
        <v>248</v>
      </c>
      <c r="AB891" s="657">
        <f>[3]building!Z881</f>
        <v>8094.72</v>
      </c>
      <c r="AC891" s="657">
        <f>[3]building!Z881</f>
        <v>8094.72</v>
      </c>
      <c r="AD891" s="657">
        <f t="shared" si="182"/>
        <v>992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252.01</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234.4</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231.61</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370.07</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Data!AF3115</f>
        <v>488</v>
      </c>
      <c r="D897" s="762" t="s">
        <v>1398</v>
      </c>
      <c r="E897" s="678">
        <v>87</v>
      </c>
      <c r="F897" s="670">
        <f t="shared" si="170"/>
        <v>42456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42456</v>
      </c>
      <c r="AA897" s="657">
        <f>[3]building!Y887</f>
        <v>87</v>
      </c>
      <c r="AB897" s="657">
        <f>[3]building!Z887</f>
        <v>40368</v>
      </c>
      <c r="AC897" s="657">
        <f>[3]building!Z887</f>
        <v>40368</v>
      </c>
      <c r="AD897" s="657">
        <f t="shared" si="182"/>
        <v>2088</v>
      </c>
    </row>
    <row r="898" spans="1:30" s="685" customFormat="1" ht="70.5" customHeight="1">
      <c r="A898" s="681"/>
      <c r="B898" s="758" t="s">
        <v>3629</v>
      </c>
      <c r="C898" s="811">
        <f>Data!AH3115</f>
        <v>440</v>
      </c>
      <c r="D898" s="762" t="s">
        <v>1398</v>
      </c>
      <c r="E898" s="678">
        <v>40</v>
      </c>
      <c r="F898" s="670">
        <f t="shared" si="170"/>
        <v>17600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17600</v>
      </c>
      <c r="AA898" s="657">
        <f>[3]building!Y888</f>
        <v>40</v>
      </c>
      <c r="AB898" s="657">
        <f>[3]building!Z888</f>
        <v>16640</v>
      </c>
      <c r="AC898" s="657">
        <f>[3]building!Z888</f>
        <v>16640</v>
      </c>
      <c r="AD898" s="657">
        <f t="shared" si="182"/>
        <v>960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Data!AD1229</f>
        <v>2288.89</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4981.4799999999996</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2454.31</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2460.52</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1265.8800000000001</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1024.67</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812</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6283</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6429</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6284</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6285</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6286</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6120.22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7903.15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1365.1</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1658.02</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2793.14</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3350.09</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2754.97</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2815.74</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6287</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6288</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5957</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95.19</v>
      </c>
      <c r="D941" s="669" t="s">
        <v>2283</v>
      </c>
      <c r="E941" s="678">
        <v>10790</v>
      </c>
      <c r="F941" s="670">
        <f t="shared" si="186"/>
        <v>1027100.1</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1027100.1</v>
      </c>
      <c r="AA941" s="657">
        <f>[3]building!Y931</f>
        <v>10790</v>
      </c>
      <c r="AB941" s="657">
        <f>[3]building!Z931</f>
        <v>876148</v>
      </c>
      <c r="AC941" s="657">
        <f>[3]building!Z931</f>
        <v>876148</v>
      </c>
      <c r="AD941" s="657">
        <f t="shared" si="185"/>
        <v>150952.1</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6289</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6290</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6291</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6292</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6293</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6294</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6295</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6296</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6297</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6298</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6299</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6300</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6301</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6302</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6303</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6304</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6305</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6306</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6307</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6308</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6309</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6310</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6311</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6312</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6313</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6314</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6315</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6316</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6317</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6318</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6319</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6320</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6321</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6322</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6323</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6324</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6325</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6326</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6327</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6328</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6329</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1473.32</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1478.12</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1248.19</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1647.62</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Data!AD1257</f>
        <v>1619.89</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272.94</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7153.15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5284.06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6427.34</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6330</v>
      </c>
      <c r="C1439" s="932">
        <f>Data!R3339</f>
        <v>5240.6000000000004</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6331</v>
      </c>
      <c r="C1440" s="932">
        <f>Data!R3452</f>
        <v>6101.29</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5266.65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5759.98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2806.82</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2727.46</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2971.33</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3103.82</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2912.21</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2189.9299999999998</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123.92</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194.22</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758.53</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1668.89</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6332</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6333</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6334</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6335</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6336</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6337</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6338</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6339</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6340</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6341</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6342</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6343</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6344</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6345</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23.04</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27.24</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6378</v>
      </c>
      <c r="C1503" s="932">
        <f>Data!R398</f>
        <v>33.549999999999997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4.2</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9.1</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9.85</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70.89</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135.6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6387</v>
      </c>
      <c r="C1509" s="932">
        <f>Data!K3202</f>
        <v>90.43</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6427</v>
      </c>
      <c r="C1510" s="932">
        <f>Data!K3247</f>
        <v>139.97999999999999</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6386</v>
      </c>
      <c r="C1511" s="932">
        <f>Data!K3216</f>
        <v>97.76</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6430</v>
      </c>
      <c r="C1512" s="932">
        <f>Data!K3231</f>
        <v>159.19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90.37</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6379</v>
      </c>
      <c r="C1514" s="932">
        <f>Data!K3358</f>
        <v>165.57</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83.8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S2:T2"/>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9.xml><?xml version="1.0" encoding="utf-8"?>
<worksheet xmlns="http://schemas.openxmlformats.org/spreadsheetml/2006/main" xmlns:r="http://schemas.openxmlformats.org/officeDocument/2006/relationships">
  <sheetPr>
    <tabColor rgb="FF00B050"/>
  </sheetPr>
  <dimension ref="A1:F88"/>
  <sheetViews>
    <sheetView tabSelected="1" view="pageBreakPreview" topLeftCell="A78" zoomScaleSheetLayoutView="100" workbookViewId="0">
      <selection activeCell="B81" sqref="B81:D81"/>
    </sheetView>
  </sheetViews>
  <sheetFormatPr defaultRowHeight="26.25" customHeight="1"/>
  <cols>
    <col min="1" max="1" width="7.21875" style="1114" customWidth="1"/>
    <col min="2" max="2" width="10.44140625" style="1100" customWidth="1"/>
    <col min="3" max="3" width="31.77734375" style="1118" customWidth="1"/>
    <col min="4" max="4" width="11.6640625" style="1100" customWidth="1"/>
    <col min="5" max="5" width="9.21875" style="1100" customWidth="1"/>
    <col min="6" max="6" width="15.33203125" style="1100" customWidth="1"/>
    <col min="7" max="256" width="8.88671875" style="1100"/>
    <col min="257" max="257" width="7.21875" style="1100" customWidth="1"/>
    <col min="258" max="258" width="10" style="1100" customWidth="1"/>
    <col min="259" max="259" width="31.21875" style="1100" customWidth="1"/>
    <col min="260" max="260" width="10.6640625" style="1100" customWidth="1"/>
    <col min="261" max="261" width="7.44140625" style="1100" customWidth="1"/>
    <col min="262" max="262" width="14.88671875" style="1100" customWidth="1"/>
    <col min="263" max="512" width="8.88671875" style="1100"/>
    <col min="513" max="513" width="7.21875" style="1100" customWidth="1"/>
    <col min="514" max="514" width="10" style="1100" customWidth="1"/>
    <col min="515" max="515" width="31.21875" style="1100" customWidth="1"/>
    <col min="516" max="516" width="10.6640625" style="1100" customWidth="1"/>
    <col min="517" max="517" width="7.44140625" style="1100" customWidth="1"/>
    <col min="518" max="518" width="14.88671875" style="1100" customWidth="1"/>
    <col min="519" max="768" width="8.88671875" style="1100"/>
    <col min="769" max="769" width="7.21875" style="1100" customWidth="1"/>
    <col min="770" max="770" width="10" style="1100" customWidth="1"/>
    <col min="771" max="771" width="31.21875" style="1100" customWidth="1"/>
    <col min="772" max="772" width="10.6640625" style="1100" customWidth="1"/>
    <col min="773" max="773" width="7.44140625" style="1100" customWidth="1"/>
    <col min="774" max="774" width="14.88671875" style="1100" customWidth="1"/>
    <col min="775" max="1024" width="8.88671875" style="1100"/>
    <col min="1025" max="1025" width="7.21875" style="1100" customWidth="1"/>
    <col min="1026" max="1026" width="10" style="1100" customWidth="1"/>
    <col min="1027" max="1027" width="31.21875" style="1100" customWidth="1"/>
    <col min="1028" max="1028" width="10.6640625" style="1100" customWidth="1"/>
    <col min="1029" max="1029" width="7.44140625" style="1100" customWidth="1"/>
    <col min="1030" max="1030" width="14.88671875" style="1100" customWidth="1"/>
    <col min="1031" max="1280" width="8.88671875" style="1100"/>
    <col min="1281" max="1281" width="7.21875" style="1100" customWidth="1"/>
    <col min="1282" max="1282" width="10" style="1100" customWidth="1"/>
    <col min="1283" max="1283" width="31.21875" style="1100" customWidth="1"/>
    <col min="1284" max="1284" width="10.6640625" style="1100" customWidth="1"/>
    <col min="1285" max="1285" width="7.44140625" style="1100" customWidth="1"/>
    <col min="1286" max="1286" width="14.88671875" style="1100" customWidth="1"/>
    <col min="1287" max="1536" width="8.88671875" style="1100"/>
    <col min="1537" max="1537" width="7.21875" style="1100" customWidth="1"/>
    <col min="1538" max="1538" width="10" style="1100" customWidth="1"/>
    <col min="1539" max="1539" width="31.21875" style="1100" customWidth="1"/>
    <col min="1540" max="1540" width="10.6640625" style="1100" customWidth="1"/>
    <col min="1541" max="1541" width="7.44140625" style="1100" customWidth="1"/>
    <col min="1542" max="1542" width="14.88671875" style="1100" customWidth="1"/>
    <col min="1543" max="1792" width="8.88671875" style="1100"/>
    <col min="1793" max="1793" width="7.21875" style="1100" customWidth="1"/>
    <col min="1794" max="1794" width="10" style="1100" customWidth="1"/>
    <col min="1795" max="1795" width="31.21875" style="1100" customWidth="1"/>
    <col min="1796" max="1796" width="10.6640625" style="1100" customWidth="1"/>
    <col min="1797" max="1797" width="7.44140625" style="1100" customWidth="1"/>
    <col min="1798" max="1798" width="14.88671875" style="1100" customWidth="1"/>
    <col min="1799" max="2048" width="8.88671875" style="1100"/>
    <col min="2049" max="2049" width="7.21875" style="1100" customWidth="1"/>
    <col min="2050" max="2050" width="10" style="1100" customWidth="1"/>
    <col min="2051" max="2051" width="31.21875" style="1100" customWidth="1"/>
    <col min="2052" max="2052" width="10.6640625" style="1100" customWidth="1"/>
    <col min="2053" max="2053" width="7.44140625" style="1100" customWidth="1"/>
    <col min="2054" max="2054" width="14.88671875" style="1100" customWidth="1"/>
    <col min="2055" max="2304" width="8.88671875" style="1100"/>
    <col min="2305" max="2305" width="7.21875" style="1100" customWidth="1"/>
    <col min="2306" max="2306" width="10" style="1100" customWidth="1"/>
    <col min="2307" max="2307" width="31.21875" style="1100" customWidth="1"/>
    <col min="2308" max="2308" width="10.6640625" style="1100" customWidth="1"/>
    <col min="2309" max="2309" width="7.44140625" style="1100" customWidth="1"/>
    <col min="2310" max="2310" width="14.88671875" style="1100" customWidth="1"/>
    <col min="2311" max="2560" width="8.88671875" style="1100"/>
    <col min="2561" max="2561" width="7.21875" style="1100" customWidth="1"/>
    <col min="2562" max="2562" width="10" style="1100" customWidth="1"/>
    <col min="2563" max="2563" width="31.21875" style="1100" customWidth="1"/>
    <col min="2564" max="2564" width="10.6640625" style="1100" customWidth="1"/>
    <col min="2565" max="2565" width="7.44140625" style="1100" customWidth="1"/>
    <col min="2566" max="2566" width="14.88671875" style="1100" customWidth="1"/>
    <col min="2567" max="2816" width="8.88671875" style="1100"/>
    <col min="2817" max="2817" width="7.21875" style="1100" customWidth="1"/>
    <col min="2818" max="2818" width="10" style="1100" customWidth="1"/>
    <col min="2819" max="2819" width="31.21875" style="1100" customWidth="1"/>
    <col min="2820" max="2820" width="10.6640625" style="1100" customWidth="1"/>
    <col min="2821" max="2821" width="7.44140625" style="1100" customWidth="1"/>
    <col min="2822" max="2822" width="14.88671875" style="1100" customWidth="1"/>
    <col min="2823" max="3072" width="8.88671875" style="1100"/>
    <col min="3073" max="3073" width="7.21875" style="1100" customWidth="1"/>
    <col min="3074" max="3074" width="10" style="1100" customWidth="1"/>
    <col min="3075" max="3075" width="31.21875" style="1100" customWidth="1"/>
    <col min="3076" max="3076" width="10.6640625" style="1100" customWidth="1"/>
    <col min="3077" max="3077" width="7.44140625" style="1100" customWidth="1"/>
    <col min="3078" max="3078" width="14.88671875" style="1100" customWidth="1"/>
    <col min="3079" max="3328" width="8.88671875" style="1100"/>
    <col min="3329" max="3329" width="7.21875" style="1100" customWidth="1"/>
    <col min="3330" max="3330" width="10" style="1100" customWidth="1"/>
    <col min="3331" max="3331" width="31.21875" style="1100" customWidth="1"/>
    <col min="3332" max="3332" width="10.6640625" style="1100" customWidth="1"/>
    <col min="3333" max="3333" width="7.44140625" style="1100" customWidth="1"/>
    <col min="3334" max="3334" width="14.88671875" style="1100" customWidth="1"/>
    <col min="3335" max="3584" width="8.88671875" style="1100"/>
    <col min="3585" max="3585" width="7.21875" style="1100" customWidth="1"/>
    <col min="3586" max="3586" width="10" style="1100" customWidth="1"/>
    <col min="3587" max="3587" width="31.21875" style="1100" customWidth="1"/>
    <col min="3588" max="3588" width="10.6640625" style="1100" customWidth="1"/>
    <col min="3589" max="3589" width="7.44140625" style="1100" customWidth="1"/>
    <col min="3590" max="3590" width="14.88671875" style="1100" customWidth="1"/>
    <col min="3591" max="3840" width="8.88671875" style="1100"/>
    <col min="3841" max="3841" width="7.21875" style="1100" customWidth="1"/>
    <col min="3842" max="3842" width="10" style="1100" customWidth="1"/>
    <col min="3843" max="3843" width="31.21875" style="1100" customWidth="1"/>
    <col min="3844" max="3844" width="10.6640625" style="1100" customWidth="1"/>
    <col min="3845" max="3845" width="7.44140625" style="1100" customWidth="1"/>
    <col min="3846" max="3846" width="14.88671875" style="1100" customWidth="1"/>
    <col min="3847" max="4096" width="8.88671875" style="1100"/>
    <col min="4097" max="4097" width="7.21875" style="1100" customWidth="1"/>
    <col min="4098" max="4098" width="10" style="1100" customWidth="1"/>
    <col min="4099" max="4099" width="31.21875" style="1100" customWidth="1"/>
    <col min="4100" max="4100" width="10.6640625" style="1100" customWidth="1"/>
    <col min="4101" max="4101" width="7.44140625" style="1100" customWidth="1"/>
    <col min="4102" max="4102" width="14.88671875" style="1100" customWidth="1"/>
    <col min="4103" max="4352" width="8.88671875" style="1100"/>
    <col min="4353" max="4353" width="7.21875" style="1100" customWidth="1"/>
    <col min="4354" max="4354" width="10" style="1100" customWidth="1"/>
    <col min="4355" max="4355" width="31.21875" style="1100" customWidth="1"/>
    <col min="4356" max="4356" width="10.6640625" style="1100" customWidth="1"/>
    <col min="4357" max="4357" width="7.44140625" style="1100" customWidth="1"/>
    <col min="4358" max="4358" width="14.88671875" style="1100" customWidth="1"/>
    <col min="4359" max="4608" width="8.88671875" style="1100"/>
    <col min="4609" max="4609" width="7.21875" style="1100" customWidth="1"/>
    <col min="4610" max="4610" width="10" style="1100" customWidth="1"/>
    <col min="4611" max="4611" width="31.21875" style="1100" customWidth="1"/>
    <col min="4612" max="4612" width="10.6640625" style="1100" customWidth="1"/>
    <col min="4613" max="4613" width="7.44140625" style="1100" customWidth="1"/>
    <col min="4614" max="4614" width="14.88671875" style="1100" customWidth="1"/>
    <col min="4615" max="4864" width="8.88671875" style="1100"/>
    <col min="4865" max="4865" width="7.21875" style="1100" customWidth="1"/>
    <col min="4866" max="4866" width="10" style="1100" customWidth="1"/>
    <col min="4867" max="4867" width="31.21875" style="1100" customWidth="1"/>
    <col min="4868" max="4868" width="10.6640625" style="1100" customWidth="1"/>
    <col min="4869" max="4869" width="7.44140625" style="1100" customWidth="1"/>
    <col min="4870" max="4870" width="14.88671875" style="1100" customWidth="1"/>
    <col min="4871" max="5120" width="8.88671875" style="1100"/>
    <col min="5121" max="5121" width="7.21875" style="1100" customWidth="1"/>
    <col min="5122" max="5122" width="10" style="1100" customWidth="1"/>
    <col min="5123" max="5123" width="31.21875" style="1100" customWidth="1"/>
    <col min="5124" max="5124" width="10.6640625" style="1100" customWidth="1"/>
    <col min="5125" max="5125" width="7.44140625" style="1100" customWidth="1"/>
    <col min="5126" max="5126" width="14.88671875" style="1100" customWidth="1"/>
    <col min="5127" max="5376" width="8.88671875" style="1100"/>
    <col min="5377" max="5377" width="7.21875" style="1100" customWidth="1"/>
    <col min="5378" max="5378" width="10" style="1100" customWidth="1"/>
    <col min="5379" max="5379" width="31.21875" style="1100" customWidth="1"/>
    <col min="5380" max="5380" width="10.6640625" style="1100" customWidth="1"/>
    <col min="5381" max="5381" width="7.44140625" style="1100" customWidth="1"/>
    <col min="5382" max="5382" width="14.88671875" style="1100" customWidth="1"/>
    <col min="5383" max="5632" width="8.88671875" style="1100"/>
    <col min="5633" max="5633" width="7.21875" style="1100" customWidth="1"/>
    <col min="5634" max="5634" width="10" style="1100" customWidth="1"/>
    <col min="5635" max="5635" width="31.21875" style="1100" customWidth="1"/>
    <col min="5636" max="5636" width="10.6640625" style="1100" customWidth="1"/>
    <col min="5637" max="5637" width="7.44140625" style="1100" customWidth="1"/>
    <col min="5638" max="5638" width="14.88671875" style="1100" customWidth="1"/>
    <col min="5639" max="5888" width="8.88671875" style="1100"/>
    <col min="5889" max="5889" width="7.21875" style="1100" customWidth="1"/>
    <col min="5890" max="5890" width="10" style="1100" customWidth="1"/>
    <col min="5891" max="5891" width="31.21875" style="1100" customWidth="1"/>
    <col min="5892" max="5892" width="10.6640625" style="1100" customWidth="1"/>
    <col min="5893" max="5893" width="7.44140625" style="1100" customWidth="1"/>
    <col min="5894" max="5894" width="14.88671875" style="1100" customWidth="1"/>
    <col min="5895" max="6144" width="8.88671875" style="1100"/>
    <col min="6145" max="6145" width="7.21875" style="1100" customWidth="1"/>
    <col min="6146" max="6146" width="10" style="1100" customWidth="1"/>
    <col min="6147" max="6147" width="31.21875" style="1100" customWidth="1"/>
    <col min="6148" max="6148" width="10.6640625" style="1100" customWidth="1"/>
    <col min="6149" max="6149" width="7.44140625" style="1100" customWidth="1"/>
    <col min="6150" max="6150" width="14.88671875" style="1100" customWidth="1"/>
    <col min="6151" max="6400" width="8.88671875" style="1100"/>
    <col min="6401" max="6401" width="7.21875" style="1100" customWidth="1"/>
    <col min="6402" max="6402" width="10" style="1100" customWidth="1"/>
    <col min="6403" max="6403" width="31.21875" style="1100" customWidth="1"/>
    <col min="6404" max="6404" width="10.6640625" style="1100" customWidth="1"/>
    <col min="6405" max="6405" width="7.44140625" style="1100" customWidth="1"/>
    <col min="6406" max="6406" width="14.88671875" style="1100" customWidth="1"/>
    <col min="6407" max="6656" width="8.88671875" style="1100"/>
    <col min="6657" max="6657" width="7.21875" style="1100" customWidth="1"/>
    <col min="6658" max="6658" width="10" style="1100" customWidth="1"/>
    <col min="6659" max="6659" width="31.21875" style="1100" customWidth="1"/>
    <col min="6660" max="6660" width="10.6640625" style="1100" customWidth="1"/>
    <col min="6661" max="6661" width="7.44140625" style="1100" customWidth="1"/>
    <col min="6662" max="6662" width="14.88671875" style="1100" customWidth="1"/>
    <col min="6663" max="6912" width="8.88671875" style="1100"/>
    <col min="6913" max="6913" width="7.21875" style="1100" customWidth="1"/>
    <col min="6914" max="6914" width="10" style="1100" customWidth="1"/>
    <col min="6915" max="6915" width="31.21875" style="1100" customWidth="1"/>
    <col min="6916" max="6916" width="10.6640625" style="1100" customWidth="1"/>
    <col min="6917" max="6917" width="7.44140625" style="1100" customWidth="1"/>
    <col min="6918" max="6918" width="14.88671875" style="1100" customWidth="1"/>
    <col min="6919" max="7168" width="8.88671875" style="1100"/>
    <col min="7169" max="7169" width="7.21875" style="1100" customWidth="1"/>
    <col min="7170" max="7170" width="10" style="1100" customWidth="1"/>
    <col min="7171" max="7171" width="31.21875" style="1100" customWidth="1"/>
    <col min="7172" max="7172" width="10.6640625" style="1100" customWidth="1"/>
    <col min="7173" max="7173" width="7.44140625" style="1100" customWidth="1"/>
    <col min="7174" max="7174" width="14.88671875" style="1100" customWidth="1"/>
    <col min="7175" max="7424" width="8.88671875" style="1100"/>
    <col min="7425" max="7425" width="7.21875" style="1100" customWidth="1"/>
    <col min="7426" max="7426" width="10" style="1100" customWidth="1"/>
    <col min="7427" max="7427" width="31.21875" style="1100" customWidth="1"/>
    <col min="7428" max="7428" width="10.6640625" style="1100" customWidth="1"/>
    <col min="7429" max="7429" width="7.44140625" style="1100" customWidth="1"/>
    <col min="7430" max="7430" width="14.88671875" style="1100" customWidth="1"/>
    <col min="7431" max="7680" width="8.88671875" style="1100"/>
    <col min="7681" max="7681" width="7.21875" style="1100" customWidth="1"/>
    <col min="7682" max="7682" width="10" style="1100" customWidth="1"/>
    <col min="7683" max="7683" width="31.21875" style="1100" customWidth="1"/>
    <col min="7684" max="7684" width="10.6640625" style="1100" customWidth="1"/>
    <col min="7685" max="7685" width="7.44140625" style="1100" customWidth="1"/>
    <col min="7686" max="7686" width="14.88671875" style="1100" customWidth="1"/>
    <col min="7687" max="7936" width="8.88671875" style="1100"/>
    <col min="7937" max="7937" width="7.21875" style="1100" customWidth="1"/>
    <col min="7938" max="7938" width="10" style="1100" customWidth="1"/>
    <col min="7939" max="7939" width="31.21875" style="1100" customWidth="1"/>
    <col min="7940" max="7940" width="10.6640625" style="1100" customWidth="1"/>
    <col min="7941" max="7941" width="7.44140625" style="1100" customWidth="1"/>
    <col min="7942" max="7942" width="14.88671875" style="1100" customWidth="1"/>
    <col min="7943" max="8192" width="8.88671875" style="1100"/>
    <col min="8193" max="8193" width="7.21875" style="1100" customWidth="1"/>
    <col min="8194" max="8194" width="10" style="1100" customWidth="1"/>
    <col min="8195" max="8195" width="31.21875" style="1100" customWidth="1"/>
    <col min="8196" max="8196" width="10.6640625" style="1100" customWidth="1"/>
    <col min="8197" max="8197" width="7.44140625" style="1100" customWidth="1"/>
    <col min="8198" max="8198" width="14.88671875" style="1100" customWidth="1"/>
    <col min="8199" max="8448" width="8.88671875" style="1100"/>
    <col min="8449" max="8449" width="7.21875" style="1100" customWidth="1"/>
    <col min="8450" max="8450" width="10" style="1100" customWidth="1"/>
    <col min="8451" max="8451" width="31.21875" style="1100" customWidth="1"/>
    <col min="8452" max="8452" width="10.6640625" style="1100" customWidth="1"/>
    <col min="8453" max="8453" width="7.44140625" style="1100" customWidth="1"/>
    <col min="8454" max="8454" width="14.88671875" style="1100" customWidth="1"/>
    <col min="8455" max="8704" width="8.88671875" style="1100"/>
    <col min="8705" max="8705" width="7.21875" style="1100" customWidth="1"/>
    <col min="8706" max="8706" width="10" style="1100" customWidth="1"/>
    <col min="8707" max="8707" width="31.21875" style="1100" customWidth="1"/>
    <col min="8708" max="8708" width="10.6640625" style="1100" customWidth="1"/>
    <col min="8709" max="8709" width="7.44140625" style="1100" customWidth="1"/>
    <col min="8710" max="8710" width="14.88671875" style="1100" customWidth="1"/>
    <col min="8711" max="8960" width="8.88671875" style="1100"/>
    <col min="8961" max="8961" width="7.21875" style="1100" customWidth="1"/>
    <col min="8962" max="8962" width="10" style="1100" customWidth="1"/>
    <col min="8963" max="8963" width="31.21875" style="1100" customWidth="1"/>
    <col min="8964" max="8964" width="10.6640625" style="1100" customWidth="1"/>
    <col min="8965" max="8965" width="7.44140625" style="1100" customWidth="1"/>
    <col min="8966" max="8966" width="14.88671875" style="1100" customWidth="1"/>
    <col min="8967" max="9216" width="8.88671875" style="1100"/>
    <col min="9217" max="9217" width="7.21875" style="1100" customWidth="1"/>
    <col min="9218" max="9218" width="10" style="1100" customWidth="1"/>
    <col min="9219" max="9219" width="31.21875" style="1100" customWidth="1"/>
    <col min="9220" max="9220" width="10.6640625" style="1100" customWidth="1"/>
    <col min="9221" max="9221" width="7.44140625" style="1100" customWidth="1"/>
    <col min="9222" max="9222" width="14.88671875" style="1100" customWidth="1"/>
    <col min="9223" max="9472" width="8.88671875" style="1100"/>
    <col min="9473" max="9473" width="7.21875" style="1100" customWidth="1"/>
    <col min="9474" max="9474" width="10" style="1100" customWidth="1"/>
    <col min="9475" max="9475" width="31.21875" style="1100" customWidth="1"/>
    <col min="9476" max="9476" width="10.6640625" style="1100" customWidth="1"/>
    <col min="9477" max="9477" width="7.44140625" style="1100" customWidth="1"/>
    <col min="9478" max="9478" width="14.88671875" style="1100" customWidth="1"/>
    <col min="9479" max="9728" width="8.88671875" style="1100"/>
    <col min="9729" max="9729" width="7.21875" style="1100" customWidth="1"/>
    <col min="9730" max="9730" width="10" style="1100" customWidth="1"/>
    <col min="9731" max="9731" width="31.21875" style="1100" customWidth="1"/>
    <col min="9732" max="9732" width="10.6640625" style="1100" customWidth="1"/>
    <col min="9733" max="9733" width="7.44140625" style="1100" customWidth="1"/>
    <col min="9734" max="9734" width="14.88671875" style="1100" customWidth="1"/>
    <col min="9735" max="9984" width="8.88671875" style="1100"/>
    <col min="9985" max="9985" width="7.21875" style="1100" customWidth="1"/>
    <col min="9986" max="9986" width="10" style="1100" customWidth="1"/>
    <col min="9987" max="9987" width="31.21875" style="1100" customWidth="1"/>
    <col min="9988" max="9988" width="10.6640625" style="1100" customWidth="1"/>
    <col min="9989" max="9989" width="7.44140625" style="1100" customWidth="1"/>
    <col min="9990" max="9990" width="14.88671875" style="1100" customWidth="1"/>
    <col min="9991" max="10240" width="8.88671875" style="1100"/>
    <col min="10241" max="10241" width="7.21875" style="1100" customWidth="1"/>
    <col min="10242" max="10242" width="10" style="1100" customWidth="1"/>
    <col min="10243" max="10243" width="31.21875" style="1100" customWidth="1"/>
    <col min="10244" max="10244" width="10.6640625" style="1100" customWidth="1"/>
    <col min="10245" max="10245" width="7.44140625" style="1100" customWidth="1"/>
    <col min="10246" max="10246" width="14.88671875" style="1100" customWidth="1"/>
    <col min="10247" max="10496" width="8.88671875" style="1100"/>
    <col min="10497" max="10497" width="7.21875" style="1100" customWidth="1"/>
    <col min="10498" max="10498" width="10" style="1100" customWidth="1"/>
    <col min="10499" max="10499" width="31.21875" style="1100" customWidth="1"/>
    <col min="10500" max="10500" width="10.6640625" style="1100" customWidth="1"/>
    <col min="10501" max="10501" width="7.44140625" style="1100" customWidth="1"/>
    <col min="10502" max="10502" width="14.88671875" style="1100" customWidth="1"/>
    <col min="10503" max="10752" width="8.88671875" style="1100"/>
    <col min="10753" max="10753" width="7.21875" style="1100" customWidth="1"/>
    <col min="10754" max="10754" width="10" style="1100" customWidth="1"/>
    <col min="10755" max="10755" width="31.21875" style="1100" customWidth="1"/>
    <col min="10756" max="10756" width="10.6640625" style="1100" customWidth="1"/>
    <col min="10757" max="10757" width="7.44140625" style="1100" customWidth="1"/>
    <col min="10758" max="10758" width="14.88671875" style="1100" customWidth="1"/>
    <col min="10759" max="11008" width="8.88671875" style="1100"/>
    <col min="11009" max="11009" width="7.21875" style="1100" customWidth="1"/>
    <col min="11010" max="11010" width="10" style="1100" customWidth="1"/>
    <col min="11011" max="11011" width="31.21875" style="1100" customWidth="1"/>
    <col min="11012" max="11012" width="10.6640625" style="1100" customWidth="1"/>
    <col min="11013" max="11013" width="7.44140625" style="1100" customWidth="1"/>
    <col min="11014" max="11014" width="14.88671875" style="1100" customWidth="1"/>
    <col min="11015" max="11264" width="8.88671875" style="1100"/>
    <col min="11265" max="11265" width="7.21875" style="1100" customWidth="1"/>
    <col min="11266" max="11266" width="10" style="1100" customWidth="1"/>
    <col min="11267" max="11267" width="31.21875" style="1100" customWidth="1"/>
    <col min="11268" max="11268" width="10.6640625" style="1100" customWidth="1"/>
    <col min="11269" max="11269" width="7.44140625" style="1100" customWidth="1"/>
    <col min="11270" max="11270" width="14.88671875" style="1100" customWidth="1"/>
    <col min="11271" max="11520" width="8.88671875" style="1100"/>
    <col min="11521" max="11521" width="7.21875" style="1100" customWidth="1"/>
    <col min="11522" max="11522" width="10" style="1100" customWidth="1"/>
    <col min="11523" max="11523" width="31.21875" style="1100" customWidth="1"/>
    <col min="11524" max="11524" width="10.6640625" style="1100" customWidth="1"/>
    <col min="11525" max="11525" width="7.44140625" style="1100" customWidth="1"/>
    <col min="11526" max="11526" width="14.88671875" style="1100" customWidth="1"/>
    <col min="11527" max="11776" width="8.88671875" style="1100"/>
    <col min="11777" max="11777" width="7.21875" style="1100" customWidth="1"/>
    <col min="11778" max="11778" width="10" style="1100" customWidth="1"/>
    <col min="11779" max="11779" width="31.21875" style="1100" customWidth="1"/>
    <col min="11780" max="11780" width="10.6640625" style="1100" customWidth="1"/>
    <col min="11781" max="11781" width="7.44140625" style="1100" customWidth="1"/>
    <col min="11782" max="11782" width="14.88671875" style="1100" customWidth="1"/>
    <col min="11783" max="12032" width="8.88671875" style="1100"/>
    <col min="12033" max="12033" width="7.21875" style="1100" customWidth="1"/>
    <col min="12034" max="12034" width="10" style="1100" customWidth="1"/>
    <col min="12035" max="12035" width="31.21875" style="1100" customWidth="1"/>
    <col min="12036" max="12036" width="10.6640625" style="1100" customWidth="1"/>
    <col min="12037" max="12037" width="7.44140625" style="1100" customWidth="1"/>
    <col min="12038" max="12038" width="14.88671875" style="1100" customWidth="1"/>
    <col min="12039" max="12288" width="8.88671875" style="1100"/>
    <col min="12289" max="12289" width="7.21875" style="1100" customWidth="1"/>
    <col min="12290" max="12290" width="10" style="1100" customWidth="1"/>
    <col min="12291" max="12291" width="31.21875" style="1100" customWidth="1"/>
    <col min="12292" max="12292" width="10.6640625" style="1100" customWidth="1"/>
    <col min="12293" max="12293" width="7.44140625" style="1100" customWidth="1"/>
    <col min="12294" max="12294" width="14.88671875" style="1100" customWidth="1"/>
    <col min="12295" max="12544" width="8.88671875" style="1100"/>
    <col min="12545" max="12545" width="7.21875" style="1100" customWidth="1"/>
    <col min="12546" max="12546" width="10" style="1100" customWidth="1"/>
    <col min="12547" max="12547" width="31.21875" style="1100" customWidth="1"/>
    <col min="12548" max="12548" width="10.6640625" style="1100" customWidth="1"/>
    <col min="12549" max="12549" width="7.44140625" style="1100" customWidth="1"/>
    <col min="12550" max="12550" width="14.88671875" style="1100" customWidth="1"/>
    <col min="12551" max="12800" width="8.88671875" style="1100"/>
    <col min="12801" max="12801" width="7.21875" style="1100" customWidth="1"/>
    <col min="12802" max="12802" width="10" style="1100" customWidth="1"/>
    <col min="12803" max="12803" width="31.21875" style="1100" customWidth="1"/>
    <col min="12804" max="12804" width="10.6640625" style="1100" customWidth="1"/>
    <col min="12805" max="12805" width="7.44140625" style="1100" customWidth="1"/>
    <col min="12806" max="12806" width="14.88671875" style="1100" customWidth="1"/>
    <col min="12807" max="13056" width="8.88671875" style="1100"/>
    <col min="13057" max="13057" width="7.21875" style="1100" customWidth="1"/>
    <col min="13058" max="13058" width="10" style="1100" customWidth="1"/>
    <col min="13059" max="13059" width="31.21875" style="1100" customWidth="1"/>
    <col min="13060" max="13060" width="10.6640625" style="1100" customWidth="1"/>
    <col min="13061" max="13061" width="7.44140625" style="1100" customWidth="1"/>
    <col min="13062" max="13062" width="14.88671875" style="1100" customWidth="1"/>
    <col min="13063" max="13312" width="8.88671875" style="1100"/>
    <col min="13313" max="13313" width="7.21875" style="1100" customWidth="1"/>
    <col min="13314" max="13314" width="10" style="1100" customWidth="1"/>
    <col min="13315" max="13315" width="31.21875" style="1100" customWidth="1"/>
    <col min="13316" max="13316" width="10.6640625" style="1100" customWidth="1"/>
    <col min="13317" max="13317" width="7.44140625" style="1100" customWidth="1"/>
    <col min="13318" max="13318" width="14.88671875" style="1100" customWidth="1"/>
    <col min="13319" max="13568" width="8.88671875" style="1100"/>
    <col min="13569" max="13569" width="7.21875" style="1100" customWidth="1"/>
    <col min="13570" max="13570" width="10" style="1100" customWidth="1"/>
    <col min="13571" max="13571" width="31.21875" style="1100" customWidth="1"/>
    <col min="13572" max="13572" width="10.6640625" style="1100" customWidth="1"/>
    <col min="13573" max="13573" width="7.44140625" style="1100" customWidth="1"/>
    <col min="13574" max="13574" width="14.88671875" style="1100" customWidth="1"/>
    <col min="13575" max="13824" width="8.88671875" style="1100"/>
    <col min="13825" max="13825" width="7.21875" style="1100" customWidth="1"/>
    <col min="13826" max="13826" width="10" style="1100" customWidth="1"/>
    <col min="13827" max="13827" width="31.21875" style="1100" customWidth="1"/>
    <col min="13828" max="13828" width="10.6640625" style="1100" customWidth="1"/>
    <col min="13829" max="13829" width="7.44140625" style="1100" customWidth="1"/>
    <col min="13830" max="13830" width="14.88671875" style="1100" customWidth="1"/>
    <col min="13831" max="14080" width="8.88671875" style="1100"/>
    <col min="14081" max="14081" width="7.21875" style="1100" customWidth="1"/>
    <col min="14082" max="14082" width="10" style="1100" customWidth="1"/>
    <col min="14083" max="14083" width="31.21875" style="1100" customWidth="1"/>
    <col min="14084" max="14084" width="10.6640625" style="1100" customWidth="1"/>
    <col min="14085" max="14085" width="7.44140625" style="1100" customWidth="1"/>
    <col min="14086" max="14086" width="14.88671875" style="1100" customWidth="1"/>
    <col min="14087" max="14336" width="8.88671875" style="1100"/>
    <col min="14337" max="14337" width="7.21875" style="1100" customWidth="1"/>
    <col min="14338" max="14338" width="10" style="1100" customWidth="1"/>
    <col min="14339" max="14339" width="31.21875" style="1100" customWidth="1"/>
    <col min="14340" max="14340" width="10.6640625" style="1100" customWidth="1"/>
    <col min="14341" max="14341" width="7.44140625" style="1100" customWidth="1"/>
    <col min="14342" max="14342" width="14.88671875" style="1100" customWidth="1"/>
    <col min="14343" max="14592" width="8.88671875" style="1100"/>
    <col min="14593" max="14593" width="7.21875" style="1100" customWidth="1"/>
    <col min="14594" max="14594" width="10" style="1100" customWidth="1"/>
    <col min="14595" max="14595" width="31.21875" style="1100" customWidth="1"/>
    <col min="14596" max="14596" width="10.6640625" style="1100" customWidth="1"/>
    <col min="14597" max="14597" width="7.44140625" style="1100" customWidth="1"/>
    <col min="14598" max="14598" width="14.88671875" style="1100" customWidth="1"/>
    <col min="14599" max="14848" width="8.88671875" style="1100"/>
    <col min="14849" max="14849" width="7.21875" style="1100" customWidth="1"/>
    <col min="14850" max="14850" width="10" style="1100" customWidth="1"/>
    <col min="14851" max="14851" width="31.21875" style="1100" customWidth="1"/>
    <col min="14852" max="14852" width="10.6640625" style="1100" customWidth="1"/>
    <col min="14853" max="14853" width="7.44140625" style="1100" customWidth="1"/>
    <col min="14854" max="14854" width="14.88671875" style="1100" customWidth="1"/>
    <col min="14855" max="15104" width="8.88671875" style="1100"/>
    <col min="15105" max="15105" width="7.21875" style="1100" customWidth="1"/>
    <col min="15106" max="15106" width="10" style="1100" customWidth="1"/>
    <col min="15107" max="15107" width="31.21875" style="1100" customWidth="1"/>
    <col min="15108" max="15108" width="10.6640625" style="1100" customWidth="1"/>
    <col min="15109" max="15109" width="7.44140625" style="1100" customWidth="1"/>
    <col min="15110" max="15110" width="14.88671875" style="1100" customWidth="1"/>
    <col min="15111" max="15360" width="8.88671875" style="1100"/>
    <col min="15361" max="15361" width="7.21875" style="1100" customWidth="1"/>
    <col min="15362" max="15362" width="10" style="1100" customWidth="1"/>
    <col min="15363" max="15363" width="31.21875" style="1100" customWidth="1"/>
    <col min="15364" max="15364" width="10.6640625" style="1100" customWidth="1"/>
    <col min="15365" max="15365" width="7.44140625" style="1100" customWidth="1"/>
    <col min="15366" max="15366" width="14.88671875" style="1100" customWidth="1"/>
    <col min="15367" max="15616" width="8.88671875" style="1100"/>
    <col min="15617" max="15617" width="7.21875" style="1100" customWidth="1"/>
    <col min="15618" max="15618" width="10" style="1100" customWidth="1"/>
    <col min="15619" max="15619" width="31.21875" style="1100" customWidth="1"/>
    <col min="15620" max="15620" width="10.6640625" style="1100" customWidth="1"/>
    <col min="15621" max="15621" width="7.44140625" style="1100" customWidth="1"/>
    <col min="15622" max="15622" width="14.88671875" style="1100" customWidth="1"/>
    <col min="15623" max="15872" width="8.88671875" style="1100"/>
    <col min="15873" max="15873" width="7.21875" style="1100" customWidth="1"/>
    <col min="15874" max="15874" width="10" style="1100" customWidth="1"/>
    <col min="15875" max="15875" width="31.21875" style="1100" customWidth="1"/>
    <col min="15876" max="15876" width="10.6640625" style="1100" customWidth="1"/>
    <col min="15877" max="15877" width="7.44140625" style="1100" customWidth="1"/>
    <col min="15878" max="15878" width="14.88671875" style="1100" customWidth="1"/>
    <col min="15879" max="16128" width="8.88671875" style="1100"/>
    <col min="16129" max="16129" width="7.21875" style="1100" customWidth="1"/>
    <col min="16130" max="16130" width="10" style="1100" customWidth="1"/>
    <col min="16131" max="16131" width="31.21875" style="1100" customWidth="1"/>
    <col min="16132" max="16132" width="10.6640625" style="1100" customWidth="1"/>
    <col min="16133" max="16133" width="7.44140625" style="1100" customWidth="1"/>
    <col min="16134" max="16134" width="14.88671875" style="1100" customWidth="1"/>
    <col min="16135" max="16384" width="8.88671875" style="1100"/>
  </cols>
  <sheetData>
    <row r="1" spans="1:6" s="1100" customFormat="1" ht="26.25" customHeight="1">
      <c r="A1" s="1099" t="str">
        <f>[7]Detailed!A1</f>
        <v>TAMILNADU POLICE HOUSING CORPORATION LIMITED</v>
      </c>
      <c r="B1" s="1099"/>
      <c r="C1" s="1099"/>
      <c r="D1" s="1099"/>
      <c r="E1" s="1099"/>
      <c r="F1" s="1099"/>
    </row>
    <row r="2" spans="1:6" s="1100" customFormat="1" ht="26.25" customHeight="1">
      <c r="A2" s="1099" t="str">
        <f>[7]Detailed!A2</f>
        <v>TIRUNELVELI DIVISION</v>
      </c>
      <c r="B2" s="1099"/>
      <c r="C2" s="1099"/>
      <c r="D2" s="1099"/>
      <c r="E2" s="1099"/>
      <c r="F2" s="1099"/>
    </row>
    <row r="3" spans="1:6" s="1100" customFormat="1" ht="60" customHeight="1">
      <c r="A3" s="1101" t="str">
        <f>[7]Detailed!A3</f>
        <v>Name of Work:                  Special repair works for the Rural Police Station Building at Pechiparai in Kanyakumari District.</v>
      </c>
      <c r="B3" s="1101"/>
      <c r="C3" s="1101"/>
      <c r="D3" s="1101"/>
      <c r="E3" s="1101"/>
      <c r="F3" s="1101"/>
    </row>
    <row r="4" spans="1:6" s="1100" customFormat="1" ht="26.25" customHeight="1">
      <c r="A4" s="1102" t="s">
        <v>6433</v>
      </c>
      <c r="B4" s="1102"/>
      <c r="C4" s="1102"/>
      <c r="D4" s="1102"/>
      <c r="E4" s="1102"/>
      <c r="F4" s="1102"/>
    </row>
    <row r="5" spans="1:6" s="1100" customFormat="1" ht="26.25" customHeight="1">
      <c r="A5" s="1103" t="s">
        <v>6347</v>
      </c>
      <c r="B5" s="1104" t="s">
        <v>6434</v>
      </c>
      <c r="C5" s="1104" t="s">
        <v>6348</v>
      </c>
      <c r="D5" s="1104" t="s">
        <v>97</v>
      </c>
      <c r="E5" s="1104" t="s">
        <v>6351</v>
      </c>
      <c r="F5" s="1104" t="s">
        <v>974</v>
      </c>
    </row>
    <row r="6" spans="1:6" s="1100" customFormat="1" ht="54">
      <c r="A6" s="1105">
        <v>1</v>
      </c>
      <c r="B6" s="1106">
        <f>[7]Detailed!H15</f>
        <v>80.400000000000006</v>
      </c>
      <c r="C6" s="1107" t="s">
        <v>6490</v>
      </c>
      <c r="D6" s="1106">
        <v>23.2</v>
      </c>
      <c r="E6" s="1106" t="s">
        <v>2283</v>
      </c>
      <c r="F6" s="1106">
        <f>PRODUCT(B6,D6)</f>
        <v>1865.28</v>
      </c>
    </row>
    <row r="7" spans="1:6" s="1100" customFormat="1" ht="54">
      <c r="A7" s="1105">
        <f t="shared" ref="A7:A15" si="0">A6+1</f>
        <v>2</v>
      </c>
      <c r="B7" s="1106">
        <f>[7]Detailed!H19</f>
        <v>80.400000000000006</v>
      </c>
      <c r="C7" s="1107" t="str">
        <f>[8]Detailed!B17</f>
        <v>Pressed tiles (23cmx23cmx20mm) mixed with Water proofing compound</v>
      </c>
      <c r="D7" s="1106">
        <f>building!C339</f>
        <v>1188.17</v>
      </c>
      <c r="E7" s="1106" t="s">
        <v>2283</v>
      </c>
      <c r="F7" s="1106">
        <f t="shared" ref="F7:F70" si="1">PRODUCT(B7,D7)</f>
        <v>95528.87</v>
      </c>
    </row>
    <row r="8" spans="1:6" s="1100" customFormat="1" ht="54">
      <c r="A8" s="1105">
        <f>A7+1</f>
        <v>3</v>
      </c>
      <c r="B8" s="1106">
        <v>14</v>
      </c>
      <c r="C8" s="1107" t="s">
        <v>6491</v>
      </c>
      <c r="D8" s="1106">
        <v>55.7</v>
      </c>
      <c r="E8" s="1106" t="s">
        <v>2283</v>
      </c>
      <c r="F8" s="1106">
        <f t="shared" si="1"/>
        <v>779.8</v>
      </c>
    </row>
    <row r="9" spans="1:6" s="1100" customFormat="1" ht="39" customHeight="1">
      <c r="A9" s="1105">
        <f t="shared" si="0"/>
        <v>4</v>
      </c>
      <c r="B9" s="1106">
        <v>14</v>
      </c>
      <c r="C9" s="1107" t="str">
        <f>[8]Detailed!B32</f>
        <v>Floor ceramic tiles (Anti-skid) using Grout (Tile Joint Filler).</v>
      </c>
      <c r="D9" s="1106">
        <f>building!C667</f>
        <v>1204.75</v>
      </c>
      <c r="E9" s="1106" t="s">
        <v>2283</v>
      </c>
      <c r="F9" s="1106">
        <f t="shared" si="1"/>
        <v>16866.5</v>
      </c>
    </row>
    <row r="10" spans="1:6" s="1100" customFormat="1" ht="95.25" customHeight="1">
      <c r="A10" s="1105">
        <f>A9+1</f>
        <v>5</v>
      </c>
      <c r="B10" s="1106">
        <f>[7]Detailed!H33</f>
        <v>1</v>
      </c>
      <c r="C10" s="1107" t="str">
        <f>[8]Detailed!B43</f>
        <v xml:space="preserve">S &amp; F of Indian Water closet white glazed (Oriya type) of size 580 x 440mm  with PVC SWR grade ' P' or "S' trap- Other than  G.F.  </v>
      </c>
      <c r="D10" s="1106">
        <f>building!C870</f>
        <v>5198.1000000000004</v>
      </c>
      <c r="E10" s="1106" t="s">
        <v>1398</v>
      </c>
      <c r="F10" s="1106">
        <f t="shared" si="1"/>
        <v>5198.1000000000004</v>
      </c>
    </row>
    <row r="11" spans="1:6" s="1100" customFormat="1" ht="54" customHeight="1">
      <c r="A11" s="1105">
        <f>A10+1</f>
        <v>6</v>
      </c>
      <c r="B11" s="1106">
        <v>2</v>
      </c>
      <c r="C11" s="1107" t="str">
        <f>[8]Detailed!B48</f>
        <v xml:space="preserve">S &amp; F of E.W.C.(White) 500 mm with PVC SWR grade "P" or "S" TRAP </v>
      </c>
      <c r="D11" s="1106">
        <f>building!C871</f>
        <v>7084.3</v>
      </c>
      <c r="E11" s="1106" t="s">
        <v>1398</v>
      </c>
      <c r="F11" s="1106">
        <f t="shared" si="1"/>
        <v>14168.6</v>
      </c>
    </row>
    <row r="12" spans="1:6" s="1100" customFormat="1" ht="30" customHeight="1">
      <c r="A12" s="1105">
        <f>A11+1</f>
        <v>7</v>
      </c>
      <c r="B12" s="1106">
        <v>4</v>
      </c>
      <c r="C12" s="1107" t="str">
        <f>[8]Detailed!B52</f>
        <v>PVC Nahani trap (4way/2way)</v>
      </c>
      <c r="D12" s="1106">
        <f>[7]building!C401</f>
        <v>160</v>
      </c>
      <c r="E12" s="1106" t="s">
        <v>1398</v>
      </c>
      <c r="F12" s="1106">
        <f t="shared" si="1"/>
        <v>640</v>
      </c>
    </row>
    <row r="13" spans="1:6" s="1100" customFormat="1" ht="30" customHeight="1">
      <c r="A13" s="1105">
        <f t="shared" ref="A13:A14" si="2">A12+1</f>
        <v>8</v>
      </c>
      <c r="B13" s="1106">
        <f>[7]Detailed!H49</f>
        <v>48.3</v>
      </c>
      <c r="C13" s="1107" t="str">
        <f>[7]Detailed!B43</f>
        <v>Pointing of Pressed tiles</v>
      </c>
      <c r="D13" s="1106">
        <f>Data!K1344</f>
        <v>314.25</v>
      </c>
      <c r="E13" s="1106" t="s">
        <v>2283</v>
      </c>
      <c r="F13" s="1106">
        <f t="shared" si="1"/>
        <v>15178.28</v>
      </c>
    </row>
    <row r="14" spans="1:6" s="1100" customFormat="1" ht="58.5" customHeight="1">
      <c r="A14" s="1105">
        <f t="shared" si="2"/>
        <v>9</v>
      </c>
      <c r="B14" s="1106">
        <f>[7]Detailed!H105</f>
        <v>269.7</v>
      </c>
      <c r="C14" s="1107" t="s">
        <v>6492</v>
      </c>
      <c r="D14" s="1106">
        <v>7.7</v>
      </c>
      <c r="E14" s="1106" t="s">
        <v>2283</v>
      </c>
      <c r="F14" s="1106">
        <f t="shared" si="1"/>
        <v>2076.69</v>
      </c>
    </row>
    <row r="15" spans="1:6" s="1100" customFormat="1" ht="30" customHeight="1">
      <c r="A15" s="1105">
        <f t="shared" si="0"/>
        <v>10</v>
      </c>
      <c r="B15" s="1106">
        <f>[7]Detailed!H147</f>
        <v>215.1</v>
      </c>
      <c r="C15" s="1107" t="str">
        <f>[8]Detailed!B84</f>
        <v>Plastering in C.M. 1:5, 12 mm tk.</v>
      </c>
      <c r="D15" s="1106">
        <f>building!C341</f>
        <v>248.16</v>
      </c>
      <c r="E15" s="1106" t="s">
        <v>2283</v>
      </c>
      <c r="F15" s="1106">
        <f t="shared" si="1"/>
        <v>53379.22</v>
      </c>
    </row>
    <row r="16" spans="1:6" s="1100" customFormat="1" ht="36">
      <c r="A16" s="1105">
        <f>A15+1</f>
        <v>11</v>
      </c>
      <c r="B16" s="1106">
        <f>[7]Detailed!H166</f>
        <v>54.6</v>
      </c>
      <c r="C16" s="1107" t="str">
        <f>[8]Detailed!B101</f>
        <v>Spl. Ceiling plastering in C.M. 1:3, 10 mm tk.</v>
      </c>
      <c r="D16" s="1106">
        <v>285.54000000000002</v>
      </c>
      <c r="E16" s="1106" t="s">
        <v>2283</v>
      </c>
      <c r="F16" s="1106">
        <f t="shared" si="1"/>
        <v>15590.48</v>
      </c>
    </row>
    <row r="17" spans="1:6" s="1100" customFormat="1" ht="30" customHeight="1">
      <c r="A17" s="1105">
        <f t="shared" ref="A17:A24" si="3">A16+1</f>
        <v>12</v>
      </c>
      <c r="B17" s="1106">
        <f>[7]Detailed!H179</f>
        <v>42.5</v>
      </c>
      <c r="C17" s="1107" t="str">
        <f>[8]Detailed!B115</f>
        <v>White washing 3 coats  (slaked)</v>
      </c>
      <c r="D17" s="1106">
        <f>building!C348</f>
        <v>45.28</v>
      </c>
      <c r="E17" s="1106" t="s">
        <v>2283</v>
      </c>
      <c r="F17" s="1106">
        <f t="shared" si="1"/>
        <v>1924.4</v>
      </c>
    </row>
    <row r="18" spans="1:6" s="1100" customFormat="1" ht="36">
      <c r="A18" s="1105">
        <f>A17+1</f>
        <v>13</v>
      </c>
      <c r="B18" s="1106">
        <f>[7]Detailed!H198</f>
        <v>85.9</v>
      </c>
      <c r="C18" s="1107" t="str">
        <f>[8]Detailed!B128</f>
        <v>One coat white cement for new walls and other similar works.</v>
      </c>
      <c r="D18" s="1106">
        <f>building!C670</f>
        <v>61.63</v>
      </c>
      <c r="E18" s="1106" t="s">
        <v>2283</v>
      </c>
      <c r="F18" s="1106">
        <f t="shared" si="1"/>
        <v>5294.02</v>
      </c>
    </row>
    <row r="19" spans="1:6" s="1100" customFormat="1" ht="36">
      <c r="A19" s="1105">
        <f t="shared" si="3"/>
        <v>14</v>
      </c>
      <c r="B19" s="1106">
        <f>[7]Detailed!H202</f>
        <v>85.9</v>
      </c>
      <c r="C19" s="1107" t="str">
        <f>[8]Detailed!B138</f>
        <v xml:space="preserve">Two coat of OBD over one coat white cement for inner walls </v>
      </c>
      <c r="D19" s="1106">
        <f>building!C727</f>
        <v>125.27</v>
      </c>
      <c r="E19" s="1106" t="s">
        <v>2283</v>
      </c>
      <c r="F19" s="1106">
        <f t="shared" si="1"/>
        <v>10760.69</v>
      </c>
    </row>
    <row r="20" spans="1:6" s="1100" customFormat="1" ht="36">
      <c r="A20" s="1105">
        <f>A19+1</f>
        <v>15</v>
      </c>
      <c r="B20" s="1106">
        <f>[7]Detailed!H227</f>
        <v>135.1</v>
      </c>
      <c r="C20" s="1107" t="str">
        <f>[8]Detailed!B142</f>
        <v>Plastic Emulsion Paint including primer for outer walls</v>
      </c>
      <c r="D20" s="1106">
        <f>building!C725</f>
        <v>231.43</v>
      </c>
      <c r="E20" s="1106" t="s">
        <v>2283</v>
      </c>
      <c r="F20" s="1106">
        <f t="shared" si="1"/>
        <v>31266.19</v>
      </c>
    </row>
    <row r="21" spans="1:6" s="1100" customFormat="1" ht="36">
      <c r="A21" s="1105">
        <f>A20+1</f>
        <v>16</v>
      </c>
      <c r="B21" s="1106">
        <v>1</v>
      </c>
      <c r="C21" s="1107" t="str">
        <f>[8]Detailed!B151</f>
        <v>HDPE water tank 700 lit capacity with ISI mark</v>
      </c>
      <c r="D21" s="1106">
        <f>[7]building!C373</f>
        <v>7035</v>
      </c>
      <c r="E21" s="1106" t="s">
        <v>1398</v>
      </c>
      <c r="F21" s="1106">
        <f t="shared" si="1"/>
        <v>7035</v>
      </c>
    </row>
    <row r="22" spans="1:6" s="1100" customFormat="1" ht="30" customHeight="1">
      <c r="A22" s="1105">
        <f t="shared" si="3"/>
        <v>17</v>
      </c>
      <c r="B22" s="1106">
        <f>[7]Detailed!H321</f>
        <v>647.9</v>
      </c>
      <c r="C22" s="1107" t="str">
        <f>[8]Detailed!B155</f>
        <v>Two coat of Old wall OBD</v>
      </c>
      <c r="D22" s="1106">
        <v>129.47</v>
      </c>
      <c r="E22" s="1106" t="s">
        <v>2283</v>
      </c>
      <c r="F22" s="1106">
        <f t="shared" si="1"/>
        <v>83883.61</v>
      </c>
    </row>
    <row r="23" spans="1:6" s="1100" customFormat="1" ht="36">
      <c r="A23" s="1105">
        <f>A22+1</f>
        <v>18</v>
      </c>
      <c r="B23" s="1106">
        <f>[7]Detailed!H362</f>
        <v>195.3</v>
      </c>
      <c r="C23" s="1107" t="str">
        <f>[7]building!B1503</f>
        <v>White washing two coat for old wall</v>
      </c>
      <c r="D23" s="1106">
        <f>'Print Data'!F278</f>
        <v>37.75</v>
      </c>
      <c r="E23" s="1106" t="s">
        <v>2283</v>
      </c>
      <c r="F23" s="1106">
        <f t="shared" si="1"/>
        <v>7372.58</v>
      </c>
    </row>
    <row r="24" spans="1:6" s="1100" customFormat="1" ht="36">
      <c r="A24" s="1105">
        <f t="shared" si="3"/>
        <v>19</v>
      </c>
      <c r="B24" s="1106">
        <f>[7]Detailed!H377</f>
        <v>59.6</v>
      </c>
      <c r="C24" s="1107" t="str">
        <f>[7]Detailed!B363</f>
        <v>Painting two coat for old iron work</v>
      </c>
      <c r="D24" s="1106">
        <f>building!C1510</f>
        <v>139.97999999999999</v>
      </c>
      <c r="E24" s="1106" t="s">
        <v>2283</v>
      </c>
      <c r="F24" s="1106">
        <f t="shared" si="1"/>
        <v>8342.81</v>
      </c>
    </row>
    <row r="25" spans="1:6" s="1100" customFormat="1" ht="36">
      <c r="A25" s="1105">
        <f>A24+1</f>
        <v>20</v>
      </c>
      <c r="B25" s="1106">
        <f>[7]Detailed!H384</f>
        <v>99.4</v>
      </c>
      <c r="C25" s="1107" t="str">
        <f>[7]Detailed!B378</f>
        <v>Painting two coat for old wood work</v>
      </c>
      <c r="D25" s="1106">
        <f>building!C1512</f>
        <v>159.19</v>
      </c>
      <c r="E25" s="1106" t="s">
        <v>2283</v>
      </c>
      <c r="F25" s="1106">
        <f t="shared" si="1"/>
        <v>15823.49</v>
      </c>
    </row>
    <row r="26" spans="1:6" s="1100" customFormat="1" ht="36">
      <c r="A26" s="1105">
        <f>A25+1</f>
        <v>21</v>
      </c>
      <c r="B26" s="1106">
        <f>[7]Detailed!H429</f>
        <v>371.4</v>
      </c>
      <c r="C26" s="1107" t="str">
        <f>[8]Detailed!B327</f>
        <v>Plastic Emulsion PAINT two coat for old wall</v>
      </c>
      <c r="D26" s="1106">
        <f>building!C1514</f>
        <v>165.57</v>
      </c>
      <c r="E26" s="1106" t="s">
        <v>2283</v>
      </c>
      <c r="F26" s="1106">
        <f t="shared" si="1"/>
        <v>61492.7</v>
      </c>
    </row>
    <row r="27" spans="1:6" s="1100" customFormat="1" ht="26.25" customHeight="1">
      <c r="A27" s="1105">
        <f t="shared" ref="A27:A28" si="4">A26+1</f>
        <v>22</v>
      </c>
      <c r="B27" s="1106">
        <f>[7]Detailed!H436</f>
        <v>53.7</v>
      </c>
      <c r="C27" s="1107" t="str">
        <f>[7]Detailed!B430</f>
        <v>Stucco plastering 12 mm tk.</v>
      </c>
      <c r="D27" s="1106">
        <f>building!C363</f>
        <v>317.92</v>
      </c>
      <c r="E27" s="1106" t="s">
        <v>2283</v>
      </c>
      <c r="F27" s="1106">
        <f t="shared" si="1"/>
        <v>17072.3</v>
      </c>
    </row>
    <row r="28" spans="1:6" s="1100" customFormat="1" ht="54">
      <c r="A28" s="1105">
        <f t="shared" si="4"/>
        <v>23</v>
      </c>
      <c r="B28" s="1106">
        <f>[7]Detailed!H440</f>
        <v>36</v>
      </c>
      <c r="C28" s="1107" t="str">
        <f>[8]Detailed!B379</f>
        <v>PVC SWR 110 mm dia with ISI mark type- A for Rain water down fall pipe</v>
      </c>
      <c r="D28" s="1106">
        <f>building!C673</f>
        <v>343.11</v>
      </c>
      <c r="E28" s="1106" t="s">
        <v>826</v>
      </c>
      <c r="F28" s="1106">
        <f t="shared" si="1"/>
        <v>12351.96</v>
      </c>
    </row>
    <row r="29" spans="1:6" s="1100" customFormat="1" ht="36">
      <c r="A29" s="1105">
        <f>A28+1</f>
        <v>24</v>
      </c>
      <c r="B29" s="1106"/>
      <c r="C29" s="1107" t="str">
        <f>[8]Detailed!B383</f>
        <v>PVC SWR pipe (Soil line) with ISI mark - type 'B'.</v>
      </c>
      <c r="D29" s="1106"/>
      <c r="E29" s="1106"/>
      <c r="F29" s="1106"/>
    </row>
    <row r="30" spans="1:6" s="1100" customFormat="1" ht="30" customHeight="1">
      <c r="A30" s="1105"/>
      <c r="B30" s="1106">
        <v>16</v>
      </c>
      <c r="C30" s="1107" t="str">
        <f>[8]Detailed!B384</f>
        <v>a. 110 mm dia.</v>
      </c>
      <c r="D30" s="1106">
        <f>building!C682</f>
        <v>717.55</v>
      </c>
      <c r="E30" s="1106" t="s">
        <v>826</v>
      </c>
      <c r="F30" s="1106">
        <f t="shared" si="1"/>
        <v>11480.8</v>
      </c>
    </row>
    <row r="31" spans="1:6" s="1100" customFormat="1" ht="30" customHeight="1">
      <c r="A31" s="1105"/>
      <c r="B31" s="1106">
        <v>19</v>
      </c>
      <c r="C31" s="1107" t="str">
        <f>[8]Detailed!B391</f>
        <v>b. 75 mm dia.</v>
      </c>
      <c r="D31" s="1106">
        <f>building!C683</f>
        <v>600.25</v>
      </c>
      <c r="E31" s="1106" t="s">
        <v>826</v>
      </c>
      <c r="F31" s="1106">
        <f t="shared" si="1"/>
        <v>11404.75</v>
      </c>
    </row>
    <row r="32" spans="1:6" s="1100" customFormat="1" ht="30" customHeight="1">
      <c r="A32" s="1105">
        <f>A29+1</f>
        <v>25</v>
      </c>
      <c r="B32" s="1106"/>
      <c r="C32" s="1107" t="str">
        <f>[8]Detailed!B398</f>
        <v>PVC Water supply (ASTM)</v>
      </c>
      <c r="D32" s="1106"/>
      <c r="E32" s="1106"/>
      <c r="F32" s="1106"/>
    </row>
    <row r="33" spans="1:6" s="1100" customFormat="1" ht="30" customHeight="1">
      <c r="A33" s="1105"/>
      <c r="B33" s="1106">
        <f>[7]Detailed!H456</f>
        <v>12</v>
      </c>
      <c r="C33" s="1107" t="str">
        <f>[8]Detailed!B399</f>
        <v xml:space="preserve">a. 32 mm dia </v>
      </c>
      <c r="D33" s="1106">
        <v>252.54</v>
      </c>
      <c r="E33" s="1106" t="s">
        <v>826</v>
      </c>
      <c r="F33" s="1106">
        <f t="shared" si="1"/>
        <v>3030.48</v>
      </c>
    </row>
    <row r="34" spans="1:6" s="1100" customFormat="1" ht="30" customHeight="1">
      <c r="A34" s="1105"/>
      <c r="B34" s="1106">
        <f>[7]Detailed!H460</f>
        <v>60</v>
      </c>
      <c r="C34" s="1107" t="str">
        <f>[8]Detailed!B404</f>
        <v xml:space="preserve">b. 25 mm dia </v>
      </c>
      <c r="D34" s="1106">
        <v>234.76</v>
      </c>
      <c r="E34" s="1106" t="s">
        <v>826</v>
      </c>
      <c r="F34" s="1106">
        <f t="shared" si="1"/>
        <v>14085.6</v>
      </c>
    </row>
    <row r="35" spans="1:6" s="1100" customFormat="1" ht="42.75" customHeight="1">
      <c r="A35" s="1105">
        <f>A32+1</f>
        <v>26</v>
      </c>
      <c r="B35" s="1106">
        <f>[7]Detailed!H465</f>
        <v>5.0999999999999996</v>
      </c>
      <c r="C35" s="1107" t="str">
        <f>[7]Detailed!B461</f>
        <v xml:space="preserve">Supplying and fixing 4mm thick pin headed glass panels </v>
      </c>
      <c r="D35" s="1106">
        <f>building!C640</f>
        <v>835.7</v>
      </c>
      <c r="E35" s="1106" t="s">
        <v>2283</v>
      </c>
      <c r="F35" s="1106">
        <f t="shared" si="1"/>
        <v>4262.07</v>
      </c>
    </row>
    <row r="36" spans="1:6" s="1100" customFormat="1" ht="96.75" customHeight="1">
      <c r="A36" s="1105">
        <f t="shared" ref="A36" si="5">A35+1</f>
        <v>27</v>
      </c>
      <c r="B36" s="1106"/>
      <c r="C36" s="1107" t="str">
        <f>'[8]Building (2)'!B891</f>
        <v>Wiring with 1.5 sqmm PVC insulated single core multi strand fire retardant flexible copper cable with ISI mark confirming IS: 694:1990. (Open wiring)</v>
      </c>
      <c r="D36" s="1106"/>
      <c r="E36" s="1106"/>
      <c r="F36" s="1106"/>
    </row>
    <row r="37" spans="1:6" s="1100" customFormat="1" ht="30" customHeight="1">
      <c r="A37" s="1105"/>
      <c r="B37" s="1106">
        <f>[7]Detailed!H473</f>
        <v>17</v>
      </c>
      <c r="C37" s="1107" t="str">
        <f>[8]Detailed!B438</f>
        <v>a. Light point with ceiling rose</v>
      </c>
      <c r="D37" s="1106">
        <f>building!C914</f>
        <v>921.2</v>
      </c>
      <c r="E37" s="1106" t="s">
        <v>1398</v>
      </c>
      <c r="F37" s="1106">
        <f t="shared" si="1"/>
        <v>15660.4</v>
      </c>
    </row>
    <row r="38" spans="1:6" s="1100" customFormat="1" ht="30" customHeight="1">
      <c r="A38" s="1105"/>
      <c r="B38" s="1106">
        <f>[7]Detailed!H478</f>
        <v>7</v>
      </c>
      <c r="C38" s="1107" t="str">
        <f>[8]Detailed!B444</f>
        <v>b. Light point without ceiling rose</v>
      </c>
      <c r="D38" s="1106">
        <f>building!C915</f>
        <v>923.2</v>
      </c>
      <c r="E38" s="1106" t="s">
        <v>1398</v>
      </c>
      <c r="F38" s="1106">
        <f t="shared" si="1"/>
        <v>6462.4</v>
      </c>
    </row>
    <row r="39" spans="1:6" s="1100" customFormat="1" ht="100.5" customHeight="1">
      <c r="A39" s="1105">
        <f>A36+1</f>
        <v>28</v>
      </c>
      <c r="B39" s="1106">
        <v>7</v>
      </c>
      <c r="C39" s="1107" t="str">
        <f>[8]Detailed!B450</f>
        <v>Wiring with 1.5 sqmm PVC insulated single core multi strand fire retardant flexible copper cable with ISI mark confirming IS: 694:1990 for Fan point.</v>
      </c>
      <c r="D39" s="1106">
        <f>building!C919</f>
        <v>1008.2</v>
      </c>
      <c r="E39" s="1106" t="s">
        <v>1398</v>
      </c>
      <c r="F39" s="1106">
        <f t="shared" si="1"/>
        <v>7057.4</v>
      </c>
    </row>
    <row r="40" spans="1:6" s="1100" customFormat="1" ht="130.5" customHeight="1">
      <c r="A40" s="1105">
        <f t="shared" ref="A40:A52" si="6">A39+1</f>
        <v>29</v>
      </c>
      <c r="B40" s="1106">
        <v>7</v>
      </c>
      <c r="C40" s="1107" t="str">
        <f>[8]Detailed!B455</f>
        <v>Wiring with 1.5 sqmm PVC insulated single core multi strand fire retardant flexible copper cable with ISI mark confirming IS: 694:1990 for 5 amps 5 pin plug socket point @ Convenient Places.</v>
      </c>
      <c r="D40" s="1106">
        <f>building!C917</f>
        <v>707.47</v>
      </c>
      <c r="E40" s="1106" t="s">
        <v>1398</v>
      </c>
      <c r="F40" s="1106">
        <f t="shared" si="1"/>
        <v>4952.29</v>
      </c>
    </row>
    <row r="41" spans="1:6" s="1100" customFormat="1" ht="96.75" customHeight="1">
      <c r="A41" s="1105">
        <f t="shared" si="6"/>
        <v>30</v>
      </c>
      <c r="B41" s="1106">
        <v>80</v>
      </c>
      <c r="C41" s="1107" t="str">
        <f>[7]building!B698</f>
        <v>Run of 2 Wires of 2.5 sqmm PVC insulated single core multi strand fire retardant flexible copper cable with ISI mark confirming IS: 694:1990.</v>
      </c>
      <c r="D41" s="1106">
        <v>149.4</v>
      </c>
      <c r="E41" s="1106" t="s">
        <v>826</v>
      </c>
      <c r="F41" s="1106">
        <f t="shared" si="1"/>
        <v>11952</v>
      </c>
    </row>
    <row r="42" spans="1:6" s="1100" customFormat="1" ht="57.75" customHeight="1">
      <c r="A42" s="1105">
        <f t="shared" si="6"/>
        <v>31</v>
      </c>
      <c r="B42" s="1106">
        <f>[7]Detailed!H498</f>
        <v>6</v>
      </c>
      <c r="C42" s="1107" t="str">
        <f>[8]Detailed!B466</f>
        <v>S &amp; F of 15mm dia Engineering Polymer Tap (long body ) for coastal area only</v>
      </c>
      <c r="D42" s="1106">
        <f>building!C851</f>
        <v>252</v>
      </c>
      <c r="E42" s="1106" t="s">
        <v>1398</v>
      </c>
      <c r="F42" s="1106">
        <f t="shared" si="1"/>
        <v>1512</v>
      </c>
    </row>
    <row r="43" spans="1:6" s="1100" customFormat="1" ht="57.75" customHeight="1">
      <c r="A43" s="1105">
        <f t="shared" si="6"/>
        <v>32</v>
      </c>
      <c r="B43" s="1106">
        <f>[7]Detailed!H503</f>
        <v>8</v>
      </c>
      <c r="C43" s="1107" t="str">
        <f>[8]Detailed!B471</f>
        <v>S &amp; F of 15mm dia Engineering Polymer Tap  short body tap for coastal area only</v>
      </c>
      <c r="D43" s="1106">
        <f>building!C852</f>
        <v>241</v>
      </c>
      <c r="E43" s="1106" t="s">
        <v>1398</v>
      </c>
      <c r="F43" s="1106">
        <f t="shared" si="1"/>
        <v>1928</v>
      </c>
    </row>
    <row r="44" spans="1:6" s="1100" customFormat="1" ht="57.75" customHeight="1">
      <c r="A44" s="1105">
        <f t="shared" si="6"/>
        <v>33</v>
      </c>
      <c r="B44" s="1106">
        <v>7</v>
      </c>
      <c r="C44" s="1107" t="str">
        <f>[8]Detailed!B476</f>
        <v>Supply and delivery of  48" (1200 mm) Fan with ISI mark with Eletronic Dimmer</v>
      </c>
      <c r="D44" s="1106">
        <v>1552</v>
      </c>
      <c r="E44" s="1106" t="s">
        <v>1398</v>
      </c>
      <c r="F44" s="1106">
        <f t="shared" si="1"/>
        <v>10864</v>
      </c>
    </row>
    <row r="45" spans="1:6" s="1100" customFormat="1" ht="30" customHeight="1">
      <c r="A45" s="1105">
        <f t="shared" si="6"/>
        <v>34</v>
      </c>
      <c r="B45" s="1106">
        <v>7</v>
      </c>
      <c r="C45" s="1107" t="str">
        <f>[7]Detailed!B509</f>
        <v>Charges for fixing of "Fan"</v>
      </c>
      <c r="D45" s="1106">
        <v>601</v>
      </c>
      <c r="E45" s="1106" t="s">
        <v>1398</v>
      </c>
      <c r="F45" s="1106">
        <f t="shared" si="1"/>
        <v>4207</v>
      </c>
    </row>
    <row r="46" spans="1:6" s="1100" customFormat="1" ht="38.450000000000003" customHeight="1">
      <c r="A46" s="1105">
        <f t="shared" si="6"/>
        <v>35</v>
      </c>
      <c r="B46" s="1106">
        <f>[7]Detailed!H519</f>
        <v>3</v>
      </c>
      <c r="C46" s="1107" t="str">
        <f>[8]Detailed!B481</f>
        <v>Wash Hand  Basin of size 550 x 400 mm</v>
      </c>
      <c r="D46" s="1106">
        <f>building!C677</f>
        <v>3337.32</v>
      </c>
      <c r="E46" s="1106" t="s">
        <v>1398</v>
      </c>
      <c r="F46" s="1106">
        <f t="shared" si="1"/>
        <v>10011.959999999999</v>
      </c>
    </row>
    <row r="47" spans="1:6" s="1100" customFormat="1" ht="30" customHeight="1">
      <c r="A47" s="1105">
        <f t="shared" si="6"/>
        <v>36</v>
      </c>
      <c r="B47" s="1106">
        <f>[7]Detailed!H524</f>
        <v>10</v>
      </c>
      <c r="C47" s="1107" t="str">
        <f>[8]Detailed!B486</f>
        <v>18 watts  LED  Tube Light</v>
      </c>
      <c r="D47" s="1106">
        <v>705</v>
      </c>
      <c r="E47" s="1106" t="s">
        <v>1398</v>
      </c>
      <c r="F47" s="1106">
        <f t="shared" si="1"/>
        <v>7050</v>
      </c>
    </row>
    <row r="48" spans="1:6" s="1100" customFormat="1" ht="30" customHeight="1">
      <c r="A48" s="1105">
        <f t="shared" si="6"/>
        <v>37</v>
      </c>
      <c r="B48" s="1106">
        <f>[7]Detailed!H529</f>
        <v>7</v>
      </c>
      <c r="C48" s="1107" t="str">
        <f>[8]Detailed!B491</f>
        <v>9 watts  LED bulb  qtn</v>
      </c>
      <c r="D48" s="1106">
        <f>[7]building!C935</f>
        <v>135</v>
      </c>
      <c r="E48" s="1106" t="s">
        <v>1398</v>
      </c>
      <c r="F48" s="1106">
        <f t="shared" si="1"/>
        <v>945</v>
      </c>
    </row>
    <row r="49" spans="1:6" s="1100" customFormat="1" ht="44.25" customHeight="1">
      <c r="A49" s="1105">
        <f t="shared" si="6"/>
        <v>38</v>
      </c>
      <c r="B49" s="1106">
        <f>[7]Detailed!H533</f>
        <v>5</v>
      </c>
      <c r="C49" s="1107" t="str">
        <f>[8]Detailed!B497</f>
        <v>Supplying and fixing of 25Watts LED Street Light Fittings</v>
      </c>
      <c r="D49" s="1106">
        <v>3460</v>
      </c>
      <c r="E49" s="1106" t="s">
        <v>1398</v>
      </c>
      <c r="F49" s="1106">
        <f t="shared" si="1"/>
        <v>17300</v>
      </c>
    </row>
    <row r="50" spans="1:6" s="1100" customFormat="1" ht="44.25" customHeight="1">
      <c r="A50" s="1105">
        <f t="shared" si="6"/>
        <v>39</v>
      </c>
      <c r="B50" s="1106">
        <f>[7]Detailed!H539</f>
        <v>6</v>
      </c>
      <c r="C50" s="1107" t="str">
        <f>[7]Detailed!B534</f>
        <v>Supply and fixing of  Bulk Head fitting suitable for  12W LED Bulb</v>
      </c>
      <c r="D50" s="1106">
        <f>building!C937</f>
        <v>529.20000000000005</v>
      </c>
      <c r="E50" s="1106" t="s">
        <v>1398</v>
      </c>
      <c r="F50" s="1106">
        <f t="shared" si="1"/>
        <v>3175.2</v>
      </c>
    </row>
    <row r="51" spans="1:6" s="1100" customFormat="1" ht="44.25" customHeight="1">
      <c r="A51" s="1105">
        <f t="shared" si="6"/>
        <v>40</v>
      </c>
      <c r="B51" s="1106">
        <f>[7]Detailed!H545</f>
        <v>6</v>
      </c>
      <c r="C51" s="1107" t="str">
        <f>[7]Detailed!B540</f>
        <v>Supply and fixing of 12 watts  LED bulb  (qtn)</v>
      </c>
      <c r="D51" s="1106">
        <f>building!C939</f>
        <v>170</v>
      </c>
      <c r="E51" s="1106" t="s">
        <v>1398</v>
      </c>
      <c r="F51" s="1106">
        <f t="shared" si="1"/>
        <v>1020</v>
      </c>
    </row>
    <row r="52" spans="1:6" s="1100" customFormat="1" ht="55.15" customHeight="1">
      <c r="A52" s="1105">
        <f t="shared" si="6"/>
        <v>41</v>
      </c>
      <c r="B52" s="1106"/>
      <c r="C52" s="1107" t="s">
        <v>6560</v>
      </c>
      <c r="D52" s="1106"/>
      <c r="E52" s="1106"/>
      <c r="F52" s="1106"/>
    </row>
    <row r="53" spans="1:6" s="1100" customFormat="1" ht="30" customHeight="1">
      <c r="A53" s="1105"/>
      <c r="B53" s="1106">
        <f>[7]Detailed!H552</f>
        <v>5.0999999999999996</v>
      </c>
      <c r="C53" s="1107" t="str">
        <f>[8]Detailed!B506</f>
        <v>a. In Foundation &amp; basement</v>
      </c>
      <c r="D53" s="1106">
        <f>Data!X559</f>
        <v>1619.34</v>
      </c>
      <c r="E53" s="1106" t="s">
        <v>2283</v>
      </c>
      <c r="F53" s="1106">
        <f t="shared" si="1"/>
        <v>8258.6299999999992</v>
      </c>
    </row>
    <row r="54" spans="1:6" s="1100" customFormat="1" ht="57" customHeight="1">
      <c r="A54" s="1105">
        <f>A52+1</f>
        <v>42</v>
      </c>
      <c r="B54" s="1108">
        <f>[7]Detailed!H557</f>
        <v>0.02</v>
      </c>
      <c r="C54" s="1107" t="str">
        <f>[8]Detailed!B512</f>
        <v>Fabrication of Mild steel / RTS grills (without cement slurry) for all sizes of rods.</v>
      </c>
      <c r="D54" s="1106">
        <f>building!C672</f>
        <v>88873.5</v>
      </c>
      <c r="E54" s="1106" t="s">
        <v>528</v>
      </c>
      <c r="F54" s="1106">
        <f t="shared" si="1"/>
        <v>1777.47</v>
      </c>
    </row>
    <row r="55" spans="1:6" s="1100" customFormat="1" ht="40.9" customHeight="1">
      <c r="A55" s="1105">
        <f t="shared" ref="A55:A65" si="7">A54+1</f>
        <v>43</v>
      </c>
      <c r="B55" s="1108">
        <f>[7]Detailed!H561</f>
        <v>0.02</v>
      </c>
      <c r="C55" s="1107" t="str">
        <f>[8]Detailed!B517</f>
        <v>Anticorrosive treatment for steel grills</v>
      </c>
      <c r="D55" s="1106">
        <f>building!C455</f>
        <v>4672.5</v>
      </c>
      <c r="E55" s="1106" t="s">
        <v>528</v>
      </c>
      <c r="F55" s="1106">
        <f t="shared" si="1"/>
        <v>93.45</v>
      </c>
    </row>
    <row r="56" spans="1:6" s="1100" customFormat="1" ht="54.6" customHeight="1">
      <c r="A56" s="1105">
        <f t="shared" si="7"/>
        <v>44</v>
      </c>
      <c r="B56" s="1106">
        <f>[7]Detailed!H565</f>
        <v>1.5</v>
      </c>
      <c r="C56" s="1107" t="str">
        <f>[8]Detailed!B521</f>
        <v>Earth work excavation in all soils (including refilling)a. 0 to 2 mt.</v>
      </c>
      <c r="D56" s="1106">
        <f>building!C6</f>
        <v>237.08</v>
      </c>
      <c r="E56" s="1106" t="s">
        <v>2151</v>
      </c>
      <c r="F56" s="1106">
        <f t="shared" si="1"/>
        <v>355.62</v>
      </c>
    </row>
    <row r="57" spans="1:6" s="1100" customFormat="1" ht="40.9" customHeight="1">
      <c r="A57" s="1105">
        <f>A56+1</f>
        <v>45</v>
      </c>
      <c r="B57" s="1106">
        <f>[7]Detailed!H569</f>
        <v>0.5</v>
      </c>
      <c r="C57" s="1107" t="str">
        <f>[8]Detailed!B525</f>
        <v>C.C.1:5:10 for Foundation &amp; Basement</v>
      </c>
      <c r="D57" s="1106">
        <f>building!C45</f>
        <v>4706.34</v>
      </c>
      <c r="E57" s="1106" t="s">
        <v>2151</v>
      </c>
      <c r="F57" s="1106">
        <f t="shared" si="1"/>
        <v>2353.17</v>
      </c>
    </row>
    <row r="58" spans="1:6" s="1100" customFormat="1" ht="40.9" customHeight="1">
      <c r="A58" s="1105">
        <f t="shared" si="7"/>
        <v>46</v>
      </c>
      <c r="B58" s="1106">
        <f>[7]Detailed!H573</f>
        <v>0.3</v>
      </c>
      <c r="C58" s="1107" t="str">
        <f>[8]Detailed!B529</f>
        <v>P.C.C. 1:8:16 using 20 mm broken brick jelly</v>
      </c>
      <c r="D58" s="1106">
        <f>building!C47</f>
        <v>4108.13</v>
      </c>
      <c r="E58" s="1106" t="s">
        <v>2151</v>
      </c>
      <c r="F58" s="1106">
        <f t="shared" si="1"/>
        <v>1232.44</v>
      </c>
    </row>
    <row r="59" spans="1:6" s="1100" customFormat="1" ht="78" customHeight="1">
      <c r="A59" s="1105">
        <f t="shared" si="7"/>
        <v>47</v>
      </c>
      <c r="B59" s="1106">
        <f>[7]Detailed!H577</f>
        <v>1.2</v>
      </c>
      <c r="C59" s="1107" t="str">
        <f>[8]Detailed!B533</f>
        <v>Brick work in C.M. 1:5 (F&amp; B) using Kiln Burnt Country bricks of size 22 x 11 x 7 cm (8 3/4" x 4 1/4" x 2 3/4")</v>
      </c>
      <c r="D59" s="1106">
        <f>building!C59</f>
        <v>6586.14</v>
      </c>
      <c r="E59" s="1106" t="s">
        <v>2151</v>
      </c>
      <c r="F59" s="1106">
        <f t="shared" si="1"/>
        <v>7903.37</v>
      </c>
    </row>
    <row r="60" spans="1:6" s="1100" customFormat="1" ht="40.9" customHeight="1">
      <c r="A60" s="1105">
        <f>A59+1</f>
        <v>48</v>
      </c>
      <c r="B60" s="1106">
        <f>[7]Detailed!H581</f>
        <v>0.8</v>
      </c>
      <c r="C60" s="1107" t="str">
        <f>[8]Detailed!B537</f>
        <v>Floor plastering in C.M. 1:4, 20 mm tk.</v>
      </c>
      <c r="D60" s="1106">
        <f>building!C330</f>
        <v>506.32</v>
      </c>
      <c r="E60" s="1106" t="s">
        <v>2283</v>
      </c>
      <c r="F60" s="1106">
        <f t="shared" si="1"/>
        <v>405.06</v>
      </c>
    </row>
    <row r="61" spans="1:6" s="1100" customFormat="1" ht="30" customHeight="1">
      <c r="A61" s="1105">
        <f t="shared" si="7"/>
        <v>49</v>
      </c>
      <c r="B61" s="1106">
        <f>[7]Detailed!H585</f>
        <v>2.2000000000000002</v>
      </c>
      <c r="C61" s="1107" t="str">
        <f>[8]Detailed!B541</f>
        <v>Plastering in C.M. 1:4, 12 mm tk.</v>
      </c>
      <c r="D61" s="1106">
        <f>building!C342</f>
        <v>254.25</v>
      </c>
      <c r="E61" s="1106" t="s">
        <v>2283</v>
      </c>
      <c r="F61" s="1106">
        <f t="shared" si="1"/>
        <v>559.35</v>
      </c>
    </row>
    <row r="62" spans="1:6" s="1100" customFormat="1" ht="91.9" customHeight="1">
      <c r="A62" s="1105">
        <f t="shared" si="7"/>
        <v>50</v>
      </c>
      <c r="B62" s="1106">
        <v>23</v>
      </c>
      <c r="C62" s="1107" t="str">
        <f>[8]Detailed!B545</f>
        <v>UPVC Non Pressure  pipe of SN8 SDR 34 ( S 16.5) as per IS 15328/2003a. 110 mm UPVC Non Pressure  pipe</v>
      </c>
      <c r="D62" s="1106">
        <v>481.39</v>
      </c>
      <c r="E62" s="1106" t="s">
        <v>826</v>
      </c>
      <c r="F62" s="1106">
        <f t="shared" si="1"/>
        <v>11071.97</v>
      </c>
    </row>
    <row r="63" spans="1:6" s="1100" customFormat="1" ht="30" customHeight="1">
      <c r="A63" s="1105">
        <f t="shared" si="7"/>
        <v>51</v>
      </c>
      <c r="B63" s="1106">
        <f>[7]Detailed!H598</f>
        <v>1.2</v>
      </c>
      <c r="C63" s="1107" t="str">
        <f>[7]Detailed!B590</f>
        <v>Filling C.S. sand</v>
      </c>
      <c r="D63" s="1106">
        <f>building!C38</f>
        <v>1498.66</v>
      </c>
      <c r="E63" s="1106" t="s">
        <v>2151</v>
      </c>
      <c r="F63" s="1106">
        <f t="shared" si="1"/>
        <v>1798.39</v>
      </c>
    </row>
    <row r="64" spans="1:6" s="1100" customFormat="1" ht="30" customHeight="1">
      <c r="A64" s="1105">
        <f t="shared" si="7"/>
        <v>52</v>
      </c>
      <c r="B64" s="1106">
        <f>[7]Detailed!H607</f>
        <v>2.2999999999999998</v>
      </c>
      <c r="C64" s="1107" t="str">
        <f>[7]Detailed!B599</f>
        <v xml:space="preserve">Supplying and filling with gravel </v>
      </c>
      <c r="D64" s="1106">
        <f>building!C562</f>
        <v>261.64999999999998</v>
      </c>
      <c r="E64" s="1106" t="s">
        <v>2151</v>
      </c>
      <c r="F64" s="1106">
        <f t="shared" si="1"/>
        <v>601.79999999999995</v>
      </c>
    </row>
    <row r="65" spans="1:6" s="1100" customFormat="1" ht="42.75" customHeight="1">
      <c r="A65" s="1105">
        <f t="shared" si="7"/>
        <v>53</v>
      </c>
      <c r="B65" s="1106">
        <v>8.5</v>
      </c>
      <c r="C65" s="1107" t="str">
        <f>[7]Detailed!B608</f>
        <v>Precast slab 50 mm tk.in C.C. 1:3:6 with fibre</v>
      </c>
      <c r="D65" s="1106">
        <f>building!C674</f>
        <v>399.56</v>
      </c>
      <c r="E65" s="1106" t="s">
        <v>2283</v>
      </c>
      <c r="F65" s="1106">
        <f t="shared" si="1"/>
        <v>3396.26</v>
      </c>
    </row>
    <row r="66" spans="1:6" s="1100" customFormat="1" ht="96" customHeight="1">
      <c r="A66" s="1105">
        <f>A65+1</f>
        <v>54</v>
      </c>
      <c r="B66" s="1106">
        <v>10.5</v>
      </c>
      <c r="C66" s="1107" t="s">
        <v>6479</v>
      </c>
      <c r="D66" s="1106">
        <v>350</v>
      </c>
      <c r="E66" s="1106" t="s">
        <v>2283</v>
      </c>
      <c r="F66" s="1106">
        <f t="shared" si="1"/>
        <v>3675</v>
      </c>
    </row>
    <row r="67" spans="1:6" s="1100" customFormat="1" ht="62.25" customHeight="1">
      <c r="A67" s="1105">
        <f>A66+1</f>
        <v>55</v>
      </c>
      <c r="B67" s="1106"/>
      <c r="C67" s="1107" t="str">
        <f>[7]Detailed!B622</f>
        <v>Rain water harvesting using defunct borewell and providing perforated cover slab</v>
      </c>
      <c r="D67" s="1106"/>
      <c r="E67" s="1106"/>
      <c r="F67" s="1106"/>
    </row>
    <row r="68" spans="1:6" s="1100" customFormat="1" ht="26.25" customHeight="1">
      <c r="A68" s="1105"/>
      <c r="B68" s="1106">
        <f>[7]Detailed!H626</f>
        <v>4</v>
      </c>
      <c r="C68" s="1107" t="str">
        <f>[7]Detailed!B623</f>
        <v>a). Providing pit (M30)</v>
      </c>
      <c r="D68" s="1106">
        <v>2039.92</v>
      </c>
      <c r="E68" s="1106" t="s">
        <v>1398</v>
      </c>
      <c r="F68" s="1106">
        <f t="shared" si="1"/>
        <v>8159.68</v>
      </c>
    </row>
    <row r="69" spans="1:6" s="1100" customFormat="1" ht="44.25" customHeight="1">
      <c r="A69" s="1105">
        <f>A67+1</f>
        <v>56</v>
      </c>
      <c r="B69" s="1106">
        <f>[7]Detailed!H630</f>
        <v>4</v>
      </c>
      <c r="C69" s="1107" t="str">
        <f>[7]Detailed!B627</f>
        <v>Gully Trap using chamber burnt bricks of size 23x11.4x7.5cm</v>
      </c>
      <c r="D69" s="1106">
        <f>building!C396</f>
        <v>1990.65</v>
      </c>
      <c r="E69" s="1106" t="s">
        <v>1398</v>
      </c>
      <c r="F69" s="1106">
        <f t="shared" si="1"/>
        <v>7962.6</v>
      </c>
    </row>
    <row r="70" spans="1:6" s="1100" customFormat="1" ht="81.75" customHeight="1">
      <c r="A70" s="1105">
        <f>A69+1</f>
        <v>57</v>
      </c>
      <c r="B70" s="1106">
        <v>30</v>
      </c>
      <c r="C70" s="1107" t="str">
        <f>[7]Detailed!B631</f>
        <v>4 x 4  Sq mm copper PVC insulated unsheathed single core cable for 3 phase EB service connection</v>
      </c>
      <c r="D70" s="1106">
        <f>building!C699</f>
        <v>275.3</v>
      </c>
      <c r="E70" s="1106" t="s">
        <v>826</v>
      </c>
      <c r="F70" s="1106">
        <f t="shared" si="1"/>
        <v>8259</v>
      </c>
    </row>
    <row r="71" spans="1:6" s="1100" customFormat="1" ht="25.5" customHeight="1">
      <c r="A71" s="1105">
        <f>A70+1</f>
        <v>58</v>
      </c>
      <c r="B71" s="1106">
        <f>[7]Detailed!H638</f>
        <v>1</v>
      </c>
      <c r="C71" s="1107" t="str">
        <f>[7]Detailed!B635</f>
        <v>Earthing Station IS3043 (Type I)</v>
      </c>
      <c r="D71" s="1106">
        <f>building!C442</f>
        <v>2997.6</v>
      </c>
      <c r="E71" s="1106" t="s">
        <v>1398</v>
      </c>
      <c r="F71" s="1106">
        <f t="shared" ref="F71:F77" si="8">PRODUCT(B71,D71)</f>
        <v>2997.6</v>
      </c>
    </row>
    <row r="72" spans="1:6" s="1100" customFormat="1" ht="25.5" customHeight="1">
      <c r="A72" s="1105">
        <f t="shared" ref="A72:A77" si="9">A71+1</f>
        <v>59</v>
      </c>
      <c r="B72" s="1106">
        <f>[7]Detailed!H642</f>
        <v>8</v>
      </c>
      <c r="C72" s="1107" t="str">
        <f>[7]Detailed!B639</f>
        <v>8 SWG wire</v>
      </c>
      <c r="D72" s="1106">
        <f>building!C436</f>
        <v>27.13</v>
      </c>
      <c r="E72" s="1106" t="s">
        <v>826</v>
      </c>
      <c r="F72" s="1106">
        <f t="shared" si="8"/>
        <v>217.04</v>
      </c>
    </row>
    <row r="73" spans="1:6" s="1100" customFormat="1" ht="45.75" customHeight="1">
      <c r="A73" s="1105">
        <f t="shared" si="9"/>
        <v>60</v>
      </c>
      <c r="B73" s="1106">
        <v>4.8</v>
      </c>
      <c r="C73" s="1107" t="str">
        <f>[7]Detailed!B643</f>
        <v>Supply and Fixing Soild UPVC door Shutter with frame</v>
      </c>
      <c r="D73" s="1106">
        <f>building!C639</f>
        <v>3325</v>
      </c>
      <c r="E73" s="1106" t="s">
        <v>2283</v>
      </c>
      <c r="F73" s="1106">
        <f t="shared" si="8"/>
        <v>15960</v>
      </c>
    </row>
    <row r="74" spans="1:6" s="1100" customFormat="1" ht="150" customHeight="1">
      <c r="A74" s="1105">
        <f t="shared" si="9"/>
        <v>61</v>
      </c>
      <c r="B74" s="1106">
        <f>[7]Detailed!H650</f>
        <v>5</v>
      </c>
      <c r="C74" s="1107" t="str">
        <f>[7]Detailed!B647</f>
        <v>Wiring with 1.5 sqmm PVC insulated single core multi strand fire retardant flexible copper cable with ISI mark confirming IS: 694:1990 for 5 amps 5 pin  plug socket point @ Switch Board Itself.(Open wiring)</v>
      </c>
      <c r="D74" s="1106">
        <f>building!C918</f>
        <v>869.5</v>
      </c>
      <c r="E74" s="1106" t="s">
        <v>1398</v>
      </c>
      <c r="F74" s="1106">
        <f t="shared" si="8"/>
        <v>4347.5</v>
      </c>
    </row>
    <row r="75" spans="1:6" s="1100" customFormat="1" ht="96.75" customHeight="1">
      <c r="A75" s="1105">
        <f t="shared" si="9"/>
        <v>62</v>
      </c>
      <c r="B75" s="1106">
        <v>8.5</v>
      </c>
      <c r="C75" s="1107" t="s">
        <v>6486</v>
      </c>
      <c r="D75" s="1106">
        <v>200</v>
      </c>
      <c r="E75" s="1106" t="s">
        <v>2283</v>
      </c>
      <c r="F75" s="1106">
        <f t="shared" si="8"/>
        <v>1700</v>
      </c>
    </row>
    <row r="76" spans="1:6" s="1100" customFormat="1" ht="39.75" customHeight="1">
      <c r="A76" s="1105">
        <f t="shared" si="9"/>
        <v>63</v>
      </c>
      <c r="B76" s="1106">
        <f>[7]Detailed!H660</f>
        <v>1</v>
      </c>
      <c r="C76" s="1107" t="str">
        <f>[7]Detailed!B657</f>
        <v>Supplying and delivery of Three phase ELCB/RCCB</v>
      </c>
      <c r="D76" s="1106">
        <f>building!C723</f>
        <v>3091.3</v>
      </c>
      <c r="E76" s="1106" t="s">
        <v>1398</v>
      </c>
      <c r="F76" s="1106">
        <f t="shared" si="8"/>
        <v>3091.3</v>
      </c>
    </row>
    <row r="77" spans="1:6" s="1100" customFormat="1" ht="108.75" customHeight="1">
      <c r="A77" s="1105">
        <f t="shared" si="9"/>
        <v>64</v>
      </c>
      <c r="B77" s="1106">
        <f>Detailed!H670</f>
        <v>3</v>
      </c>
      <c r="C77" s="1107" t="str">
        <f>Detailed!B667</f>
        <v>Wiring with 1.5 sqmm PVC insulated single core multi strand fire retardant flexible copper cable with ISI mark confirming IS: 694:1990 for Staircase Light Point. (Open Wiring)</v>
      </c>
      <c r="D77" s="1106">
        <f>Elec.Data!K1077</f>
        <v>2206.1</v>
      </c>
      <c r="E77" s="1106" t="s">
        <v>1398</v>
      </c>
      <c r="F77" s="1106">
        <f t="shared" si="8"/>
        <v>6618.3</v>
      </c>
    </row>
    <row r="78" spans="1:6" s="1100" customFormat="1" ht="26.25" customHeight="1">
      <c r="A78" s="1105"/>
      <c r="B78" s="1109" t="s">
        <v>6366</v>
      </c>
      <c r="C78" s="1109"/>
      <c r="D78" s="1109"/>
      <c r="E78" s="1109"/>
      <c r="F78" s="1104">
        <f>SUM(F6:F77)</f>
        <v>735047.92</v>
      </c>
    </row>
    <row r="79" spans="1:6" s="1100" customFormat="1" ht="26.25" customHeight="1">
      <c r="A79" s="1105"/>
      <c r="B79" s="1110" t="s">
        <v>6470</v>
      </c>
      <c r="C79" s="1110"/>
      <c r="D79" s="1110"/>
      <c r="E79" s="1110"/>
      <c r="F79" s="1106">
        <f>SUM(F78*18%)</f>
        <v>132308.63</v>
      </c>
    </row>
    <row r="80" spans="1:6" s="1100" customFormat="1" ht="26.25" customHeight="1">
      <c r="A80" s="1105"/>
      <c r="B80" s="1109" t="s">
        <v>6367</v>
      </c>
      <c r="C80" s="1109"/>
      <c r="D80" s="1109"/>
      <c r="E80" s="1109"/>
      <c r="F80" s="1104">
        <f>SUM(F78:F79)</f>
        <v>867356.55</v>
      </c>
    </row>
    <row r="81" spans="1:6" s="1100" customFormat="1" ht="26.25" customHeight="1">
      <c r="A81" s="1105"/>
      <c r="B81" s="1110" t="s">
        <v>6484</v>
      </c>
      <c r="C81" s="1110"/>
      <c r="D81" s="1110"/>
      <c r="E81" s="1106" t="s">
        <v>657</v>
      </c>
      <c r="F81" s="1106">
        <v>30000</v>
      </c>
    </row>
    <row r="82" spans="1:6" s="1100" customFormat="1" ht="26.25" customHeight="1">
      <c r="A82" s="1105"/>
      <c r="B82" s="1111" t="s">
        <v>6497</v>
      </c>
      <c r="C82" s="1112"/>
      <c r="D82" s="1113"/>
      <c r="E82" s="1106" t="s">
        <v>657</v>
      </c>
      <c r="F82" s="1106">
        <v>5000</v>
      </c>
    </row>
    <row r="83" spans="1:6" s="1100" customFormat="1" ht="26.25" customHeight="1">
      <c r="A83" s="1105"/>
      <c r="B83" s="1109" t="s">
        <v>6483</v>
      </c>
      <c r="C83" s="1109"/>
      <c r="D83" s="1109"/>
      <c r="E83" s="1109"/>
      <c r="F83" s="1104">
        <f>SUM(F80:F82)</f>
        <v>902356.55</v>
      </c>
    </row>
    <row r="84" spans="1:6" s="1100" customFormat="1" ht="26.25" customHeight="1">
      <c r="A84" s="1105"/>
      <c r="B84" s="1110" t="s">
        <v>6368</v>
      </c>
      <c r="C84" s="1110"/>
      <c r="D84" s="1110"/>
      <c r="E84" s="1110"/>
      <c r="F84" s="1106">
        <f>SUM(F78*1%)</f>
        <v>7350.48</v>
      </c>
    </row>
    <row r="85" spans="1:6" s="1100" customFormat="1" ht="26.25" customHeight="1">
      <c r="A85" s="1105"/>
      <c r="B85" s="1110" t="s">
        <v>6435</v>
      </c>
      <c r="C85" s="1110"/>
      <c r="D85" s="1110"/>
      <c r="E85" s="1110"/>
      <c r="F85" s="1106">
        <f>SUM(F83*2.5%)</f>
        <v>22558.91</v>
      </c>
    </row>
    <row r="86" spans="1:6" s="1100" customFormat="1" ht="26.25" customHeight="1">
      <c r="A86" s="1105"/>
      <c r="B86" s="1110" t="s">
        <v>6369</v>
      </c>
      <c r="C86" s="1110"/>
      <c r="D86" s="1110"/>
      <c r="E86" s="1110"/>
      <c r="F86" s="1106">
        <f>SUM(F83*7.5%)</f>
        <v>67676.740000000005</v>
      </c>
    </row>
    <row r="87" spans="1:6" s="1100" customFormat="1" ht="26.25" customHeight="1">
      <c r="A87" s="1105"/>
      <c r="B87" s="1109" t="s">
        <v>6370</v>
      </c>
      <c r="C87" s="1109"/>
      <c r="D87" s="1109"/>
      <c r="E87" s="1109"/>
      <c r="F87" s="1104">
        <f>SUM(F83:F86)</f>
        <v>999942.68</v>
      </c>
    </row>
    <row r="88" spans="1:6" s="1100" customFormat="1" ht="26.25" customHeight="1">
      <c r="A88" s="1114"/>
      <c r="C88" s="1115"/>
      <c r="D88" s="1115" t="s">
        <v>6481</v>
      </c>
      <c r="E88" s="1116">
        <f>F87/100000</f>
        <v>10</v>
      </c>
      <c r="F88" s="1117" t="s">
        <v>6482</v>
      </c>
    </row>
  </sheetData>
  <mergeCells count="14">
    <mergeCell ref="B79:E79"/>
    <mergeCell ref="A1:F1"/>
    <mergeCell ref="A2:F2"/>
    <mergeCell ref="A3:F3"/>
    <mergeCell ref="A4:F4"/>
    <mergeCell ref="B78:E78"/>
    <mergeCell ref="B86:E86"/>
    <mergeCell ref="B87:E87"/>
    <mergeCell ref="B80:E80"/>
    <mergeCell ref="B81:D81"/>
    <mergeCell ref="B82:D82"/>
    <mergeCell ref="B83:E83"/>
    <mergeCell ref="B84:E84"/>
    <mergeCell ref="B85:E85"/>
  </mergeCells>
  <printOptions horizontalCentered="1"/>
  <pageMargins left="0.70866141732283472" right="0.70866141732283472" top="0.74803149606299213" bottom="0.74803149606299213" header="0.31496062992125984" footer="0.31496062992125984"/>
  <pageSetup paperSize="9" scale="85" orientation="portrait"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670"/>
  <sheetViews>
    <sheetView view="pageBreakPreview" topLeftCell="A31" zoomScaleSheetLayoutView="100" workbookViewId="0">
      <selection activeCell="D597" sqref="D597"/>
    </sheetView>
  </sheetViews>
  <sheetFormatPr defaultRowHeight="21" customHeight="1"/>
  <cols>
    <col min="1" max="1" width="7.44140625" style="969" customWidth="1"/>
    <col min="2" max="2" width="31.33203125" style="970" customWidth="1"/>
    <col min="3" max="4" width="5.109375" style="969" customWidth="1"/>
    <col min="5" max="7" width="9" style="960" bestFit="1" customWidth="1"/>
    <col min="8" max="8" width="10.33203125" style="960" customWidth="1"/>
    <col min="9" max="9" width="7.777343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18.75" customHeight="1">
      <c r="A1" s="1076" t="s">
        <v>3985</v>
      </c>
      <c r="B1" s="1076"/>
      <c r="C1" s="1076"/>
      <c r="D1" s="1076"/>
      <c r="E1" s="1076"/>
      <c r="F1" s="1076"/>
      <c r="G1" s="1076"/>
      <c r="H1" s="1076"/>
      <c r="I1" s="1076"/>
    </row>
    <row r="2" spans="1:9" ht="18.75" customHeight="1">
      <c r="A2" s="1076" t="s">
        <v>6471</v>
      </c>
      <c r="B2" s="1076"/>
      <c r="C2" s="1076"/>
      <c r="D2" s="1076"/>
      <c r="E2" s="1076"/>
      <c r="F2" s="1076"/>
      <c r="G2" s="1076"/>
      <c r="H2" s="1076"/>
      <c r="I2" s="1076"/>
    </row>
    <row r="3" spans="1:9" ht="59.25" customHeight="1">
      <c r="A3" s="1079" t="s">
        <v>6498</v>
      </c>
      <c r="B3" s="1079"/>
      <c r="C3" s="1079"/>
      <c r="D3" s="1079"/>
      <c r="E3" s="1079"/>
      <c r="F3" s="1079"/>
      <c r="G3" s="1079"/>
      <c r="H3" s="1079"/>
      <c r="I3" s="1079"/>
    </row>
    <row r="4" spans="1:9" ht="21" customHeight="1">
      <c r="A4" s="1077" t="s">
        <v>6346</v>
      </c>
      <c r="B4" s="1077"/>
      <c r="C4" s="1077"/>
      <c r="D4" s="1077"/>
      <c r="E4" s="1077"/>
      <c r="F4" s="1077"/>
      <c r="G4" s="1077"/>
      <c r="H4" s="1077"/>
      <c r="I4" s="1077"/>
    </row>
    <row r="5" spans="1:9" ht="21" customHeight="1">
      <c r="A5" s="1080" t="s">
        <v>6347</v>
      </c>
      <c r="B5" s="1075" t="s">
        <v>6348</v>
      </c>
      <c r="C5" s="1080" t="s">
        <v>1432</v>
      </c>
      <c r="D5" s="1080"/>
      <c r="E5" s="1075" t="s">
        <v>6349</v>
      </c>
      <c r="F5" s="1075"/>
      <c r="G5" s="1075"/>
      <c r="H5" s="1075" t="s">
        <v>6350</v>
      </c>
      <c r="I5" s="1075" t="s">
        <v>6351</v>
      </c>
    </row>
    <row r="6" spans="1:9" ht="21" customHeight="1">
      <c r="A6" s="1080"/>
      <c r="B6" s="1075"/>
      <c r="C6" s="1080"/>
      <c r="D6" s="1080"/>
      <c r="E6" s="962" t="s">
        <v>6352</v>
      </c>
      <c r="F6" s="962" t="s">
        <v>6353</v>
      </c>
      <c r="G6" s="962" t="s">
        <v>6354</v>
      </c>
      <c r="H6" s="1075"/>
      <c r="I6" s="1075"/>
    </row>
    <row r="7" spans="1:9" ht="39" customHeight="1">
      <c r="A7" s="963">
        <v>1</v>
      </c>
      <c r="B7" s="964" t="s">
        <v>6436</v>
      </c>
      <c r="C7" s="963"/>
      <c r="D7" s="963"/>
      <c r="E7" s="965"/>
      <c r="F7" s="965"/>
      <c r="G7" s="965"/>
      <c r="H7" s="965"/>
      <c r="I7" s="962"/>
    </row>
    <row r="8" spans="1:9" ht="21" customHeight="1">
      <c r="A8" s="963"/>
      <c r="B8" s="964" t="s">
        <v>6499</v>
      </c>
      <c r="C8" s="963">
        <v>1</v>
      </c>
      <c r="D8" s="963">
        <v>1</v>
      </c>
      <c r="E8" s="965">
        <v>6.22</v>
      </c>
      <c r="F8" s="965">
        <v>8.77</v>
      </c>
      <c r="G8" s="965" t="s">
        <v>1586</v>
      </c>
      <c r="H8" s="965">
        <f t="shared" ref="H8:H13" si="0">PRODUCT(C8:G8)</f>
        <v>54.55</v>
      </c>
      <c r="I8" s="962"/>
    </row>
    <row r="9" spans="1:9" ht="21" customHeight="1">
      <c r="A9" s="963"/>
      <c r="B9" s="964" t="s">
        <v>6500</v>
      </c>
      <c r="C9" s="963">
        <v>1</v>
      </c>
      <c r="D9" s="963">
        <v>1</v>
      </c>
      <c r="E9" s="965">
        <v>25.94</v>
      </c>
      <c r="F9" s="965" t="s">
        <v>1586</v>
      </c>
      <c r="G9" s="965">
        <v>0.15</v>
      </c>
      <c r="H9" s="965">
        <f t="shared" si="0"/>
        <v>3.89</v>
      </c>
      <c r="I9" s="962"/>
    </row>
    <row r="10" spans="1:9" ht="21" customHeight="1">
      <c r="A10" s="963"/>
      <c r="B10" s="964" t="s">
        <v>6438</v>
      </c>
      <c r="C10" s="963">
        <v>1</v>
      </c>
      <c r="D10" s="963">
        <v>1</v>
      </c>
      <c r="E10" s="965">
        <v>4.2300000000000004</v>
      </c>
      <c r="F10" s="965" t="s">
        <v>1586</v>
      </c>
      <c r="G10" s="965">
        <v>0.15</v>
      </c>
      <c r="H10" s="965">
        <f t="shared" si="0"/>
        <v>0.63</v>
      </c>
      <c r="I10" s="962"/>
    </row>
    <row r="11" spans="1:9" ht="21" customHeight="1">
      <c r="A11" s="963"/>
      <c r="B11" s="964" t="s">
        <v>6437</v>
      </c>
      <c r="C11" s="963">
        <v>2</v>
      </c>
      <c r="D11" s="963">
        <v>5</v>
      </c>
      <c r="E11" s="965">
        <v>0.12</v>
      </c>
      <c r="F11" s="965" t="s">
        <v>1586</v>
      </c>
      <c r="G11" s="965">
        <v>0.15</v>
      </c>
      <c r="H11" s="965">
        <f>PRODUCT(C11:G11)</f>
        <v>0.18</v>
      </c>
      <c r="I11" s="962"/>
    </row>
    <row r="12" spans="1:9" ht="21" customHeight="1">
      <c r="A12" s="963"/>
      <c r="B12" s="964" t="s">
        <v>6375</v>
      </c>
      <c r="C12" s="963">
        <v>1</v>
      </c>
      <c r="D12" s="963">
        <v>1</v>
      </c>
      <c r="E12" s="965">
        <v>6.95</v>
      </c>
      <c r="F12" s="965">
        <v>2.63</v>
      </c>
      <c r="G12" s="965" t="s">
        <v>1586</v>
      </c>
      <c r="H12" s="965">
        <f t="shared" si="0"/>
        <v>18.28</v>
      </c>
      <c r="I12" s="962"/>
    </row>
    <row r="13" spans="1:9" ht="21" customHeight="1">
      <c r="A13" s="963"/>
      <c r="B13" s="964" t="s">
        <v>6439</v>
      </c>
      <c r="C13" s="963">
        <v>1</v>
      </c>
      <c r="D13" s="963">
        <v>1</v>
      </c>
      <c r="E13" s="965">
        <v>19.149999999999999</v>
      </c>
      <c r="F13" s="965" t="s">
        <v>1586</v>
      </c>
      <c r="G13" s="965">
        <v>0.15</v>
      </c>
      <c r="H13" s="965">
        <f t="shared" si="0"/>
        <v>2.87</v>
      </c>
      <c r="I13" s="962"/>
    </row>
    <row r="14" spans="1:9" ht="21" customHeight="1">
      <c r="A14" s="963"/>
      <c r="B14" s="964"/>
      <c r="C14" s="963"/>
      <c r="D14" s="963"/>
      <c r="E14" s="965"/>
      <c r="F14" s="965"/>
      <c r="G14" s="962" t="s">
        <v>2245</v>
      </c>
      <c r="H14" s="962">
        <f>SUM(H8:H13)</f>
        <v>80.400000000000006</v>
      </c>
      <c r="I14" s="962"/>
    </row>
    <row r="15" spans="1:9" ht="21" customHeight="1">
      <c r="A15" s="963"/>
      <c r="B15" s="964"/>
      <c r="C15" s="963"/>
      <c r="D15" s="963"/>
      <c r="E15" s="965"/>
      <c r="F15" s="965"/>
      <c r="G15" s="962" t="s">
        <v>4224</v>
      </c>
      <c r="H15" s="962">
        <f>ROUNDUP(H14,1)</f>
        <v>80.400000000000006</v>
      </c>
      <c r="I15" s="962" t="s">
        <v>609</v>
      </c>
    </row>
    <row r="16" spans="1:9" ht="59.25" customHeight="1">
      <c r="A16" s="963">
        <f>A7+1</f>
        <v>2</v>
      </c>
      <c r="B16" s="964" t="str">
        <f>'[8]Building (2)'!B339</f>
        <v>Pressed tiles (23cmx23cmx20mm) mixed with Water proofing compound</v>
      </c>
      <c r="C16" s="963"/>
      <c r="D16" s="963"/>
      <c r="E16" s="965"/>
      <c r="F16" s="965"/>
      <c r="G16" s="965"/>
      <c r="H16" s="965"/>
      <c r="I16" s="962"/>
    </row>
    <row r="17" spans="1:9" ht="21" customHeight="1">
      <c r="A17" s="963"/>
      <c r="B17" s="964" t="s">
        <v>6440</v>
      </c>
      <c r="C17" s="963">
        <v>1</v>
      </c>
      <c r="D17" s="963">
        <v>1</v>
      </c>
      <c r="E17" s="965">
        <f>H15</f>
        <v>80.400000000000006</v>
      </c>
      <c r="F17" s="965" t="s">
        <v>1586</v>
      </c>
      <c r="G17" s="965" t="s">
        <v>1586</v>
      </c>
      <c r="H17" s="965">
        <f>PRODUCT(C17:G17)</f>
        <v>80.400000000000006</v>
      </c>
      <c r="I17" s="962"/>
    </row>
    <row r="18" spans="1:9" ht="21" customHeight="1">
      <c r="A18" s="963"/>
      <c r="B18" s="964"/>
      <c r="C18" s="963"/>
      <c r="D18" s="963"/>
      <c r="E18" s="965"/>
      <c r="F18" s="965"/>
      <c r="G18" s="962" t="s">
        <v>2245</v>
      </c>
      <c r="H18" s="962">
        <f>SUM(H17:H17)</f>
        <v>80.400000000000006</v>
      </c>
      <c r="I18" s="962"/>
    </row>
    <row r="19" spans="1:9" ht="21" customHeight="1">
      <c r="A19" s="963"/>
      <c r="B19" s="964"/>
      <c r="C19" s="963"/>
      <c r="D19" s="963"/>
      <c r="E19" s="965"/>
      <c r="F19" s="965"/>
      <c r="G19" s="962" t="s">
        <v>4224</v>
      </c>
      <c r="H19" s="962">
        <f>ROUNDUP(H18,1)</f>
        <v>80.400000000000006</v>
      </c>
      <c r="I19" s="962" t="s">
        <v>609</v>
      </c>
    </row>
    <row r="20" spans="1:9" ht="57.75" customHeight="1">
      <c r="A20" s="963">
        <f>A16+1</f>
        <v>3</v>
      </c>
      <c r="B20" s="964" t="s">
        <v>6441</v>
      </c>
      <c r="C20" s="963"/>
      <c r="D20" s="963"/>
      <c r="E20" s="965"/>
      <c r="F20" s="965"/>
      <c r="G20" s="965"/>
      <c r="H20" s="965"/>
      <c r="I20" s="962"/>
    </row>
    <row r="21" spans="1:9" ht="21" customHeight="1">
      <c r="A21" s="963"/>
      <c r="B21" s="964" t="s">
        <v>6501</v>
      </c>
      <c r="C21" s="963">
        <v>1</v>
      </c>
      <c r="D21" s="963">
        <v>1</v>
      </c>
      <c r="E21" s="965">
        <v>2.4</v>
      </c>
      <c r="F21" s="965">
        <v>1.5</v>
      </c>
      <c r="G21" s="965" t="s">
        <v>1586</v>
      </c>
      <c r="H21" s="965">
        <f t="shared" ref="H21:H23" si="1">PRODUCT(C21:G21)</f>
        <v>3.6</v>
      </c>
      <c r="I21" s="962"/>
    </row>
    <row r="22" spans="1:9" ht="21" customHeight="1">
      <c r="A22" s="963"/>
      <c r="B22" s="964" t="s">
        <v>6359</v>
      </c>
      <c r="C22" s="963">
        <v>1</v>
      </c>
      <c r="D22" s="963">
        <v>1</v>
      </c>
      <c r="E22" s="965">
        <v>2.0699999999999998</v>
      </c>
      <c r="F22" s="965">
        <v>1.5</v>
      </c>
      <c r="G22" s="965" t="s">
        <v>1586</v>
      </c>
      <c r="H22" s="965">
        <f t="shared" si="1"/>
        <v>3.11</v>
      </c>
      <c r="I22" s="962"/>
    </row>
    <row r="23" spans="1:9" ht="21" customHeight="1">
      <c r="A23" s="963"/>
      <c r="B23" s="964" t="s">
        <v>6563</v>
      </c>
      <c r="C23" s="963">
        <v>1</v>
      </c>
      <c r="D23" s="963">
        <v>2</v>
      </c>
      <c r="E23" s="965">
        <v>2.4</v>
      </c>
      <c r="F23" s="965">
        <v>1.5</v>
      </c>
      <c r="G23" s="965" t="s">
        <v>1586</v>
      </c>
      <c r="H23" s="965">
        <f t="shared" si="1"/>
        <v>7.2</v>
      </c>
      <c r="I23" s="962"/>
    </row>
    <row r="24" spans="1:9" ht="21" customHeight="1">
      <c r="A24" s="963"/>
      <c r="B24" s="964"/>
      <c r="C24" s="963"/>
      <c r="D24" s="963"/>
      <c r="E24" s="965"/>
      <c r="F24" s="965"/>
      <c r="G24" s="962" t="s">
        <v>2245</v>
      </c>
      <c r="H24" s="962">
        <f>SUM(H21:H23)</f>
        <v>13.91</v>
      </c>
      <c r="I24" s="962"/>
    </row>
    <row r="25" spans="1:9" ht="21" customHeight="1">
      <c r="A25" s="963"/>
      <c r="B25" s="964"/>
      <c r="C25" s="963"/>
      <c r="D25" s="963"/>
      <c r="E25" s="965"/>
      <c r="F25" s="965"/>
      <c r="G25" s="962" t="s">
        <v>4224</v>
      </c>
      <c r="H25" s="962">
        <f>ROUNDUP(H24,1)</f>
        <v>14</v>
      </c>
      <c r="I25" s="962" t="s">
        <v>609</v>
      </c>
    </row>
    <row r="26" spans="1:9" ht="40.5" customHeight="1">
      <c r="A26" s="963">
        <f>A20+1</f>
        <v>4</v>
      </c>
      <c r="B26" s="964" t="str">
        <f>'[8]Building (2)'!B654</f>
        <v>Floor ceramic tiles (Anti-skid) using Grout (Tile Joint Filler).</v>
      </c>
      <c r="C26" s="963"/>
      <c r="D26" s="963"/>
      <c r="E26" s="965"/>
      <c r="F26" s="965"/>
      <c r="G26" s="965"/>
      <c r="H26" s="965"/>
      <c r="I26" s="962"/>
    </row>
    <row r="27" spans="1:9" ht="21" customHeight="1">
      <c r="A27" s="963"/>
      <c r="B27" s="964" t="s">
        <v>6501</v>
      </c>
      <c r="C27" s="963">
        <v>1</v>
      </c>
      <c r="D27" s="963">
        <v>1</v>
      </c>
      <c r="E27" s="965">
        <v>2.4</v>
      </c>
      <c r="F27" s="965">
        <v>1.5</v>
      </c>
      <c r="G27" s="965" t="s">
        <v>1586</v>
      </c>
      <c r="H27" s="965">
        <f t="shared" ref="H27:H29" si="2">PRODUCT(C27:G27)</f>
        <v>3.6</v>
      </c>
      <c r="I27" s="962"/>
    </row>
    <row r="28" spans="1:9" ht="21" customHeight="1">
      <c r="A28" s="963"/>
      <c r="B28" s="964" t="s">
        <v>6359</v>
      </c>
      <c r="C28" s="963">
        <v>1</v>
      </c>
      <c r="D28" s="963">
        <v>1</v>
      </c>
      <c r="E28" s="965">
        <v>2.0699999999999998</v>
      </c>
      <c r="F28" s="965">
        <v>1.5</v>
      </c>
      <c r="G28" s="965" t="s">
        <v>1586</v>
      </c>
      <c r="H28" s="965">
        <f t="shared" si="2"/>
        <v>3.11</v>
      </c>
      <c r="I28" s="962"/>
    </row>
    <row r="29" spans="1:9" ht="21" customHeight="1">
      <c r="A29" s="963"/>
      <c r="B29" s="964" t="s">
        <v>6563</v>
      </c>
      <c r="C29" s="963">
        <v>1</v>
      </c>
      <c r="D29" s="963">
        <v>2</v>
      </c>
      <c r="E29" s="965">
        <v>2.4</v>
      </c>
      <c r="F29" s="965">
        <v>1.5</v>
      </c>
      <c r="G29" s="965" t="s">
        <v>1586</v>
      </c>
      <c r="H29" s="965">
        <f t="shared" si="2"/>
        <v>7.2</v>
      </c>
      <c r="I29" s="962"/>
    </row>
    <row r="30" spans="1:9" ht="21" customHeight="1">
      <c r="A30" s="963"/>
      <c r="B30" s="964"/>
      <c r="C30" s="963"/>
      <c r="D30" s="963"/>
      <c r="E30" s="965"/>
      <c r="F30" s="965"/>
      <c r="G30" s="962" t="s">
        <v>2245</v>
      </c>
      <c r="H30" s="962">
        <f>SUM(H27:H29)</f>
        <v>13.91</v>
      </c>
      <c r="I30" s="962"/>
    </row>
    <row r="31" spans="1:9" ht="21" customHeight="1">
      <c r="A31" s="963"/>
      <c r="B31" s="964"/>
      <c r="C31" s="963"/>
      <c r="D31" s="963"/>
      <c r="E31" s="965"/>
      <c r="F31" s="965"/>
      <c r="G31" s="962" t="s">
        <v>4224</v>
      </c>
      <c r="H31" s="962">
        <f>ROUNDUP(H30,1)</f>
        <v>14</v>
      </c>
      <c r="I31" s="962" t="s">
        <v>609</v>
      </c>
    </row>
    <row r="32" spans="1:9" ht="93" customHeight="1">
      <c r="A32" s="963">
        <f>A26+1</f>
        <v>5</v>
      </c>
      <c r="B32" s="964" t="str">
        <f>'[8]Building (2)'!B848</f>
        <v xml:space="preserve">S &amp; F of Indian Water closet white glazed (Oriya type) of size 580 x 440mm  with PVC SWR grade ' P' or "S' trap- Other than  G.F.  </v>
      </c>
      <c r="C32" s="963"/>
      <c r="D32" s="963"/>
      <c r="E32" s="965"/>
      <c r="F32" s="965"/>
      <c r="G32" s="965"/>
      <c r="H32" s="965"/>
      <c r="I32" s="962"/>
    </row>
    <row r="33" spans="1:9" ht="21" customHeight="1">
      <c r="A33" s="963"/>
      <c r="B33" s="964" t="s">
        <v>6501</v>
      </c>
      <c r="C33" s="963">
        <v>1</v>
      </c>
      <c r="D33" s="963">
        <v>1</v>
      </c>
      <c r="E33" s="965" t="s">
        <v>1586</v>
      </c>
      <c r="F33" s="965" t="s">
        <v>1586</v>
      </c>
      <c r="G33" s="965" t="s">
        <v>1586</v>
      </c>
      <c r="H33" s="965">
        <f>PRODUCT(C33:G33)</f>
        <v>1</v>
      </c>
      <c r="I33" s="962"/>
    </row>
    <row r="34" spans="1:9" ht="21" customHeight="1">
      <c r="A34" s="963"/>
      <c r="B34" s="964"/>
      <c r="C34" s="963"/>
      <c r="D34" s="963"/>
      <c r="E34" s="965"/>
      <c r="F34" s="965"/>
      <c r="G34" s="962" t="s">
        <v>2245</v>
      </c>
      <c r="H34" s="962">
        <f>SUM(H33:H33)</f>
        <v>1</v>
      </c>
      <c r="I34" s="962"/>
    </row>
    <row r="35" spans="1:9" ht="21" customHeight="1">
      <c r="A35" s="963"/>
      <c r="B35" s="964"/>
      <c r="C35" s="963"/>
      <c r="D35" s="963"/>
      <c r="E35" s="965"/>
      <c r="F35" s="965"/>
      <c r="G35" s="962" t="s">
        <v>4224</v>
      </c>
      <c r="H35" s="962">
        <f>ROUNDUP(H34,1)</f>
        <v>1</v>
      </c>
      <c r="I35" s="962" t="s">
        <v>1716</v>
      </c>
    </row>
    <row r="36" spans="1:9" ht="57" customHeight="1">
      <c r="A36" s="963">
        <f>A32+1</f>
        <v>6</v>
      </c>
      <c r="B36" s="964" t="str">
        <f>'[8]Building (2)'!B849</f>
        <v xml:space="preserve">S &amp; F of E.W.C.(White) 500 mm with PVC SWR grade "P" or "S" TRAP </v>
      </c>
      <c r="C36" s="963"/>
      <c r="D36" s="963"/>
      <c r="E36" s="965"/>
      <c r="F36" s="965"/>
      <c r="G36" s="965"/>
      <c r="H36" s="965"/>
      <c r="I36" s="962"/>
    </row>
    <row r="37" spans="1:9" ht="21" customHeight="1">
      <c r="A37" s="963"/>
      <c r="B37" s="964" t="s">
        <v>6359</v>
      </c>
      <c r="C37" s="963">
        <v>1</v>
      </c>
      <c r="D37" s="963">
        <v>1</v>
      </c>
      <c r="E37" s="965" t="s">
        <v>1586</v>
      </c>
      <c r="F37" s="965" t="s">
        <v>1586</v>
      </c>
      <c r="G37" s="965" t="s">
        <v>1586</v>
      </c>
      <c r="H37" s="965">
        <f>PRODUCT(C37:G37)</f>
        <v>1</v>
      </c>
      <c r="I37" s="962"/>
    </row>
    <row r="38" spans="1:9" ht="21" customHeight="1">
      <c r="A38" s="963"/>
      <c r="B38" s="964" t="s">
        <v>6357</v>
      </c>
      <c r="C38" s="963">
        <v>1</v>
      </c>
      <c r="D38" s="963">
        <v>1</v>
      </c>
      <c r="E38" s="965" t="s">
        <v>1586</v>
      </c>
      <c r="F38" s="965" t="s">
        <v>1586</v>
      </c>
      <c r="G38" s="965" t="s">
        <v>1586</v>
      </c>
      <c r="H38" s="965">
        <f>PRODUCT(C38:G38)</f>
        <v>1</v>
      </c>
      <c r="I38" s="962"/>
    </row>
    <row r="39" spans="1:9" ht="21" customHeight="1">
      <c r="A39" s="963"/>
      <c r="B39" s="964"/>
      <c r="C39" s="963"/>
      <c r="D39" s="963"/>
      <c r="E39" s="965"/>
      <c r="F39" s="965"/>
      <c r="G39" s="962" t="s">
        <v>2245</v>
      </c>
      <c r="H39" s="962">
        <f>SUM(H37:H38)</f>
        <v>2</v>
      </c>
      <c r="I39" s="962"/>
    </row>
    <row r="40" spans="1:9" ht="21" customHeight="1">
      <c r="A40" s="963"/>
      <c r="B40" s="964"/>
      <c r="C40" s="963"/>
      <c r="D40" s="963"/>
      <c r="E40" s="965"/>
      <c r="F40" s="965"/>
      <c r="G40" s="962" t="s">
        <v>4224</v>
      </c>
      <c r="H40" s="962">
        <f>ROUNDUP(H39,1)</f>
        <v>2</v>
      </c>
      <c r="I40" s="962" t="s">
        <v>1716</v>
      </c>
    </row>
    <row r="41" spans="1:9" ht="21" customHeight="1">
      <c r="A41" s="963">
        <f>A36+1</f>
        <v>7</v>
      </c>
      <c r="B41" s="964" t="str">
        <f>'[8]Building (2)'!B401</f>
        <v>PVC Nahani trap (4way/2way)</v>
      </c>
      <c r="C41" s="963"/>
      <c r="D41" s="963"/>
      <c r="E41" s="965"/>
      <c r="F41" s="965"/>
      <c r="G41" s="962"/>
      <c r="H41" s="962"/>
      <c r="I41" s="962"/>
    </row>
    <row r="42" spans="1:9" ht="21" customHeight="1">
      <c r="A42" s="963"/>
      <c r="B42" s="964" t="s">
        <v>6501</v>
      </c>
      <c r="C42" s="963">
        <v>1</v>
      </c>
      <c r="D42" s="963">
        <v>1</v>
      </c>
      <c r="E42" s="965" t="s">
        <v>1586</v>
      </c>
      <c r="F42" s="965" t="s">
        <v>1586</v>
      </c>
      <c r="G42" s="965" t="s">
        <v>1586</v>
      </c>
      <c r="H42" s="965">
        <f>PRODUCT(C42:G42)</f>
        <v>1</v>
      </c>
      <c r="I42" s="962"/>
    </row>
    <row r="43" spans="1:9" ht="21" customHeight="1">
      <c r="A43" s="963"/>
      <c r="B43" s="964" t="s">
        <v>6359</v>
      </c>
      <c r="C43" s="963">
        <v>1</v>
      </c>
      <c r="D43" s="963">
        <v>1</v>
      </c>
      <c r="E43" s="965" t="s">
        <v>1586</v>
      </c>
      <c r="F43" s="965" t="s">
        <v>1586</v>
      </c>
      <c r="G43" s="965" t="s">
        <v>1586</v>
      </c>
      <c r="H43" s="965">
        <f>PRODUCT(C43:G43)</f>
        <v>1</v>
      </c>
      <c r="I43" s="962"/>
    </row>
    <row r="44" spans="1:9" ht="21" customHeight="1">
      <c r="A44" s="963"/>
      <c r="B44" s="964" t="s">
        <v>6563</v>
      </c>
      <c r="C44" s="963">
        <v>1</v>
      </c>
      <c r="D44" s="963">
        <v>2</v>
      </c>
      <c r="E44" s="965" t="s">
        <v>1586</v>
      </c>
      <c r="F44" s="965" t="s">
        <v>1586</v>
      </c>
      <c r="G44" s="965" t="s">
        <v>1586</v>
      </c>
      <c r="H44" s="965">
        <f>PRODUCT(C44:G44)</f>
        <v>2</v>
      </c>
      <c r="I44" s="962"/>
    </row>
    <row r="45" spans="1:9" ht="21" customHeight="1">
      <c r="A45" s="963"/>
      <c r="B45" s="964"/>
      <c r="C45" s="963"/>
      <c r="D45" s="963"/>
      <c r="E45" s="965"/>
      <c r="F45" s="965"/>
      <c r="G45" s="962" t="s">
        <v>2245</v>
      </c>
      <c r="H45" s="962">
        <f>SUM(H42:H44)</f>
        <v>4</v>
      </c>
      <c r="I45" s="962"/>
    </row>
    <row r="46" spans="1:9" ht="21" customHeight="1">
      <c r="A46" s="963"/>
      <c r="B46" s="964"/>
      <c r="C46" s="963"/>
      <c r="D46" s="963"/>
      <c r="E46" s="965"/>
      <c r="F46" s="965"/>
      <c r="G46" s="962" t="s">
        <v>4224</v>
      </c>
      <c r="H46" s="962">
        <f>ROUNDUP(H45,1)</f>
        <v>4</v>
      </c>
      <c r="I46" s="962" t="s">
        <v>1716</v>
      </c>
    </row>
    <row r="47" spans="1:9" ht="21" customHeight="1">
      <c r="A47" s="963">
        <f>A41+1</f>
        <v>8</v>
      </c>
      <c r="B47" s="964" t="s">
        <v>6502</v>
      </c>
      <c r="C47" s="963"/>
      <c r="D47" s="963"/>
      <c r="E47" s="965"/>
      <c r="F47" s="965"/>
      <c r="G47" s="962"/>
      <c r="H47" s="962"/>
      <c r="I47" s="962"/>
    </row>
    <row r="48" spans="1:9" ht="21" customHeight="1">
      <c r="A48" s="963"/>
      <c r="B48" s="964" t="s">
        <v>6503</v>
      </c>
      <c r="C48" s="963">
        <v>1</v>
      </c>
      <c r="D48" s="963">
        <v>1</v>
      </c>
      <c r="E48" s="965">
        <v>2.52</v>
      </c>
      <c r="F48" s="965">
        <v>8.77</v>
      </c>
      <c r="G48" s="965" t="s">
        <v>1586</v>
      </c>
      <c r="H48" s="965">
        <f>PRODUCT(C48:G48)</f>
        <v>22.1</v>
      </c>
      <c r="I48" s="962"/>
    </row>
    <row r="49" spans="1:9" ht="21" customHeight="1">
      <c r="A49" s="963"/>
      <c r="B49" s="964" t="s">
        <v>6504</v>
      </c>
      <c r="C49" s="963">
        <v>1</v>
      </c>
      <c r="D49" s="963">
        <v>1</v>
      </c>
      <c r="E49" s="965">
        <v>2.86</v>
      </c>
      <c r="F49" s="965">
        <v>4.04</v>
      </c>
      <c r="G49" s="965" t="s">
        <v>1586</v>
      </c>
      <c r="H49" s="965">
        <f>PRODUCT(C49:G49)</f>
        <v>11.55</v>
      </c>
      <c r="I49" s="962"/>
    </row>
    <row r="50" spans="1:9" ht="21" customHeight="1">
      <c r="A50" s="963"/>
      <c r="B50" s="964" t="s">
        <v>6505</v>
      </c>
      <c r="C50" s="963">
        <v>1</v>
      </c>
      <c r="D50" s="963">
        <v>1</v>
      </c>
      <c r="E50" s="965">
        <v>3.53</v>
      </c>
      <c r="F50" s="965">
        <v>3.54</v>
      </c>
      <c r="G50" s="965" t="s">
        <v>1586</v>
      </c>
      <c r="H50" s="965">
        <f t="shared" ref="H50:H51" si="3">PRODUCT(C50:G50)</f>
        <v>12.5</v>
      </c>
      <c r="I50" s="962"/>
    </row>
    <row r="51" spans="1:9" ht="21" customHeight="1">
      <c r="A51" s="963"/>
      <c r="B51" s="964" t="s">
        <v>6506</v>
      </c>
      <c r="C51" s="963">
        <v>1</v>
      </c>
      <c r="D51" s="963">
        <v>1</v>
      </c>
      <c r="E51" s="965">
        <v>14.14</v>
      </c>
      <c r="F51" s="965" t="s">
        <v>1586</v>
      </c>
      <c r="G51" s="965">
        <v>0.15</v>
      </c>
      <c r="H51" s="965">
        <f t="shared" si="3"/>
        <v>2.12</v>
      </c>
      <c r="I51" s="962"/>
    </row>
    <row r="52" spans="1:9" ht="21" customHeight="1">
      <c r="A52" s="963"/>
      <c r="B52" s="964"/>
      <c r="C52" s="963"/>
      <c r="D52" s="963"/>
      <c r="E52" s="965"/>
      <c r="F52" s="965"/>
      <c r="G52" s="962" t="s">
        <v>2245</v>
      </c>
      <c r="H52" s="962">
        <f>SUM(H48:H51)</f>
        <v>48.27</v>
      </c>
      <c r="I52" s="962"/>
    </row>
    <row r="53" spans="1:9" ht="21" customHeight="1">
      <c r="A53" s="963"/>
      <c r="B53" s="964"/>
      <c r="C53" s="963"/>
      <c r="D53" s="963"/>
      <c r="E53" s="965"/>
      <c r="F53" s="965"/>
      <c r="G53" s="962" t="s">
        <v>4224</v>
      </c>
      <c r="H53" s="962">
        <f>ROUNDUP(H52,1)</f>
        <v>48.3</v>
      </c>
      <c r="I53" s="962" t="s">
        <v>609</v>
      </c>
    </row>
    <row r="54" spans="1:9" ht="37.5" customHeight="1">
      <c r="A54" s="963">
        <f>A47+1</f>
        <v>9</v>
      </c>
      <c r="B54" s="964" t="s">
        <v>6442</v>
      </c>
      <c r="C54" s="963"/>
      <c r="D54" s="963"/>
      <c r="E54" s="965"/>
      <c r="F54" s="965"/>
      <c r="G54" s="965"/>
      <c r="H54" s="965"/>
      <c r="I54" s="962"/>
    </row>
    <row r="55" spans="1:9" ht="21" customHeight="1">
      <c r="A55" s="963"/>
      <c r="B55" s="966" t="s">
        <v>6373</v>
      </c>
      <c r="C55" s="963"/>
      <c r="D55" s="963"/>
      <c r="E55" s="965"/>
      <c r="F55" s="965"/>
      <c r="G55" s="965"/>
      <c r="H55" s="965"/>
      <c r="I55" s="962"/>
    </row>
    <row r="56" spans="1:9" ht="21" customHeight="1">
      <c r="A56" s="963"/>
      <c r="B56" s="964" t="s">
        <v>6375</v>
      </c>
      <c r="C56" s="963">
        <v>1</v>
      </c>
      <c r="D56" s="963">
        <v>1</v>
      </c>
      <c r="E56" s="965">
        <v>2.4</v>
      </c>
      <c r="F56" s="965">
        <v>6.72</v>
      </c>
      <c r="G56" s="965" t="s">
        <v>1586</v>
      </c>
      <c r="H56" s="965">
        <f>PRODUCT(C56:G56)</f>
        <v>16.13</v>
      </c>
      <c r="I56" s="962"/>
    </row>
    <row r="57" spans="1:9" ht="21" customHeight="1">
      <c r="A57" s="963"/>
      <c r="B57" s="964" t="s">
        <v>6443</v>
      </c>
      <c r="C57" s="963">
        <v>1</v>
      </c>
      <c r="D57" s="963">
        <v>1</v>
      </c>
      <c r="E57" s="965">
        <v>6.69</v>
      </c>
      <c r="F57" s="965">
        <v>1.2</v>
      </c>
      <c r="G57" s="965" t="s">
        <v>1586</v>
      </c>
      <c r="H57" s="965">
        <f>PRODUCT(C57:G57)</f>
        <v>8.0299999999999994</v>
      </c>
      <c r="I57" s="962"/>
    </row>
    <row r="58" spans="1:9" ht="21" customHeight="1">
      <c r="A58" s="963"/>
      <c r="B58" s="964" t="s">
        <v>6359</v>
      </c>
      <c r="C58" s="963">
        <v>1</v>
      </c>
      <c r="D58" s="963">
        <v>1</v>
      </c>
      <c r="E58" s="965">
        <v>2.0699999999999998</v>
      </c>
      <c r="F58" s="965">
        <v>0.75</v>
      </c>
      <c r="G58" s="965" t="s">
        <v>1586</v>
      </c>
      <c r="H58" s="965">
        <f>PRODUCT(C58:G58)</f>
        <v>1.55</v>
      </c>
      <c r="I58" s="962"/>
    </row>
    <row r="59" spans="1:9" ht="21" customHeight="1">
      <c r="A59" s="963"/>
      <c r="B59" s="964" t="s">
        <v>6507</v>
      </c>
      <c r="C59" s="963">
        <v>1</v>
      </c>
      <c r="D59" s="963">
        <v>1</v>
      </c>
      <c r="E59" s="965">
        <v>7.84</v>
      </c>
      <c r="F59" s="965">
        <v>0.6</v>
      </c>
      <c r="G59" s="965" t="s">
        <v>1586</v>
      </c>
      <c r="H59" s="965">
        <f t="shared" ref="H59:H68" si="4">PRODUCT(C59:G59)</f>
        <v>4.7</v>
      </c>
      <c r="I59" s="962"/>
    </row>
    <row r="60" spans="1:9" ht="21" customHeight="1">
      <c r="A60" s="963"/>
      <c r="B60" s="964" t="s">
        <v>6501</v>
      </c>
      <c r="C60" s="963">
        <v>1</v>
      </c>
      <c r="D60" s="963">
        <v>1</v>
      </c>
      <c r="E60" s="965">
        <v>1.5</v>
      </c>
      <c r="F60" s="965">
        <v>0.9</v>
      </c>
      <c r="G60" s="965" t="s">
        <v>1586</v>
      </c>
      <c r="H60" s="965">
        <f t="shared" si="4"/>
        <v>1.35</v>
      </c>
      <c r="I60" s="962"/>
    </row>
    <row r="61" spans="1:9" ht="21" customHeight="1">
      <c r="A61" s="963"/>
      <c r="B61" s="964" t="s">
        <v>6508</v>
      </c>
      <c r="C61" s="963">
        <v>1</v>
      </c>
      <c r="D61" s="963">
        <v>1</v>
      </c>
      <c r="E61" s="965">
        <v>3.3</v>
      </c>
      <c r="F61" s="965">
        <v>0.6</v>
      </c>
      <c r="G61" s="965" t="s">
        <v>1586</v>
      </c>
      <c r="H61" s="965">
        <f t="shared" si="4"/>
        <v>1.98</v>
      </c>
      <c r="I61" s="962"/>
    </row>
    <row r="62" spans="1:9" ht="21" customHeight="1">
      <c r="A62" s="963"/>
      <c r="B62" s="964" t="s">
        <v>6444</v>
      </c>
      <c r="C62" s="963">
        <v>1</v>
      </c>
      <c r="D62" s="963">
        <v>1</v>
      </c>
      <c r="E62" s="965">
        <v>7.73</v>
      </c>
      <c r="F62" s="965">
        <v>0.45</v>
      </c>
      <c r="G62" s="965" t="s">
        <v>1586</v>
      </c>
      <c r="H62" s="965">
        <f t="shared" si="4"/>
        <v>3.48</v>
      </c>
      <c r="I62" s="962"/>
    </row>
    <row r="63" spans="1:9" ht="21" customHeight="1">
      <c r="A63" s="963"/>
      <c r="B63" s="964" t="s">
        <v>6447</v>
      </c>
      <c r="C63" s="963">
        <v>1</v>
      </c>
      <c r="D63" s="963">
        <v>1</v>
      </c>
      <c r="E63" s="965">
        <v>6.79</v>
      </c>
      <c r="F63" s="965">
        <v>0.45</v>
      </c>
      <c r="G63" s="965" t="s">
        <v>1586</v>
      </c>
      <c r="H63" s="965">
        <f t="shared" si="4"/>
        <v>3.06</v>
      </c>
      <c r="I63" s="962"/>
    </row>
    <row r="64" spans="1:9" ht="21" customHeight="1">
      <c r="A64" s="963"/>
      <c r="B64" s="964" t="s">
        <v>6357</v>
      </c>
      <c r="C64" s="963">
        <v>1</v>
      </c>
      <c r="D64" s="963">
        <v>1</v>
      </c>
      <c r="E64" s="965">
        <v>1.8</v>
      </c>
      <c r="F64" s="965">
        <v>1.2</v>
      </c>
      <c r="G64" s="965" t="s">
        <v>1586</v>
      </c>
      <c r="H64" s="965">
        <f t="shared" si="4"/>
        <v>2.16</v>
      </c>
      <c r="I64" s="962"/>
    </row>
    <row r="65" spans="1:9" ht="21" customHeight="1">
      <c r="A65" s="963"/>
      <c r="B65" s="964" t="s">
        <v>6380</v>
      </c>
      <c r="C65" s="963">
        <v>1</v>
      </c>
      <c r="D65" s="963">
        <v>1</v>
      </c>
      <c r="E65" s="965">
        <v>1.81</v>
      </c>
      <c r="F65" s="965">
        <v>0.6</v>
      </c>
      <c r="G65" s="965" t="s">
        <v>1586</v>
      </c>
      <c r="H65" s="965">
        <f t="shared" si="4"/>
        <v>1.0900000000000001</v>
      </c>
      <c r="I65" s="962"/>
    </row>
    <row r="66" spans="1:9" ht="21" customHeight="1">
      <c r="A66" s="963"/>
      <c r="B66" s="964" t="s">
        <v>6456</v>
      </c>
      <c r="C66" s="963">
        <v>1</v>
      </c>
      <c r="D66" s="963">
        <v>3</v>
      </c>
      <c r="E66" s="965">
        <v>1.96</v>
      </c>
      <c r="F66" s="965">
        <v>0.6</v>
      </c>
      <c r="G66" s="965" t="s">
        <v>1586</v>
      </c>
      <c r="H66" s="965">
        <f t="shared" si="4"/>
        <v>3.53</v>
      </c>
      <c r="I66" s="962"/>
    </row>
    <row r="67" spans="1:9" ht="21" customHeight="1">
      <c r="A67" s="963"/>
      <c r="B67" s="964" t="s">
        <v>6432</v>
      </c>
      <c r="C67" s="963">
        <v>1</v>
      </c>
      <c r="D67" s="963">
        <v>1</v>
      </c>
      <c r="E67" s="965">
        <v>1.46</v>
      </c>
      <c r="F67" s="965">
        <v>0.6</v>
      </c>
      <c r="G67" s="965" t="s">
        <v>1586</v>
      </c>
      <c r="H67" s="965">
        <f t="shared" si="4"/>
        <v>0.88</v>
      </c>
      <c r="I67" s="962"/>
    </row>
    <row r="68" spans="1:9" ht="21" customHeight="1">
      <c r="A68" s="963"/>
      <c r="B68" s="964" t="s">
        <v>6509</v>
      </c>
      <c r="C68" s="963">
        <v>1</v>
      </c>
      <c r="D68" s="963">
        <v>1</v>
      </c>
      <c r="E68" s="965">
        <v>11.06</v>
      </c>
      <c r="F68" s="965">
        <v>0.6</v>
      </c>
      <c r="G68" s="965" t="s">
        <v>1586</v>
      </c>
      <c r="H68" s="965">
        <f t="shared" si="4"/>
        <v>6.64</v>
      </c>
      <c r="I68" s="962"/>
    </row>
    <row r="69" spans="1:9" ht="21" customHeight="1">
      <c r="A69" s="963"/>
      <c r="B69" s="966" t="s">
        <v>6448</v>
      </c>
      <c r="C69" s="963"/>
      <c r="D69" s="963"/>
      <c r="E69" s="965"/>
      <c r="F69" s="965"/>
      <c r="G69" s="965"/>
      <c r="H69" s="965"/>
      <c r="I69" s="962"/>
    </row>
    <row r="70" spans="1:9" ht="21" customHeight="1">
      <c r="A70" s="963"/>
      <c r="B70" s="966" t="s">
        <v>6450</v>
      </c>
      <c r="C70" s="963"/>
      <c r="D70" s="963"/>
      <c r="E70" s="965"/>
      <c r="F70" s="965"/>
      <c r="G70" s="965"/>
      <c r="H70" s="965"/>
      <c r="I70" s="962"/>
    </row>
    <row r="71" spans="1:9" ht="21" customHeight="1">
      <c r="A71" s="963"/>
      <c r="B71" s="964" t="s">
        <v>6459</v>
      </c>
      <c r="C71" s="963">
        <v>1</v>
      </c>
      <c r="D71" s="963">
        <v>1</v>
      </c>
      <c r="E71" s="965">
        <v>46.3</v>
      </c>
      <c r="F71" s="965" t="s">
        <v>1586</v>
      </c>
      <c r="G71" s="965">
        <v>1.35</v>
      </c>
      <c r="H71" s="965">
        <f t="shared" ref="H71:H84" si="5">PRODUCT(C71:G71)</f>
        <v>62.51</v>
      </c>
      <c r="I71" s="962"/>
    </row>
    <row r="72" spans="1:9" ht="21" customHeight="1">
      <c r="A72" s="963"/>
      <c r="B72" s="964" t="s">
        <v>6510</v>
      </c>
      <c r="C72" s="963">
        <v>1</v>
      </c>
      <c r="D72" s="963">
        <v>2</v>
      </c>
      <c r="E72" s="965">
        <v>3.65</v>
      </c>
      <c r="F72" s="965" t="s">
        <v>1586</v>
      </c>
      <c r="G72" s="965">
        <v>0.45</v>
      </c>
      <c r="H72" s="965">
        <f t="shared" si="5"/>
        <v>3.29</v>
      </c>
      <c r="I72" s="962"/>
    </row>
    <row r="73" spans="1:9" ht="21" customHeight="1">
      <c r="A73" s="963"/>
      <c r="B73" s="964" t="s">
        <v>6511</v>
      </c>
      <c r="C73" s="963">
        <v>1</v>
      </c>
      <c r="D73" s="963">
        <v>1</v>
      </c>
      <c r="E73" s="965">
        <v>6.22</v>
      </c>
      <c r="F73" s="965" t="s">
        <v>1586</v>
      </c>
      <c r="G73" s="965">
        <v>1.5</v>
      </c>
      <c r="H73" s="965">
        <f t="shared" si="5"/>
        <v>9.33</v>
      </c>
      <c r="I73" s="962"/>
    </row>
    <row r="74" spans="1:9" ht="21" customHeight="1">
      <c r="A74" s="963"/>
      <c r="B74" s="964" t="s">
        <v>6512</v>
      </c>
      <c r="C74" s="963">
        <v>1</v>
      </c>
      <c r="D74" s="963">
        <v>1</v>
      </c>
      <c r="E74" s="965">
        <v>1.8</v>
      </c>
      <c r="F74" s="965" t="s">
        <v>1586</v>
      </c>
      <c r="G74" s="965">
        <v>1.2</v>
      </c>
      <c r="H74" s="965">
        <f t="shared" si="5"/>
        <v>2.16</v>
      </c>
      <c r="I74" s="962"/>
    </row>
    <row r="75" spans="1:9" ht="21" customHeight="1">
      <c r="A75" s="963"/>
      <c r="B75" s="964" t="s">
        <v>6375</v>
      </c>
      <c r="C75" s="963">
        <v>1</v>
      </c>
      <c r="D75" s="963">
        <v>1</v>
      </c>
      <c r="E75" s="965">
        <v>12.57</v>
      </c>
      <c r="F75" s="965" t="s">
        <v>1586</v>
      </c>
      <c r="G75" s="965">
        <v>0.6</v>
      </c>
      <c r="H75" s="965">
        <f t="shared" si="5"/>
        <v>7.54</v>
      </c>
      <c r="I75" s="962"/>
    </row>
    <row r="76" spans="1:9" ht="21" customHeight="1">
      <c r="A76" s="963"/>
      <c r="B76" s="964" t="s">
        <v>6513</v>
      </c>
      <c r="C76" s="963">
        <v>1</v>
      </c>
      <c r="D76" s="963">
        <v>1</v>
      </c>
      <c r="E76" s="965">
        <v>40.72</v>
      </c>
      <c r="F76" s="965" t="s">
        <v>1586</v>
      </c>
      <c r="G76" s="965">
        <v>0.45</v>
      </c>
      <c r="H76" s="965">
        <f t="shared" si="5"/>
        <v>18.32</v>
      </c>
      <c r="I76" s="962"/>
    </row>
    <row r="77" spans="1:9" ht="21" customHeight="1">
      <c r="A77" s="963"/>
      <c r="B77" s="964" t="s">
        <v>6514</v>
      </c>
      <c r="C77" s="963">
        <v>1</v>
      </c>
      <c r="D77" s="963">
        <v>1</v>
      </c>
      <c r="E77" s="965">
        <v>40.72</v>
      </c>
      <c r="F77" s="965">
        <v>0.12</v>
      </c>
      <c r="G77" s="965" t="s">
        <v>1586</v>
      </c>
      <c r="H77" s="965">
        <f t="shared" si="5"/>
        <v>4.8899999999999997</v>
      </c>
      <c r="I77" s="962"/>
    </row>
    <row r="78" spans="1:9" ht="21" customHeight="1">
      <c r="A78" s="963"/>
      <c r="B78" s="964" t="s">
        <v>6515</v>
      </c>
      <c r="C78" s="963">
        <v>1</v>
      </c>
      <c r="D78" s="963">
        <v>11</v>
      </c>
      <c r="E78" s="965">
        <v>2.12</v>
      </c>
      <c r="F78" s="965">
        <v>0.12</v>
      </c>
      <c r="G78" s="965" t="s">
        <v>1586</v>
      </c>
      <c r="H78" s="965">
        <f t="shared" si="5"/>
        <v>2.8</v>
      </c>
      <c r="I78" s="962"/>
    </row>
    <row r="79" spans="1:9" ht="21" customHeight="1">
      <c r="A79" s="963"/>
      <c r="B79" s="964" t="s">
        <v>6516</v>
      </c>
      <c r="C79" s="963">
        <v>1</v>
      </c>
      <c r="D79" s="963">
        <v>1</v>
      </c>
      <c r="E79" s="965">
        <v>19.21</v>
      </c>
      <c r="F79" s="965" t="s">
        <v>1586</v>
      </c>
      <c r="G79" s="965">
        <v>0.56999999999999995</v>
      </c>
      <c r="H79" s="965">
        <f t="shared" si="5"/>
        <v>10.95</v>
      </c>
      <c r="I79" s="962"/>
    </row>
    <row r="80" spans="1:9" ht="21" customHeight="1">
      <c r="A80" s="963"/>
      <c r="B80" s="964" t="s">
        <v>6517</v>
      </c>
      <c r="C80" s="963">
        <v>1</v>
      </c>
      <c r="D80" s="963">
        <v>1</v>
      </c>
      <c r="E80" s="965">
        <v>10.14</v>
      </c>
      <c r="F80" s="965" t="s">
        <v>1586</v>
      </c>
      <c r="G80" s="965">
        <v>0.45</v>
      </c>
      <c r="H80" s="965">
        <f t="shared" si="5"/>
        <v>4.5599999999999996</v>
      </c>
      <c r="I80" s="962"/>
    </row>
    <row r="81" spans="1:9" ht="21" customHeight="1">
      <c r="A81" s="963"/>
      <c r="B81" s="966" t="s">
        <v>6518</v>
      </c>
      <c r="C81" s="963"/>
      <c r="D81" s="963"/>
      <c r="E81" s="965"/>
      <c r="F81" s="965"/>
      <c r="G81" s="965"/>
      <c r="H81" s="965"/>
      <c r="I81" s="962"/>
    </row>
    <row r="82" spans="1:9" ht="21" customHeight="1">
      <c r="A82" s="963"/>
      <c r="B82" s="964" t="s">
        <v>6380</v>
      </c>
      <c r="C82" s="963">
        <v>1</v>
      </c>
      <c r="D82" s="963">
        <v>1</v>
      </c>
      <c r="E82" s="965">
        <v>1.81</v>
      </c>
      <c r="F82" s="965">
        <v>0.6</v>
      </c>
      <c r="G82" s="965" t="s">
        <v>1586</v>
      </c>
      <c r="H82" s="965">
        <f t="shared" si="5"/>
        <v>1.0900000000000001</v>
      </c>
      <c r="I82" s="962"/>
    </row>
    <row r="83" spans="1:9" ht="21" customHeight="1">
      <c r="A83" s="963"/>
      <c r="B83" s="964" t="s">
        <v>6456</v>
      </c>
      <c r="C83" s="963">
        <v>1</v>
      </c>
      <c r="D83" s="963">
        <v>3</v>
      </c>
      <c r="E83" s="965">
        <v>1.96</v>
      </c>
      <c r="F83" s="965">
        <v>0.6</v>
      </c>
      <c r="G83" s="965" t="s">
        <v>1586</v>
      </c>
      <c r="H83" s="965">
        <f t="shared" si="5"/>
        <v>3.53</v>
      </c>
      <c r="I83" s="962"/>
    </row>
    <row r="84" spans="1:9" ht="21" customHeight="1">
      <c r="A84" s="963"/>
      <c r="B84" s="964" t="s">
        <v>6375</v>
      </c>
      <c r="C84" s="963">
        <v>1</v>
      </c>
      <c r="D84" s="963">
        <v>1</v>
      </c>
      <c r="E84" s="965">
        <v>1.46</v>
      </c>
      <c r="F84" s="965">
        <v>0.6</v>
      </c>
      <c r="G84" s="965" t="s">
        <v>1586</v>
      </c>
      <c r="H84" s="965">
        <f t="shared" si="5"/>
        <v>0.88</v>
      </c>
      <c r="I84" s="962"/>
    </row>
    <row r="85" spans="1:9" ht="21" customHeight="1">
      <c r="A85" s="963"/>
      <c r="B85" s="966" t="s">
        <v>6519</v>
      </c>
      <c r="C85" s="963"/>
      <c r="D85" s="963"/>
      <c r="E85" s="965"/>
      <c r="F85" s="965"/>
      <c r="G85" s="965"/>
      <c r="H85" s="965"/>
      <c r="I85" s="962"/>
    </row>
    <row r="86" spans="1:9" ht="21" customHeight="1">
      <c r="A86" s="963"/>
      <c r="B86" s="964" t="s">
        <v>6380</v>
      </c>
      <c r="C86" s="963">
        <v>1</v>
      </c>
      <c r="D86" s="963">
        <v>1</v>
      </c>
      <c r="E86" s="965">
        <v>3.01</v>
      </c>
      <c r="F86" s="965" t="s">
        <v>1586</v>
      </c>
      <c r="G86" s="965">
        <v>0.06</v>
      </c>
      <c r="H86" s="965">
        <f>PRODUCT(C86:G86)</f>
        <v>0.18</v>
      </c>
      <c r="I86" s="962"/>
    </row>
    <row r="87" spans="1:9" ht="21" customHeight="1">
      <c r="A87" s="963"/>
      <c r="B87" s="964" t="s">
        <v>6456</v>
      </c>
      <c r="C87" s="963">
        <v>1</v>
      </c>
      <c r="D87" s="963">
        <v>3</v>
      </c>
      <c r="E87" s="965">
        <v>3.16</v>
      </c>
      <c r="F87" s="965" t="s">
        <v>1586</v>
      </c>
      <c r="G87" s="965">
        <v>0.06</v>
      </c>
      <c r="H87" s="965">
        <f>PRODUCT(C87:G87)</f>
        <v>0.56999999999999995</v>
      </c>
      <c r="I87" s="962"/>
    </row>
    <row r="88" spans="1:9" ht="21" customHeight="1">
      <c r="A88" s="963"/>
      <c r="B88" s="964" t="s">
        <v>6375</v>
      </c>
      <c r="C88" s="963">
        <v>1</v>
      </c>
      <c r="D88" s="963">
        <v>1</v>
      </c>
      <c r="E88" s="965">
        <v>2.66</v>
      </c>
      <c r="F88" s="965" t="s">
        <v>1586</v>
      </c>
      <c r="G88" s="965">
        <v>0.06</v>
      </c>
      <c r="H88" s="965">
        <f>PRODUCT(C88:G88)</f>
        <v>0.16</v>
      </c>
      <c r="I88" s="962"/>
    </row>
    <row r="89" spans="1:9" ht="21" customHeight="1">
      <c r="A89" s="963"/>
      <c r="B89" s="966" t="s">
        <v>6364</v>
      </c>
      <c r="C89" s="963"/>
      <c r="D89" s="963"/>
      <c r="E89" s="965"/>
      <c r="F89" s="965"/>
      <c r="G89" s="965"/>
      <c r="H89" s="965"/>
      <c r="I89" s="962"/>
    </row>
    <row r="90" spans="1:9" ht="21" customHeight="1">
      <c r="A90" s="963"/>
      <c r="B90" s="964" t="s">
        <v>6505</v>
      </c>
      <c r="C90" s="963">
        <v>-1</v>
      </c>
      <c r="D90" s="963">
        <v>1</v>
      </c>
      <c r="E90" s="965">
        <v>3.76</v>
      </c>
      <c r="F90" s="965" t="s">
        <v>1586</v>
      </c>
      <c r="G90" s="965">
        <v>0.75</v>
      </c>
      <c r="H90" s="965">
        <f>PRODUCT(C90:G90)</f>
        <v>-2.82</v>
      </c>
      <c r="I90" s="962"/>
    </row>
    <row r="91" spans="1:9" ht="21" customHeight="1">
      <c r="A91" s="963"/>
      <c r="B91" s="964" t="s">
        <v>6520</v>
      </c>
      <c r="C91" s="963">
        <v>-1</v>
      </c>
      <c r="D91" s="963">
        <v>1</v>
      </c>
      <c r="E91" s="965">
        <v>1</v>
      </c>
      <c r="F91" s="965" t="s">
        <v>1586</v>
      </c>
      <c r="G91" s="965">
        <v>0.75</v>
      </c>
      <c r="H91" s="965">
        <f>PRODUCT(C91:G91)</f>
        <v>-0.75</v>
      </c>
      <c r="I91" s="962"/>
    </row>
    <row r="92" spans="1:9" ht="21" customHeight="1">
      <c r="A92" s="963"/>
      <c r="B92" s="966" t="s">
        <v>6449</v>
      </c>
      <c r="C92" s="963"/>
      <c r="D92" s="963"/>
      <c r="E92" s="965"/>
      <c r="F92" s="965"/>
      <c r="G92" s="965"/>
      <c r="H92" s="965"/>
      <c r="I92" s="962"/>
    </row>
    <row r="93" spans="1:9" ht="21" customHeight="1">
      <c r="A93" s="963"/>
      <c r="B93" s="964" t="s">
        <v>6355</v>
      </c>
      <c r="C93" s="963">
        <v>1</v>
      </c>
      <c r="D93" s="963">
        <v>1</v>
      </c>
      <c r="E93" s="965">
        <v>13.7</v>
      </c>
      <c r="F93" s="965" t="s">
        <v>1586</v>
      </c>
      <c r="G93" s="965">
        <v>0.6</v>
      </c>
      <c r="H93" s="965">
        <f t="shared" ref="H93:H107" si="6">PRODUCT(C93:G93)</f>
        <v>8.2200000000000006</v>
      </c>
      <c r="I93" s="962"/>
    </row>
    <row r="94" spans="1:9" ht="21" customHeight="1">
      <c r="A94" s="963"/>
      <c r="B94" s="964" t="s">
        <v>6521</v>
      </c>
      <c r="C94" s="963">
        <v>1</v>
      </c>
      <c r="D94" s="963">
        <v>1</v>
      </c>
      <c r="E94" s="965">
        <v>13.93</v>
      </c>
      <c r="F94" s="965" t="s">
        <v>1586</v>
      </c>
      <c r="G94" s="965">
        <v>0.5</v>
      </c>
      <c r="H94" s="965">
        <f t="shared" si="6"/>
        <v>6.97</v>
      </c>
      <c r="I94" s="962"/>
    </row>
    <row r="95" spans="1:9" ht="21" customHeight="1">
      <c r="A95" s="963"/>
      <c r="B95" s="964" t="s">
        <v>6522</v>
      </c>
      <c r="C95" s="963">
        <v>1</v>
      </c>
      <c r="D95" s="963">
        <v>1</v>
      </c>
      <c r="E95" s="965">
        <v>7.37</v>
      </c>
      <c r="F95" s="965" t="s">
        <v>1586</v>
      </c>
      <c r="G95" s="965">
        <v>0.6</v>
      </c>
      <c r="H95" s="965">
        <f t="shared" si="6"/>
        <v>4.42</v>
      </c>
      <c r="I95" s="962"/>
    </row>
    <row r="96" spans="1:9" ht="21" customHeight="1">
      <c r="A96" s="963"/>
      <c r="B96" s="964" t="s">
        <v>6523</v>
      </c>
      <c r="C96" s="963">
        <v>1</v>
      </c>
      <c r="D96" s="963">
        <v>2</v>
      </c>
      <c r="E96" s="965">
        <v>3</v>
      </c>
      <c r="F96" s="965" t="s">
        <v>1586</v>
      </c>
      <c r="G96" s="965">
        <v>0.75</v>
      </c>
      <c r="H96" s="965">
        <f t="shared" si="6"/>
        <v>4.5</v>
      </c>
      <c r="I96" s="962"/>
    </row>
    <row r="97" spans="1:9" ht="21" customHeight="1">
      <c r="A97" s="963"/>
      <c r="B97" s="964" t="s">
        <v>6358</v>
      </c>
      <c r="C97" s="963">
        <v>1</v>
      </c>
      <c r="D97" s="963">
        <v>2</v>
      </c>
      <c r="E97" s="965">
        <v>1.2</v>
      </c>
      <c r="F97" s="965" t="s">
        <v>1586</v>
      </c>
      <c r="G97" s="965">
        <v>1.2</v>
      </c>
      <c r="H97" s="965">
        <f t="shared" si="6"/>
        <v>2.88</v>
      </c>
      <c r="I97" s="962"/>
    </row>
    <row r="98" spans="1:9" ht="21" customHeight="1">
      <c r="A98" s="963"/>
      <c r="B98" s="964" t="s">
        <v>6374</v>
      </c>
      <c r="C98" s="963">
        <v>1</v>
      </c>
      <c r="D98" s="963">
        <v>1</v>
      </c>
      <c r="E98" s="965">
        <v>4</v>
      </c>
      <c r="F98" s="965" t="s">
        <v>1586</v>
      </c>
      <c r="G98" s="965">
        <v>0.75</v>
      </c>
      <c r="H98" s="965">
        <f t="shared" si="6"/>
        <v>3</v>
      </c>
      <c r="I98" s="962"/>
    </row>
    <row r="99" spans="1:9" ht="21" customHeight="1">
      <c r="A99" s="963"/>
      <c r="B99" s="964" t="s">
        <v>6446</v>
      </c>
      <c r="C99" s="963">
        <v>1</v>
      </c>
      <c r="D99" s="963">
        <v>1</v>
      </c>
      <c r="E99" s="965">
        <v>0.75</v>
      </c>
      <c r="F99" s="965" t="s">
        <v>1586</v>
      </c>
      <c r="G99" s="965">
        <v>0.9</v>
      </c>
      <c r="H99" s="965">
        <f t="shared" si="6"/>
        <v>0.68</v>
      </c>
      <c r="I99" s="962"/>
    </row>
    <row r="100" spans="1:9" ht="21" customHeight="1">
      <c r="A100" s="963"/>
      <c r="B100" s="964" t="s">
        <v>6446</v>
      </c>
      <c r="C100" s="963">
        <v>1</v>
      </c>
      <c r="D100" s="963">
        <v>1</v>
      </c>
      <c r="E100" s="965">
        <v>4.8</v>
      </c>
      <c r="F100" s="965" t="s">
        <v>1586</v>
      </c>
      <c r="G100" s="965">
        <v>0.3</v>
      </c>
      <c r="H100" s="965">
        <f t="shared" si="6"/>
        <v>1.44</v>
      </c>
      <c r="I100" s="962"/>
    </row>
    <row r="101" spans="1:9" ht="21" customHeight="1">
      <c r="A101" s="963"/>
      <c r="B101" s="964" t="s">
        <v>6443</v>
      </c>
      <c r="C101" s="963">
        <v>1</v>
      </c>
      <c r="D101" s="963">
        <v>1</v>
      </c>
      <c r="E101" s="965">
        <v>11.62</v>
      </c>
      <c r="F101" s="965" t="s">
        <v>1586</v>
      </c>
      <c r="G101" s="965">
        <v>0.75</v>
      </c>
      <c r="H101" s="965">
        <f t="shared" si="6"/>
        <v>8.7200000000000006</v>
      </c>
      <c r="I101" s="962"/>
    </row>
    <row r="102" spans="1:9" ht="21" customHeight="1">
      <c r="A102" s="963"/>
      <c r="B102" s="964" t="s">
        <v>6444</v>
      </c>
      <c r="C102" s="963">
        <v>1</v>
      </c>
      <c r="D102" s="963">
        <v>1</v>
      </c>
      <c r="E102" s="965">
        <v>14.45</v>
      </c>
      <c r="F102" s="965" t="s">
        <v>1586</v>
      </c>
      <c r="G102" s="965">
        <v>0.75</v>
      </c>
      <c r="H102" s="965">
        <f t="shared" si="6"/>
        <v>10.84</v>
      </c>
      <c r="I102" s="962"/>
    </row>
    <row r="103" spans="1:9" ht="21" customHeight="1">
      <c r="A103" s="963"/>
      <c r="B103" s="964" t="s">
        <v>6507</v>
      </c>
      <c r="C103" s="963">
        <v>1</v>
      </c>
      <c r="D103" s="963">
        <v>1</v>
      </c>
      <c r="E103" s="965">
        <v>14.68</v>
      </c>
      <c r="F103" s="965" t="s">
        <v>1586</v>
      </c>
      <c r="G103" s="965">
        <v>0.7</v>
      </c>
      <c r="H103" s="965">
        <f t="shared" si="6"/>
        <v>10.28</v>
      </c>
      <c r="I103" s="962"/>
    </row>
    <row r="104" spans="1:9" ht="21" customHeight="1">
      <c r="A104" s="963"/>
      <c r="B104" s="964" t="s">
        <v>6445</v>
      </c>
      <c r="C104" s="963">
        <v>1</v>
      </c>
      <c r="D104" s="963">
        <v>1</v>
      </c>
      <c r="E104" s="965">
        <v>5.96</v>
      </c>
      <c r="F104" s="965" t="s">
        <v>1586</v>
      </c>
      <c r="G104" s="965">
        <v>0.6</v>
      </c>
      <c r="H104" s="965">
        <f t="shared" si="6"/>
        <v>3.58</v>
      </c>
      <c r="I104" s="962"/>
    </row>
    <row r="105" spans="1:9" ht="21" customHeight="1">
      <c r="A105" s="963"/>
      <c r="B105" s="964" t="s">
        <v>6447</v>
      </c>
      <c r="C105" s="963">
        <v>1</v>
      </c>
      <c r="D105" s="963">
        <v>1</v>
      </c>
      <c r="E105" s="965">
        <v>6.79</v>
      </c>
      <c r="F105" s="965" t="s">
        <v>1586</v>
      </c>
      <c r="G105" s="965">
        <v>0.5</v>
      </c>
      <c r="H105" s="965">
        <f t="shared" si="6"/>
        <v>3.4</v>
      </c>
      <c r="I105" s="962"/>
    </row>
    <row r="106" spans="1:9" ht="21" customHeight="1">
      <c r="A106" s="963"/>
      <c r="B106" s="964" t="s">
        <v>6356</v>
      </c>
      <c r="C106" s="963">
        <v>1</v>
      </c>
      <c r="D106" s="963">
        <v>2</v>
      </c>
      <c r="E106" s="965">
        <v>1.75</v>
      </c>
      <c r="F106" s="965" t="s">
        <v>1586</v>
      </c>
      <c r="G106" s="965">
        <v>0.75</v>
      </c>
      <c r="H106" s="965">
        <f t="shared" si="6"/>
        <v>2.63</v>
      </c>
      <c r="I106" s="962"/>
    </row>
    <row r="107" spans="1:9" ht="21" customHeight="1">
      <c r="A107" s="963"/>
      <c r="B107" s="964" t="s">
        <v>6524</v>
      </c>
      <c r="C107" s="963">
        <v>1</v>
      </c>
      <c r="D107" s="963">
        <v>1</v>
      </c>
      <c r="E107" s="965">
        <v>11.93</v>
      </c>
      <c r="F107" s="965" t="s">
        <v>1586</v>
      </c>
      <c r="G107" s="965">
        <v>1.2</v>
      </c>
      <c r="H107" s="965">
        <f t="shared" si="6"/>
        <v>14.32</v>
      </c>
      <c r="I107" s="962"/>
    </row>
    <row r="108" spans="1:9" ht="21" customHeight="1">
      <c r="A108" s="963"/>
      <c r="B108" s="964"/>
      <c r="C108" s="963"/>
      <c r="D108" s="963"/>
      <c r="E108" s="965"/>
      <c r="F108" s="965"/>
      <c r="G108" s="962" t="s">
        <v>2245</v>
      </c>
      <c r="H108" s="962">
        <f>SUM(H55:H107)</f>
        <v>269.64999999999998</v>
      </c>
      <c r="I108" s="962"/>
    </row>
    <row r="109" spans="1:9" ht="21" customHeight="1">
      <c r="A109" s="963"/>
      <c r="B109" s="964"/>
      <c r="C109" s="963"/>
      <c r="D109" s="963"/>
      <c r="E109" s="965"/>
      <c r="F109" s="965"/>
      <c r="G109" s="962" t="s">
        <v>4224</v>
      </c>
      <c r="H109" s="962">
        <f>ROUNDUP(H108,1)</f>
        <v>269.7</v>
      </c>
      <c r="I109" s="962" t="s">
        <v>609</v>
      </c>
    </row>
    <row r="110" spans="1:9" ht="24" customHeight="1">
      <c r="A110" s="963">
        <f>A54+1</f>
        <v>10</v>
      </c>
      <c r="B110" s="964" t="str">
        <f>'[8]Building (2)'!B341</f>
        <v>Plastering in C.M. 1:5, 12 mm tk.</v>
      </c>
      <c r="C110" s="963"/>
      <c r="D110" s="963"/>
      <c r="E110" s="965"/>
      <c r="F110" s="965"/>
      <c r="G110" s="965"/>
      <c r="H110" s="965"/>
      <c r="I110" s="962"/>
    </row>
    <row r="111" spans="1:9" ht="21" customHeight="1">
      <c r="A111" s="963"/>
      <c r="B111" s="966" t="s">
        <v>6448</v>
      </c>
      <c r="C111" s="963"/>
      <c r="D111" s="963"/>
      <c r="E111" s="965"/>
      <c r="F111" s="965"/>
      <c r="G111" s="965"/>
      <c r="H111" s="965"/>
      <c r="I111" s="962"/>
    </row>
    <row r="112" spans="1:9" ht="21" customHeight="1">
      <c r="A112" s="963"/>
      <c r="B112" s="966" t="s">
        <v>6450</v>
      </c>
      <c r="C112" s="963"/>
      <c r="D112" s="963"/>
      <c r="E112" s="965"/>
      <c r="F112" s="965"/>
      <c r="G112" s="965"/>
      <c r="H112" s="965"/>
      <c r="I112" s="962"/>
    </row>
    <row r="113" spans="1:9" ht="21" customHeight="1">
      <c r="A113" s="963"/>
      <c r="B113" s="964" t="s">
        <v>6459</v>
      </c>
      <c r="C113" s="963">
        <v>1</v>
      </c>
      <c r="D113" s="963">
        <v>1</v>
      </c>
      <c r="E113" s="965">
        <v>46.3</v>
      </c>
      <c r="F113" s="965" t="s">
        <v>1586</v>
      </c>
      <c r="G113" s="965">
        <v>1.35</v>
      </c>
      <c r="H113" s="965">
        <f t="shared" ref="H113:H122" si="7">PRODUCT(C113:G113)</f>
        <v>62.51</v>
      </c>
      <c r="I113" s="962"/>
    </row>
    <row r="114" spans="1:9" ht="21" customHeight="1">
      <c r="A114" s="963"/>
      <c r="B114" s="964" t="s">
        <v>6510</v>
      </c>
      <c r="C114" s="963">
        <v>1</v>
      </c>
      <c r="D114" s="963">
        <v>2</v>
      </c>
      <c r="E114" s="965">
        <v>3.65</v>
      </c>
      <c r="F114" s="965" t="s">
        <v>1586</v>
      </c>
      <c r="G114" s="965">
        <v>0.45</v>
      </c>
      <c r="H114" s="965">
        <f t="shared" si="7"/>
        <v>3.29</v>
      </c>
      <c r="I114" s="962"/>
    </row>
    <row r="115" spans="1:9" ht="21" customHeight="1">
      <c r="A115" s="963"/>
      <c r="B115" s="964" t="s">
        <v>6511</v>
      </c>
      <c r="C115" s="963">
        <v>1</v>
      </c>
      <c r="D115" s="963">
        <v>1</v>
      </c>
      <c r="E115" s="965">
        <v>6.22</v>
      </c>
      <c r="F115" s="965" t="s">
        <v>1586</v>
      </c>
      <c r="G115" s="965">
        <v>1.5</v>
      </c>
      <c r="H115" s="965">
        <f t="shared" si="7"/>
        <v>9.33</v>
      </c>
      <c r="I115" s="962"/>
    </row>
    <row r="116" spans="1:9" ht="21" customHeight="1">
      <c r="A116" s="963"/>
      <c r="B116" s="964" t="s">
        <v>6512</v>
      </c>
      <c r="C116" s="963">
        <v>1</v>
      </c>
      <c r="D116" s="963">
        <v>1</v>
      </c>
      <c r="E116" s="965">
        <v>1.8</v>
      </c>
      <c r="F116" s="965" t="s">
        <v>1586</v>
      </c>
      <c r="G116" s="965">
        <v>1.2</v>
      </c>
      <c r="H116" s="965">
        <f t="shared" si="7"/>
        <v>2.16</v>
      </c>
      <c r="I116" s="962"/>
    </row>
    <row r="117" spans="1:9" ht="21" customHeight="1">
      <c r="A117" s="963"/>
      <c r="B117" s="964" t="s">
        <v>6375</v>
      </c>
      <c r="C117" s="963">
        <v>1</v>
      </c>
      <c r="D117" s="963">
        <v>1</v>
      </c>
      <c r="E117" s="965">
        <v>12.57</v>
      </c>
      <c r="F117" s="965" t="s">
        <v>1586</v>
      </c>
      <c r="G117" s="965">
        <v>0.6</v>
      </c>
      <c r="H117" s="965">
        <f t="shared" si="7"/>
        <v>7.54</v>
      </c>
      <c r="I117" s="962"/>
    </row>
    <row r="118" spans="1:9" ht="21" customHeight="1">
      <c r="A118" s="963"/>
      <c r="B118" s="964" t="s">
        <v>6513</v>
      </c>
      <c r="C118" s="963">
        <v>1</v>
      </c>
      <c r="D118" s="963">
        <v>1</v>
      </c>
      <c r="E118" s="965">
        <v>40.72</v>
      </c>
      <c r="F118" s="965" t="s">
        <v>1586</v>
      </c>
      <c r="G118" s="965">
        <v>0.45</v>
      </c>
      <c r="H118" s="965">
        <f t="shared" si="7"/>
        <v>18.32</v>
      </c>
      <c r="I118" s="962"/>
    </row>
    <row r="119" spans="1:9" ht="21" customHeight="1">
      <c r="A119" s="963"/>
      <c r="B119" s="964" t="s">
        <v>6514</v>
      </c>
      <c r="C119" s="963">
        <v>1</v>
      </c>
      <c r="D119" s="963">
        <v>1</v>
      </c>
      <c r="E119" s="965">
        <v>40.72</v>
      </c>
      <c r="F119" s="965">
        <v>0.12</v>
      </c>
      <c r="G119" s="965" t="s">
        <v>1586</v>
      </c>
      <c r="H119" s="965">
        <f t="shared" si="7"/>
        <v>4.8899999999999997</v>
      </c>
      <c r="I119" s="962"/>
    </row>
    <row r="120" spans="1:9" ht="21" customHeight="1">
      <c r="A120" s="963"/>
      <c r="B120" s="964" t="s">
        <v>6515</v>
      </c>
      <c r="C120" s="963">
        <v>1</v>
      </c>
      <c r="D120" s="963">
        <v>11</v>
      </c>
      <c r="E120" s="965">
        <v>2.12</v>
      </c>
      <c r="F120" s="965">
        <v>0.12</v>
      </c>
      <c r="G120" s="965" t="s">
        <v>1586</v>
      </c>
      <c r="H120" s="965">
        <f t="shared" si="7"/>
        <v>2.8</v>
      </c>
      <c r="I120" s="962"/>
    </row>
    <row r="121" spans="1:9" ht="21" customHeight="1">
      <c r="A121" s="963"/>
      <c r="B121" s="964" t="s">
        <v>6516</v>
      </c>
      <c r="C121" s="963">
        <v>1</v>
      </c>
      <c r="D121" s="963">
        <v>1</v>
      </c>
      <c r="E121" s="965">
        <v>19.21</v>
      </c>
      <c r="F121" s="965" t="s">
        <v>1586</v>
      </c>
      <c r="G121" s="965">
        <v>0.56999999999999995</v>
      </c>
      <c r="H121" s="965">
        <f t="shared" si="7"/>
        <v>10.95</v>
      </c>
      <c r="I121" s="962"/>
    </row>
    <row r="122" spans="1:9" ht="21" customHeight="1">
      <c r="A122" s="963"/>
      <c r="B122" s="964" t="s">
        <v>6517</v>
      </c>
      <c r="C122" s="963">
        <v>1</v>
      </c>
      <c r="D122" s="963">
        <v>1</v>
      </c>
      <c r="E122" s="965">
        <v>10.14</v>
      </c>
      <c r="F122" s="965" t="s">
        <v>1586</v>
      </c>
      <c r="G122" s="965">
        <v>0.45</v>
      </c>
      <c r="H122" s="965">
        <f t="shared" si="7"/>
        <v>4.5599999999999996</v>
      </c>
      <c r="I122" s="962"/>
    </row>
    <row r="123" spans="1:9" ht="21" customHeight="1">
      <c r="A123" s="963"/>
      <c r="B123" s="966" t="s">
        <v>6518</v>
      </c>
      <c r="C123" s="963"/>
      <c r="D123" s="963"/>
      <c r="E123" s="965"/>
      <c r="F123" s="965"/>
      <c r="G123" s="965"/>
      <c r="H123" s="965"/>
      <c r="I123" s="962"/>
    </row>
    <row r="124" spans="1:9" ht="21" customHeight="1">
      <c r="A124" s="963"/>
      <c r="B124" s="964" t="s">
        <v>6380</v>
      </c>
      <c r="C124" s="963">
        <v>1</v>
      </c>
      <c r="D124" s="963">
        <v>1</v>
      </c>
      <c r="E124" s="965">
        <v>1.81</v>
      </c>
      <c r="F124" s="965">
        <v>0.6</v>
      </c>
      <c r="G124" s="965" t="s">
        <v>1586</v>
      </c>
      <c r="H124" s="965">
        <f t="shared" ref="H124:H126" si="8">PRODUCT(C124:G124)</f>
        <v>1.0900000000000001</v>
      </c>
      <c r="I124" s="962"/>
    </row>
    <row r="125" spans="1:9" ht="21" customHeight="1">
      <c r="A125" s="963"/>
      <c r="B125" s="964" t="s">
        <v>6456</v>
      </c>
      <c r="C125" s="963">
        <v>1</v>
      </c>
      <c r="D125" s="963">
        <v>3</v>
      </c>
      <c r="E125" s="965">
        <v>1.96</v>
      </c>
      <c r="F125" s="965">
        <v>0.6</v>
      </c>
      <c r="G125" s="965" t="s">
        <v>1586</v>
      </c>
      <c r="H125" s="965">
        <f t="shared" si="8"/>
        <v>3.53</v>
      </c>
      <c r="I125" s="962"/>
    </row>
    <row r="126" spans="1:9" ht="21" customHeight="1">
      <c r="A126" s="963"/>
      <c r="B126" s="964" t="s">
        <v>6375</v>
      </c>
      <c r="C126" s="963">
        <v>1</v>
      </c>
      <c r="D126" s="963">
        <v>1</v>
      </c>
      <c r="E126" s="965">
        <v>1.46</v>
      </c>
      <c r="F126" s="965">
        <v>0.6</v>
      </c>
      <c r="G126" s="965" t="s">
        <v>1586</v>
      </c>
      <c r="H126" s="965">
        <f t="shared" si="8"/>
        <v>0.88</v>
      </c>
      <c r="I126" s="962"/>
    </row>
    <row r="127" spans="1:9" ht="21" customHeight="1">
      <c r="A127" s="963"/>
      <c r="B127" s="966" t="s">
        <v>6519</v>
      </c>
      <c r="C127" s="963"/>
      <c r="D127" s="963"/>
      <c r="E127" s="965"/>
      <c r="F127" s="965"/>
      <c r="G127" s="965"/>
      <c r="H127" s="965"/>
      <c r="I127" s="962"/>
    </row>
    <row r="128" spans="1:9" ht="21" customHeight="1">
      <c r="A128" s="963"/>
      <c r="B128" s="964" t="s">
        <v>6380</v>
      </c>
      <c r="C128" s="963">
        <v>1</v>
      </c>
      <c r="D128" s="963">
        <v>1</v>
      </c>
      <c r="E128" s="965">
        <v>3.01</v>
      </c>
      <c r="F128" s="965" t="s">
        <v>1586</v>
      </c>
      <c r="G128" s="965">
        <v>0.06</v>
      </c>
      <c r="H128" s="965">
        <f>PRODUCT(C128:G128)</f>
        <v>0.18</v>
      </c>
      <c r="I128" s="962"/>
    </row>
    <row r="129" spans="1:9" ht="21" customHeight="1">
      <c r="A129" s="963"/>
      <c r="B129" s="964" t="s">
        <v>6456</v>
      </c>
      <c r="C129" s="963">
        <v>1</v>
      </c>
      <c r="D129" s="963">
        <v>3</v>
      </c>
      <c r="E129" s="965">
        <v>3.16</v>
      </c>
      <c r="F129" s="965" t="s">
        <v>1586</v>
      </c>
      <c r="G129" s="965">
        <v>0.06</v>
      </c>
      <c r="H129" s="965">
        <f>PRODUCT(C129:G129)</f>
        <v>0.56999999999999995</v>
      </c>
      <c r="I129" s="962"/>
    </row>
    <row r="130" spans="1:9" ht="21" customHeight="1">
      <c r="A130" s="963"/>
      <c r="B130" s="964" t="s">
        <v>6375</v>
      </c>
      <c r="C130" s="963">
        <v>1</v>
      </c>
      <c r="D130" s="963">
        <v>1</v>
      </c>
      <c r="E130" s="965">
        <v>2.66</v>
      </c>
      <c r="F130" s="965" t="s">
        <v>1586</v>
      </c>
      <c r="G130" s="965">
        <v>0.06</v>
      </c>
      <c r="H130" s="965">
        <f>PRODUCT(C130:G130)</f>
        <v>0.16</v>
      </c>
      <c r="I130" s="962"/>
    </row>
    <row r="131" spans="1:9" ht="21" customHeight="1">
      <c r="A131" s="963"/>
      <c r="B131" s="966" t="s">
        <v>6364</v>
      </c>
      <c r="C131" s="963"/>
      <c r="D131" s="963"/>
      <c r="E131" s="965"/>
      <c r="F131" s="965"/>
      <c r="G131" s="965"/>
      <c r="H131" s="965"/>
      <c r="I131" s="962"/>
    </row>
    <row r="132" spans="1:9" ht="21" customHeight="1">
      <c r="A132" s="963"/>
      <c r="B132" s="964" t="s">
        <v>6505</v>
      </c>
      <c r="C132" s="963">
        <v>-1</v>
      </c>
      <c r="D132" s="963">
        <v>1</v>
      </c>
      <c r="E132" s="965">
        <v>3.76</v>
      </c>
      <c r="F132" s="965" t="s">
        <v>1586</v>
      </c>
      <c r="G132" s="965">
        <v>0.75</v>
      </c>
      <c r="H132" s="965">
        <f>PRODUCT(C132:G132)</f>
        <v>-2.82</v>
      </c>
      <c r="I132" s="962"/>
    </row>
    <row r="133" spans="1:9" ht="21" customHeight="1">
      <c r="A133" s="963"/>
      <c r="B133" s="964" t="s">
        <v>6520</v>
      </c>
      <c r="C133" s="963">
        <v>-1</v>
      </c>
      <c r="D133" s="963">
        <v>1</v>
      </c>
      <c r="E133" s="965">
        <v>1</v>
      </c>
      <c r="F133" s="965" t="s">
        <v>1586</v>
      </c>
      <c r="G133" s="965">
        <v>0.75</v>
      </c>
      <c r="H133" s="965">
        <f>PRODUCT(C133:G133)</f>
        <v>-0.75</v>
      </c>
      <c r="I133" s="962"/>
    </row>
    <row r="134" spans="1:9" ht="21" customHeight="1">
      <c r="A134" s="963"/>
      <c r="B134" s="966" t="s">
        <v>6449</v>
      </c>
      <c r="C134" s="963"/>
      <c r="D134" s="963"/>
      <c r="E134" s="965"/>
      <c r="F134" s="965"/>
      <c r="G134" s="965"/>
      <c r="H134" s="965"/>
      <c r="I134" s="962"/>
    </row>
    <row r="135" spans="1:9" ht="21" customHeight="1">
      <c r="A135" s="963"/>
      <c r="B135" s="964" t="s">
        <v>6355</v>
      </c>
      <c r="C135" s="963">
        <v>1</v>
      </c>
      <c r="D135" s="963">
        <v>1</v>
      </c>
      <c r="E135" s="965">
        <v>13.7</v>
      </c>
      <c r="F135" s="965" t="s">
        <v>1586</v>
      </c>
      <c r="G135" s="965">
        <v>0.6</v>
      </c>
      <c r="H135" s="965">
        <f t="shared" ref="H135:H149" si="9">PRODUCT(C135:G135)</f>
        <v>8.2200000000000006</v>
      </c>
      <c r="I135" s="962"/>
    </row>
    <row r="136" spans="1:9" ht="21" customHeight="1">
      <c r="A136" s="963"/>
      <c r="B136" s="964" t="s">
        <v>6521</v>
      </c>
      <c r="C136" s="963">
        <v>1</v>
      </c>
      <c r="D136" s="963">
        <v>1</v>
      </c>
      <c r="E136" s="965">
        <v>13.93</v>
      </c>
      <c r="F136" s="965" t="s">
        <v>1586</v>
      </c>
      <c r="G136" s="965">
        <v>0.5</v>
      </c>
      <c r="H136" s="965">
        <f t="shared" si="9"/>
        <v>6.97</v>
      </c>
      <c r="I136" s="962"/>
    </row>
    <row r="137" spans="1:9" ht="21" customHeight="1">
      <c r="A137" s="963"/>
      <c r="B137" s="964" t="s">
        <v>6522</v>
      </c>
      <c r="C137" s="963">
        <v>1</v>
      </c>
      <c r="D137" s="963">
        <v>1</v>
      </c>
      <c r="E137" s="965">
        <v>7.37</v>
      </c>
      <c r="F137" s="965" t="s">
        <v>1586</v>
      </c>
      <c r="G137" s="965">
        <v>0.6</v>
      </c>
      <c r="H137" s="965">
        <f t="shared" si="9"/>
        <v>4.42</v>
      </c>
      <c r="I137" s="962"/>
    </row>
    <row r="138" spans="1:9" ht="21" customHeight="1">
      <c r="A138" s="963"/>
      <c r="B138" s="964" t="s">
        <v>6523</v>
      </c>
      <c r="C138" s="963">
        <v>1</v>
      </c>
      <c r="D138" s="963">
        <v>2</v>
      </c>
      <c r="E138" s="965">
        <v>3</v>
      </c>
      <c r="F138" s="965" t="s">
        <v>1586</v>
      </c>
      <c r="G138" s="965">
        <v>0.75</v>
      </c>
      <c r="H138" s="965">
        <f t="shared" si="9"/>
        <v>4.5</v>
      </c>
      <c r="I138" s="962"/>
    </row>
    <row r="139" spans="1:9" ht="21" customHeight="1">
      <c r="A139" s="963"/>
      <c r="B139" s="964" t="s">
        <v>6358</v>
      </c>
      <c r="C139" s="963">
        <v>1</v>
      </c>
      <c r="D139" s="963">
        <v>2</v>
      </c>
      <c r="E139" s="965">
        <v>1.2</v>
      </c>
      <c r="F139" s="965" t="s">
        <v>1586</v>
      </c>
      <c r="G139" s="965">
        <v>1.2</v>
      </c>
      <c r="H139" s="965">
        <f t="shared" si="9"/>
        <v>2.88</v>
      </c>
      <c r="I139" s="962"/>
    </row>
    <row r="140" spans="1:9" ht="21" customHeight="1">
      <c r="A140" s="963"/>
      <c r="B140" s="964" t="s">
        <v>6374</v>
      </c>
      <c r="C140" s="963">
        <v>1</v>
      </c>
      <c r="D140" s="963">
        <v>1</v>
      </c>
      <c r="E140" s="965">
        <v>4</v>
      </c>
      <c r="F140" s="965" t="s">
        <v>1586</v>
      </c>
      <c r="G140" s="965">
        <v>0.75</v>
      </c>
      <c r="H140" s="965">
        <f t="shared" si="9"/>
        <v>3</v>
      </c>
      <c r="I140" s="962"/>
    </row>
    <row r="141" spans="1:9" ht="21" customHeight="1">
      <c r="A141" s="963"/>
      <c r="B141" s="964" t="s">
        <v>6446</v>
      </c>
      <c r="C141" s="963">
        <v>1</v>
      </c>
      <c r="D141" s="963">
        <v>1</v>
      </c>
      <c r="E141" s="965">
        <v>0.75</v>
      </c>
      <c r="F141" s="965" t="s">
        <v>1586</v>
      </c>
      <c r="G141" s="965">
        <v>0.9</v>
      </c>
      <c r="H141" s="965">
        <f t="shared" si="9"/>
        <v>0.68</v>
      </c>
      <c r="I141" s="962"/>
    </row>
    <row r="142" spans="1:9" ht="21" customHeight="1">
      <c r="A142" s="963"/>
      <c r="B142" s="964" t="s">
        <v>6446</v>
      </c>
      <c r="C142" s="963">
        <v>1</v>
      </c>
      <c r="D142" s="963">
        <v>1</v>
      </c>
      <c r="E142" s="965">
        <v>4.8</v>
      </c>
      <c r="F142" s="965" t="s">
        <v>1586</v>
      </c>
      <c r="G142" s="965">
        <v>0.3</v>
      </c>
      <c r="H142" s="965">
        <f t="shared" si="9"/>
        <v>1.44</v>
      </c>
      <c r="I142" s="962"/>
    </row>
    <row r="143" spans="1:9" ht="21" customHeight="1">
      <c r="A143" s="963"/>
      <c r="B143" s="964" t="s">
        <v>6443</v>
      </c>
      <c r="C143" s="963">
        <v>1</v>
      </c>
      <c r="D143" s="963">
        <v>1</v>
      </c>
      <c r="E143" s="965">
        <v>11.62</v>
      </c>
      <c r="F143" s="965" t="s">
        <v>1586</v>
      </c>
      <c r="G143" s="965">
        <v>0.75</v>
      </c>
      <c r="H143" s="965">
        <f t="shared" si="9"/>
        <v>8.7200000000000006</v>
      </c>
      <c r="I143" s="962"/>
    </row>
    <row r="144" spans="1:9" ht="21" customHeight="1">
      <c r="A144" s="963"/>
      <c r="B144" s="964" t="s">
        <v>6444</v>
      </c>
      <c r="C144" s="963">
        <v>1</v>
      </c>
      <c r="D144" s="963">
        <v>1</v>
      </c>
      <c r="E144" s="965">
        <v>14.45</v>
      </c>
      <c r="F144" s="965" t="s">
        <v>1586</v>
      </c>
      <c r="G144" s="965">
        <v>0.75</v>
      </c>
      <c r="H144" s="965">
        <f t="shared" si="9"/>
        <v>10.84</v>
      </c>
      <c r="I144" s="962"/>
    </row>
    <row r="145" spans="1:9" ht="21" customHeight="1">
      <c r="A145" s="963"/>
      <c r="B145" s="964" t="s">
        <v>6507</v>
      </c>
      <c r="C145" s="963">
        <v>1</v>
      </c>
      <c r="D145" s="963">
        <v>1</v>
      </c>
      <c r="E145" s="965">
        <v>14.68</v>
      </c>
      <c r="F145" s="965" t="s">
        <v>1586</v>
      </c>
      <c r="G145" s="965">
        <v>0.7</v>
      </c>
      <c r="H145" s="965">
        <f t="shared" si="9"/>
        <v>10.28</v>
      </c>
      <c r="I145" s="962"/>
    </row>
    <row r="146" spans="1:9" ht="21" customHeight="1">
      <c r="A146" s="963"/>
      <c r="B146" s="964" t="s">
        <v>6445</v>
      </c>
      <c r="C146" s="963">
        <v>1</v>
      </c>
      <c r="D146" s="963">
        <v>1</v>
      </c>
      <c r="E146" s="965">
        <v>5.96</v>
      </c>
      <c r="F146" s="965" t="s">
        <v>1586</v>
      </c>
      <c r="G146" s="965">
        <v>0.6</v>
      </c>
      <c r="H146" s="965">
        <f t="shared" si="9"/>
        <v>3.58</v>
      </c>
      <c r="I146" s="962"/>
    </row>
    <row r="147" spans="1:9" ht="21" customHeight="1">
      <c r="A147" s="963"/>
      <c r="B147" s="964" t="s">
        <v>6447</v>
      </c>
      <c r="C147" s="963">
        <v>1</v>
      </c>
      <c r="D147" s="963">
        <v>1</v>
      </c>
      <c r="E147" s="965">
        <v>6.79</v>
      </c>
      <c r="F147" s="965" t="s">
        <v>1586</v>
      </c>
      <c r="G147" s="965">
        <v>0.5</v>
      </c>
      <c r="H147" s="965">
        <f t="shared" si="9"/>
        <v>3.4</v>
      </c>
      <c r="I147" s="962"/>
    </row>
    <row r="148" spans="1:9" ht="21" customHeight="1">
      <c r="A148" s="963"/>
      <c r="B148" s="964" t="s">
        <v>6356</v>
      </c>
      <c r="C148" s="963">
        <v>1</v>
      </c>
      <c r="D148" s="963">
        <v>2</v>
      </c>
      <c r="E148" s="965">
        <v>1.75</v>
      </c>
      <c r="F148" s="965" t="s">
        <v>1586</v>
      </c>
      <c r="G148" s="965">
        <v>0.75</v>
      </c>
      <c r="H148" s="965">
        <f t="shared" si="9"/>
        <v>2.63</v>
      </c>
      <c r="I148" s="962"/>
    </row>
    <row r="149" spans="1:9" ht="21" customHeight="1">
      <c r="A149" s="963"/>
      <c r="B149" s="964" t="s">
        <v>6524</v>
      </c>
      <c r="C149" s="963">
        <v>1</v>
      </c>
      <c r="D149" s="963">
        <v>1</v>
      </c>
      <c r="E149" s="965">
        <v>11.93</v>
      </c>
      <c r="F149" s="965" t="s">
        <v>1586</v>
      </c>
      <c r="G149" s="965">
        <v>1.2</v>
      </c>
      <c r="H149" s="965">
        <f t="shared" si="9"/>
        <v>14.32</v>
      </c>
      <c r="I149" s="962"/>
    </row>
    <row r="150" spans="1:9" ht="21" customHeight="1">
      <c r="A150" s="963"/>
      <c r="B150" s="964"/>
      <c r="C150" s="963"/>
      <c r="D150" s="963"/>
      <c r="E150" s="965"/>
      <c r="F150" s="965"/>
      <c r="G150" s="962" t="s">
        <v>2245</v>
      </c>
      <c r="H150" s="962">
        <f>SUM(H112:H149)</f>
        <v>215.07</v>
      </c>
      <c r="I150" s="962"/>
    </row>
    <row r="151" spans="1:9" ht="21" customHeight="1">
      <c r="A151" s="963"/>
      <c r="B151" s="964"/>
      <c r="C151" s="963"/>
      <c r="D151" s="963"/>
      <c r="E151" s="965"/>
      <c r="F151" s="965"/>
      <c r="G151" s="962" t="s">
        <v>4224</v>
      </c>
      <c r="H151" s="962">
        <f>ROUNDUP(H150,1)</f>
        <v>215.1</v>
      </c>
      <c r="I151" s="962" t="s">
        <v>609</v>
      </c>
    </row>
    <row r="152" spans="1:9" ht="36">
      <c r="A152" s="963">
        <f>A110+1</f>
        <v>11</v>
      </c>
      <c r="B152" s="964" t="str">
        <f>'[8]Building (2)'!B343</f>
        <v>Spl. Ceiling plastering in C.M. 1:3, 10 mm tk.</v>
      </c>
      <c r="C152" s="963"/>
      <c r="D152" s="963"/>
      <c r="E152" s="965"/>
      <c r="F152" s="965"/>
      <c r="G152" s="965"/>
      <c r="H152" s="965"/>
      <c r="I152" s="962"/>
    </row>
    <row r="153" spans="1:9" ht="21" customHeight="1">
      <c r="A153" s="963"/>
      <c r="B153" s="966" t="s">
        <v>6373</v>
      </c>
      <c r="C153" s="963"/>
      <c r="D153" s="963"/>
      <c r="E153" s="965"/>
      <c r="F153" s="965"/>
      <c r="G153" s="965"/>
      <c r="H153" s="965"/>
      <c r="I153" s="962"/>
    </row>
    <row r="154" spans="1:9" ht="21" customHeight="1">
      <c r="A154" s="963"/>
      <c r="B154" s="966" t="s">
        <v>6449</v>
      </c>
      <c r="C154" s="963"/>
      <c r="D154" s="963"/>
      <c r="E154" s="965"/>
      <c r="F154" s="965"/>
      <c r="G154" s="965"/>
      <c r="H154" s="965"/>
      <c r="I154" s="962"/>
    </row>
    <row r="155" spans="1:9" ht="21" customHeight="1">
      <c r="A155" s="963"/>
      <c r="B155" s="964" t="s">
        <v>6375</v>
      </c>
      <c r="C155" s="963">
        <v>1</v>
      </c>
      <c r="D155" s="963">
        <v>1</v>
      </c>
      <c r="E155" s="965">
        <v>2.4</v>
      </c>
      <c r="F155" s="965">
        <v>6.72</v>
      </c>
      <c r="G155" s="965" t="s">
        <v>1586</v>
      </c>
      <c r="H155" s="965">
        <f>PRODUCT(C155:G155)</f>
        <v>16.13</v>
      </c>
      <c r="I155" s="962"/>
    </row>
    <row r="156" spans="1:9" ht="21" customHeight="1">
      <c r="A156" s="963"/>
      <c r="B156" s="964" t="s">
        <v>6443</v>
      </c>
      <c r="C156" s="963">
        <v>1</v>
      </c>
      <c r="D156" s="963">
        <v>1</v>
      </c>
      <c r="E156" s="965">
        <v>6.69</v>
      </c>
      <c r="F156" s="965">
        <v>1.2</v>
      </c>
      <c r="G156" s="965" t="s">
        <v>1586</v>
      </c>
      <c r="H156" s="965">
        <f>PRODUCT(C156:G156)</f>
        <v>8.0299999999999994</v>
      </c>
      <c r="I156" s="962"/>
    </row>
    <row r="157" spans="1:9" ht="21" customHeight="1">
      <c r="A157" s="963"/>
      <c r="B157" s="964" t="s">
        <v>6359</v>
      </c>
      <c r="C157" s="963">
        <v>1</v>
      </c>
      <c r="D157" s="963">
        <v>1</v>
      </c>
      <c r="E157" s="965">
        <v>2.0699999999999998</v>
      </c>
      <c r="F157" s="965">
        <v>0.75</v>
      </c>
      <c r="G157" s="965" t="s">
        <v>1586</v>
      </c>
      <c r="H157" s="965">
        <f>PRODUCT(C157:G157)</f>
        <v>1.55</v>
      </c>
      <c r="I157" s="962"/>
    </row>
    <row r="158" spans="1:9" ht="21" customHeight="1">
      <c r="A158" s="963"/>
      <c r="B158" s="964" t="s">
        <v>6507</v>
      </c>
      <c r="C158" s="963">
        <v>1</v>
      </c>
      <c r="D158" s="963">
        <v>1</v>
      </c>
      <c r="E158" s="965">
        <v>7.84</v>
      </c>
      <c r="F158" s="965">
        <v>0.6</v>
      </c>
      <c r="G158" s="965" t="s">
        <v>1586</v>
      </c>
      <c r="H158" s="965">
        <f t="shared" ref="H158:H168" si="10">PRODUCT(C158:G158)</f>
        <v>4.7</v>
      </c>
      <c r="I158" s="962"/>
    </row>
    <row r="159" spans="1:9" ht="21" customHeight="1">
      <c r="A159" s="963"/>
      <c r="B159" s="964" t="s">
        <v>6501</v>
      </c>
      <c r="C159" s="963">
        <v>1</v>
      </c>
      <c r="D159" s="963">
        <v>1</v>
      </c>
      <c r="E159" s="965">
        <v>1.5</v>
      </c>
      <c r="F159" s="965">
        <v>0.9</v>
      </c>
      <c r="G159" s="965" t="s">
        <v>1586</v>
      </c>
      <c r="H159" s="965">
        <f t="shared" si="10"/>
        <v>1.35</v>
      </c>
      <c r="I159" s="962"/>
    </row>
    <row r="160" spans="1:9" ht="21" customHeight="1">
      <c r="A160" s="963"/>
      <c r="B160" s="964" t="s">
        <v>6508</v>
      </c>
      <c r="C160" s="963">
        <v>1</v>
      </c>
      <c r="D160" s="963">
        <v>1</v>
      </c>
      <c r="E160" s="965">
        <v>3.3</v>
      </c>
      <c r="F160" s="965">
        <v>0.6</v>
      </c>
      <c r="G160" s="965" t="s">
        <v>1586</v>
      </c>
      <c r="H160" s="965">
        <f t="shared" si="10"/>
        <v>1.98</v>
      </c>
      <c r="I160" s="962"/>
    </row>
    <row r="161" spans="1:9" ht="21" customHeight="1">
      <c r="A161" s="963"/>
      <c r="B161" s="964" t="s">
        <v>6444</v>
      </c>
      <c r="C161" s="963">
        <v>1</v>
      </c>
      <c r="D161" s="963">
        <v>1</v>
      </c>
      <c r="E161" s="965">
        <v>7.73</v>
      </c>
      <c r="F161" s="965">
        <v>0.45</v>
      </c>
      <c r="G161" s="965" t="s">
        <v>1586</v>
      </c>
      <c r="H161" s="965">
        <f t="shared" si="10"/>
        <v>3.48</v>
      </c>
      <c r="I161" s="962"/>
    </row>
    <row r="162" spans="1:9" ht="21" customHeight="1">
      <c r="A162" s="963"/>
      <c r="B162" s="964" t="s">
        <v>6447</v>
      </c>
      <c r="C162" s="963">
        <v>1</v>
      </c>
      <c r="D162" s="963">
        <v>1</v>
      </c>
      <c r="E162" s="965">
        <v>6.79</v>
      </c>
      <c r="F162" s="965">
        <v>0.45</v>
      </c>
      <c r="G162" s="965" t="s">
        <v>1586</v>
      </c>
      <c r="H162" s="965">
        <f t="shared" si="10"/>
        <v>3.06</v>
      </c>
      <c r="I162" s="962"/>
    </row>
    <row r="163" spans="1:9" ht="21" customHeight="1">
      <c r="A163" s="963"/>
      <c r="B163" s="964" t="s">
        <v>6357</v>
      </c>
      <c r="C163" s="963">
        <v>1</v>
      </c>
      <c r="D163" s="963">
        <v>1</v>
      </c>
      <c r="E163" s="965">
        <v>1.8</v>
      </c>
      <c r="F163" s="965">
        <v>1.2</v>
      </c>
      <c r="G163" s="965" t="s">
        <v>1586</v>
      </c>
      <c r="H163" s="965">
        <f t="shared" si="10"/>
        <v>2.16</v>
      </c>
      <c r="I163" s="962"/>
    </row>
    <row r="164" spans="1:9" ht="21" customHeight="1">
      <c r="A164" s="963"/>
      <c r="B164" s="966" t="s">
        <v>6450</v>
      </c>
      <c r="C164" s="963"/>
      <c r="D164" s="963"/>
      <c r="E164" s="965"/>
      <c r="F164" s="965"/>
      <c r="G164" s="965"/>
      <c r="H164" s="965"/>
      <c r="I164" s="962"/>
    </row>
    <row r="165" spans="1:9" ht="21" customHeight="1">
      <c r="A165" s="963"/>
      <c r="B165" s="964" t="s">
        <v>6380</v>
      </c>
      <c r="C165" s="963">
        <v>1</v>
      </c>
      <c r="D165" s="963">
        <v>1</v>
      </c>
      <c r="E165" s="965">
        <v>1.81</v>
      </c>
      <c r="F165" s="965">
        <v>0.6</v>
      </c>
      <c r="G165" s="965" t="s">
        <v>1586</v>
      </c>
      <c r="H165" s="965">
        <f t="shared" si="10"/>
        <v>1.0900000000000001</v>
      </c>
      <c r="I165" s="962"/>
    </row>
    <row r="166" spans="1:9" ht="21" customHeight="1">
      <c r="A166" s="963"/>
      <c r="B166" s="964" t="s">
        <v>6456</v>
      </c>
      <c r="C166" s="963">
        <v>1</v>
      </c>
      <c r="D166" s="963">
        <v>3</v>
      </c>
      <c r="E166" s="965">
        <v>1.96</v>
      </c>
      <c r="F166" s="965">
        <v>0.6</v>
      </c>
      <c r="G166" s="965" t="s">
        <v>1586</v>
      </c>
      <c r="H166" s="965">
        <f t="shared" si="10"/>
        <v>3.53</v>
      </c>
      <c r="I166" s="962"/>
    </row>
    <row r="167" spans="1:9" ht="21" customHeight="1">
      <c r="A167" s="963"/>
      <c r="B167" s="964" t="s">
        <v>6432</v>
      </c>
      <c r="C167" s="963">
        <v>1</v>
      </c>
      <c r="D167" s="963">
        <v>1</v>
      </c>
      <c r="E167" s="965">
        <v>1.46</v>
      </c>
      <c r="F167" s="965">
        <v>0.6</v>
      </c>
      <c r="G167" s="965" t="s">
        <v>1586</v>
      </c>
      <c r="H167" s="965">
        <f t="shared" si="10"/>
        <v>0.88</v>
      </c>
      <c r="I167" s="962"/>
    </row>
    <row r="168" spans="1:9" ht="21" customHeight="1">
      <c r="A168" s="963"/>
      <c r="B168" s="964" t="s">
        <v>6509</v>
      </c>
      <c r="C168" s="963">
        <v>1</v>
      </c>
      <c r="D168" s="963">
        <v>1</v>
      </c>
      <c r="E168" s="965">
        <v>11.06</v>
      </c>
      <c r="F168" s="965">
        <v>0.6</v>
      </c>
      <c r="G168" s="965" t="s">
        <v>1586</v>
      </c>
      <c r="H168" s="965">
        <f t="shared" si="10"/>
        <v>6.64</v>
      </c>
      <c r="I168" s="962"/>
    </row>
    <row r="169" spans="1:9" ht="21" customHeight="1">
      <c r="A169" s="963"/>
      <c r="B169" s="964"/>
      <c r="C169" s="963"/>
      <c r="D169" s="963"/>
      <c r="E169" s="965"/>
      <c r="F169" s="965"/>
      <c r="G169" s="962" t="s">
        <v>2245</v>
      </c>
      <c r="H169" s="962">
        <f>SUM(H153:H168)</f>
        <v>54.58</v>
      </c>
      <c r="I169" s="962"/>
    </row>
    <row r="170" spans="1:9" ht="21" customHeight="1">
      <c r="A170" s="963"/>
      <c r="B170" s="964"/>
      <c r="C170" s="963"/>
      <c r="D170" s="963"/>
      <c r="E170" s="965"/>
      <c r="F170" s="965"/>
      <c r="G170" s="962" t="s">
        <v>4224</v>
      </c>
      <c r="H170" s="962">
        <f>ROUNDUP(H169,1)</f>
        <v>54.6</v>
      </c>
      <c r="I170" s="962" t="s">
        <v>609</v>
      </c>
    </row>
    <row r="171" spans="1:9" ht="24" customHeight="1">
      <c r="A171" s="963">
        <f>A152+1</f>
        <v>12</v>
      </c>
      <c r="B171" s="964" t="str">
        <f>'[8]Building (2)'!B348</f>
        <v>White washing 3 coats  (slaked)</v>
      </c>
      <c r="C171" s="963"/>
      <c r="D171" s="963"/>
      <c r="E171" s="965"/>
      <c r="F171" s="965"/>
      <c r="G171" s="965"/>
      <c r="H171" s="965"/>
      <c r="I171" s="962"/>
    </row>
    <row r="172" spans="1:9" ht="21" customHeight="1">
      <c r="A172" s="963"/>
      <c r="B172" s="966" t="s">
        <v>6449</v>
      </c>
      <c r="C172" s="963"/>
      <c r="D172" s="963"/>
      <c r="E172" s="965"/>
      <c r="F172" s="965"/>
      <c r="G172" s="965"/>
      <c r="H172" s="965"/>
      <c r="I172" s="962"/>
    </row>
    <row r="173" spans="1:9" ht="21" customHeight="1">
      <c r="A173" s="963"/>
      <c r="B173" s="964" t="s">
        <v>6375</v>
      </c>
      <c r="C173" s="963">
        <v>1</v>
      </c>
      <c r="D173" s="963">
        <v>1</v>
      </c>
      <c r="E173" s="965">
        <v>2.4</v>
      </c>
      <c r="F173" s="965">
        <v>6.72</v>
      </c>
      <c r="G173" s="965" t="s">
        <v>1586</v>
      </c>
      <c r="H173" s="965">
        <f>PRODUCT(C173:G173)</f>
        <v>16.13</v>
      </c>
      <c r="I173" s="962"/>
    </row>
    <row r="174" spans="1:9" ht="21" customHeight="1">
      <c r="A174" s="963"/>
      <c r="B174" s="964" t="s">
        <v>6443</v>
      </c>
      <c r="C174" s="963">
        <v>1</v>
      </c>
      <c r="D174" s="963">
        <v>1</v>
      </c>
      <c r="E174" s="965">
        <v>6.69</v>
      </c>
      <c r="F174" s="965">
        <v>1.2</v>
      </c>
      <c r="G174" s="965" t="s">
        <v>1586</v>
      </c>
      <c r="H174" s="965">
        <f>PRODUCT(C174:G174)</f>
        <v>8.0299999999999994</v>
      </c>
      <c r="I174" s="962"/>
    </row>
    <row r="175" spans="1:9" ht="21" customHeight="1">
      <c r="A175" s="963"/>
      <c r="B175" s="964" t="s">
        <v>6359</v>
      </c>
      <c r="C175" s="963">
        <v>1</v>
      </c>
      <c r="D175" s="963">
        <v>1</v>
      </c>
      <c r="E175" s="965">
        <v>2.0699999999999998</v>
      </c>
      <c r="F175" s="965">
        <v>0.75</v>
      </c>
      <c r="G175" s="965" t="s">
        <v>1586</v>
      </c>
      <c r="H175" s="965">
        <f>PRODUCT(C175:G175)</f>
        <v>1.55</v>
      </c>
      <c r="I175" s="962"/>
    </row>
    <row r="176" spans="1:9" ht="21" customHeight="1">
      <c r="A176" s="963"/>
      <c r="B176" s="964" t="s">
        <v>6507</v>
      </c>
      <c r="C176" s="963">
        <v>1</v>
      </c>
      <c r="D176" s="963">
        <v>1</v>
      </c>
      <c r="E176" s="965">
        <v>7.84</v>
      </c>
      <c r="F176" s="965">
        <v>0.6</v>
      </c>
      <c r="G176" s="965" t="s">
        <v>1586</v>
      </c>
      <c r="H176" s="965">
        <f t="shared" ref="H176:H181" si="11">PRODUCT(C176:G176)</f>
        <v>4.7</v>
      </c>
      <c r="I176" s="962"/>
    </row>
    <row r="177" spans="1:9" ht="21" customHeight="1">
      <c r="A177" s="963"/>
      <c r="B177" s="964" t="s">
        <v>6501</v>
      </c>
      <c r="C177" s="963">
        <v>1</v>
      </c>
      <c r="D177" s="963">
        <v>1</v>
      </c>
      <c r="E177" s="965">
        <v>1.5</v>
      </c>
      <c r="F177" s="965">
        <v>0.9</v>
      </c>
      <c r="G177" s="965" t="s">
        <v>1586</v>
      </c>
      <c r="H177" s="965">
        <f t="shared" si="11"/>
        <v>1.35</v>
      </c>
      <c r="I177" s="962"/>
    </row>
    <row r="178" spans="1:9" ht="21" customHeight="1">
      <c r="A178" s="963"/>
      <c r="B178" s="964" t="s">
        <v>6508</v>
      </c>
      <c r="C178" s="963">
        <v>1</v>
      </c>
      <c r="D178" s="963">
        <v>1</v>
      </c>
      <c r="E178" s="965">
        <v>3.3</v>
      </c>
      <c r="F178" s="965">
        <v>0.6</v>
      </c>
      <c r="G178" s="965" t="s">
        <v>1586</v>
      </c>
      <c r="H178" s="965">
        <f t="shared" si="11"/>
        <v>1.98</v>
      </c>
      <c r="I178" s="962"/>
    </row>
    <row r="179" spans="1:9" ht="21" customHeight="1">
      <c r="A179" s="963"/>
      <c r="B179" s="964" t="s">
        <v>6444</v>
      </c>
      <c r="C179" s="963">
        <v>1</v>
      </c>
      <c r="D179" s="963">
        <v>1</v>
      </c>
      <c r="E179" s="965">
        <v>7.73</v>
      </c>
      <c r="F179" s="965">
        <v>0.45</v>
      </c>
      <c r="G179" s="965" t="s">
        <v>1586</v>
      </c>
      <c r="H179" s="965">
        <f t="shared" si="11"/>
        <v>3.48</v>
      </c>
      <c r="I179" s="962"/>
    </row>
    <row r="180" spans="1:9" ht="21" customHeight="1">
      <c r="A180" s="963"/>
      <c r="B180" s="964" t="s">
        <v>6447</v>
      </c>
      <c r="C180" s="963">
        <v>1</v>
      </c>
      <c r="D180" s="963">
        <v>1</v>
      </c>
      <c r="E180" s="965">
        <v>6.79</v>
      </c>
      <c r="F180" s="965">
        <v>0.45</v>
      </c>
      <c r="G180" s="965" t="s">
        <v>1586</v>
      </c>
      <c r="H180" s="965">
        <f t="shared" si="11"/>
        <v>3.06</v>
      </c>
      <c r="I180" s="962"/>
    </row>
    <row r="181" spans="1:9" ht="21" customHeight="1">
      <c r="A181" s="963"/>
      <c r="B181" s="964" t="s">
        <v>6357</v>
      </c>
      <c r="C181" s="963">
        <v>1</v>
      </c>
      <c r="D181" s="963">
        <v>1</v>
      </c>
      <c r="E181" s="965">
        <v>1.8</v>
      </c>
      <c r="F181" s="965">
        <v>1.2</v>
      </c>
      <c r="G181" s="965" t="s">
        <v>1586</v>
      </c>
      <c r="H181" s="965">
        <f t="shared" si="11"/>
        <v>2.16</v>
      </c>
      <c r="I181" s="962"/>
    </row>
    <row r="182" spans="1:9" ht="21" customHeight="1">
      <c r="A182" s="963"/>
      <c r="B182" s="964"/>
      <c r="C182" s="963"/>
      <c r="D182" s="963"/>
      <c r="E182" s="965"/>
      <c r="F182" s="965"/>
      <c r="G182" s="962" t="s">
        <v>2245</v>
      </c>
      <c r="H182" s="962">
        <f>SUM(H173:H181)</f>
        <v>42.44</v>
      </c>
      <c r="I182" s="962"/>
    </row>
    <row r="183" spans="1:9" ht="21" customHeight="1">
      <c r="A183" s="963"/>
      <c r="B183" s="964"/>
      <c r="C183" s="963"/>
      <c r="D183" s="963"/>
      <c r="E183" s="965"/>
      <c r="F183" s="965"/>
      <c r="G183" s="962" t="s">
        <v>4224</v>
      </c>
      <c r="H183" s="962">
        <f>ROUNDUP(H182,1)</f>
        <v>42.5</v>
      </c>
      <c r="I183" s="962" t="s">
        <v>609</v>
      </c>
    </row>
    <row r="184" spans="1:9" ht="36">
      <c r="A184" s="963">
        <f>A171+1</f>
        <v>13</v>
      </c>
      <c r="B184" s="964" t="str">
        <f>'[8]Building (2)'!B657</f>
        <v>One coat white cement for new walls and other similar works.</v>
      </c>
      <c r="C184" s="963"/>
      <c r="D184" s="963"/>
      <c r="E184" s="965"/>
      <c r="F184" s="965"/>
      <c r="G184" s="965"/>
      <c r="H184" s="965"/>
      <c r="I184" s="962"/>
    </row>
    <row r="185" spans="1:9" ht="21" customHeight="1">
      <c r="A185" s="963"/>
      <c r="B185" s="966" t="s">
        <v>6449</v>
      </c>
      <c r="C185" s="963"/>
      <c r="D185" s="963"/>
      <c r="E185" s="965"/>
      <c r="F185" s="965"/>
      <c r="G185" s="965"/>
      <c r="H185" s="965"/>
      <c r="I185" s="962"/>
    </row>
    <row r="186" spans="1:9" ht="21" customHeight="1">
      <c r="A186" s="963"/>
      <c r="B186" s="964" t="s">
        <v>6355</v>
      </c>
      <c r="C186" s="963">
        <v>1</v>
      </c>
      <c r="D186" s="963">
        <v>1</v>
      </c>
      <c r="E186" s="965">
        <v>13.7</v>
      </c>
      <c r="F186" s="965" t="s">
        <v>1586</v>
      </c>
      <c r="G186" s="965">
        <v>0.6</v>
      </c>
      <c r="H186" s="965">
        <f t="shared" ref="H186:H200" si="12">PRODUCT(C186:G186)</f>
        <v>8.2200000000000006</v>
      </c>
      <c r="I186" s="962"/>
    </row>
    <row r="187" spans="1:9" ht="21" customHeight="1">
      <c r="A187" s="963"/>
      <c r="B187" s="964" t="s">
        <v>6521</v>
      </c>
      <c r="C187" s="963">
        <v>1</v>
      </c>
      <c r="D187" s="963">
        <v>1</v>
      </c>
      <c r="E187" s="965">
        <v>13.93</v>
      </c>
      <c r="F187" s="965" t="s">
        <v>1586</v>
      </c>
      <c r="G187" s="965">
        <v>0.5</v>
      </c>
      <c r="H187" s="965">
        <f t="shared" si="12"/>
        <v>6.97</v>
      </c>
      <c r="I187" s="962"/>
    </row>
    <row r="188" spans="1:9" ht="21" customHeight="1">
      <c r="A188" s="963"/>
      <c r="B188" s="964" t="s">
        <v>6522</v>
      </c>
      <c r="C188" s="963">
        <v>1</v>
      </c>
      <c r="D188" s="963">
        <v>1</v>
      </c>
      <c r="E188" s="965">
        <v>7.37</v>
      </c>
      <c r="F188" s="965" t="s">
        <v>1586</v>
      </c>
      <c r="G188" s="965">
        <v>0.6</v>
      </c>
      <c r="H188" s="965">
        <f t="shared" si="12"/>
        <v>4.42</v>
      </c>
      <c r="I188" s="962"/>
    </row>
    <row r="189" spans="1:9" ht="21" customHeight="1">
      <c r="A189" s="963"/>
      <c r="B189" s="964" t="s">
        <v>6523</v>
      </c>
      <c r="C189" s="963">
        <v>1</v>
      </c>
      <c r="D189" s="963">
        <v>2</v>
      </c>
      <c r="E189" s="965">
        <v>3</v>
      </c>
      <c r="F189" s="965" t="s">
        <v>1586</v>
      </c>
      <c r="G189" s="965">
        <v>0.75</v>
      </c>
      <c r="H189" s="965">
        <f t="shared" si="12"/>
        <v>4.5</v>
      </c>
      <c r="I189" s="962"/>
    </row>
    <row r="190" spans="1:9" ht="21" customHeight="1">
      <c r="A190" s="963"/>
      <c r="B190" s="964" t="s">
        <v>6358</v>
      </c>
      <c r="C190" s="963">
        <v>1</v>
      </c>
      <c r="D190" s="963">
        <v>2</v>
      </c>
      <c r="E190" s="965">
        <v>1.2</v>
      </c>
      <c r="F190" s="965" t="s">
        <v>1586</v>
      </c>
      <c r="G190" s="965">
        <v>1.2</v>
      </c>
      <c r="H190" s="965">
        <f t="shared" si="12"/>
        <v>2.88</v>
      </c>
      <c r="I190" s="962"/>
    </row>
    <row r="191" spans="1:9" ht="21" customHeight="1">
      <c r="A191" s="963"/>
      <c r="B191" s="964" t="s">
        <v>6374</v>
      </c>
      <c r="C191" s="963">
        <v>1</v>
      </c>
      <c r="D191" s="963">
        <v>1</v>
      </c>
      <c r="E191" s="965">
        <v>4</v>
      </c>
      <c r="F191" s="965" t="s">
        <v>1586</v>
      </c>
      <c r="G191" s="965">
        <v>0.75</v>
      </c>
      <c r="H191" s="965">
        <f t="shared" si="12"/>
        <v>3</v>
      </c>
      <c r="I191" s="962"/>
    </row>
    <row r="192" spans="1:9" ht="21" customHeight="1">
      <c r="A192" s="963"/>
      <c r="B192" s="964" t="s">
        <v>6446</v>
      </c>
      <c r="C192" s="963">
        <v>1</v>
      </c>
      <c r="D192" s="963">
        <v>1</v>
      </c>
      <c r="E192" s="965">
        <v>0.75</v>
      </c>
      <c r="F192" s="965" t="s">
        <v>1586</v>
      </c>
      <c r="G192" s="965">
        <v>0.9</v>
      </c>
      <c r="H192" s="965">
        <f t="shared" si="12"/>
        <v>0.68</v>
      </c>
      <c r="I192" s="962"/>
    </row>
    <row r="193" spans="1:9" ht="21" customHeight="1">
      <c r="A193" s="963"/>
      <c r="B193" s="964" t="s">
        <v>6446</v>
      </c>
      <c r="C193" s="963">
        <v>1</v>
      </c>
      <c r="D193" s="963">
        <v>1</v>
      </c>
      <c r="E193" s="965">
        <v>4.8</v>
      </c>
      <c r="F193" s="965" t="s">
        <v>1586</v>
      </c>
      <c r="G193" s="965">
        <v>0.3</v>
      </c>
      <c r="H193" s="965">
        <f t="shared" si="12"/>
        <v>1.44</v>
      </c>
      <c r="I193" s="962"/>
    </row>
    <row r="194" spans="1:9" ht="21" customHeight="1">
      <c r="A194" s="963"/>
      <c r="B194" s="964" t="s">
        <v>6443</v>
      </c>
      <c r="C194" s="963">
        <v>1</v>
      </c>
      <c r="D194" s="963">
        <v>1</v>
      </c>
      <c r="E194" s="965">
        <v>11.62</v>
      </c>
      <c r="F194" s="965" t="s">
        <v>1586</v>
      </c>
      <c r="G194" s="965">
        <v>0.75</v>
      </c>
      <c r="H194" s="965">
        <f t="shared" si="12"/>
        <v>8.7200000000000006</v>
      </c>
      <c r="I194" s="962"/>
    </row>
    <row r="195" spans="1:9" ht="21" customHeight="1">
      <c r="A195" s="963"/>
      <c r="B195" s="964" t="s">
        <v>6444</v>
      </c>
      <c r="C195" s="963">
        <v>1</v>
      </c>
      <c r="D195" s="963">
        <v>1</v>
      </c>
      <c r="E195" s="965">
        <v>14.45</v>
      </c>
      <c r="F195" s="965" t="s">
        <v>1586</v>
      </c>
      <c r="G195" s="965">
        <v>0.75</v>
      </c>
      <c r="H195" s="965">
        <f t="shared" si="12"/>
        <v>10.84</v>
      </c>
      <c r="I195" s="962"/>
    </row>
    <row r="196" spans="1:9" ht="21" customHeight="1">
      <c r="A196" s="963"/>
      <c r="B196" s="964" t="s">
        <v>6507</v>
      </c>
      <c r="C196" s="963">
        <v>1</v>
      </c>
      <c r="D196" s="963">
        <v>1</v>
      </c>
      <c r="E196" s="965">
        <v>14.68</v>
      </c>
      <c r="F196" s="965" t="s">
        <v>1586</v>
      </c>
      <c r="G196" s="965">
        <v>0.7</v>
      </c>
      <c r="H196" s="965">
        <f t="shared" si="12"/>
        <v>10.28</v>
      </c>
      <c r="I196" s="962"/>
    </row>
    <row r="197" spans="1:9" ht="21" customHeight="1">
      <c r="A197" s="963"/>
      <c r="B197" s="964" t="s">
        <v>6445</v>
      </c>
      <c r="C197" s="963">
        <v>1</v>
      </c>
      <c r="D197" s="963">
        <v>1</v>
      </c>
      <c r="E197" s="965">
        <v>5.96</v>
      </c>
      <c r="F197" s="965" t="s">
        <v>1586</v>
      </c>
      <c r="G197" s="965">
        <v>0.6</v>
      </c>
      <c r="H197" s="965">
        <f t="shared" si="12"/>
        <v>3.58</v>
      </c>
      <c r="I197" s="962"/>
    </row>
    <row r="198" spans="1:9" ht="21" customHeight="1">
      <c r="A198" s="963"/>
      <c r="B198" s="964" t="s">
        <v>6447</v>
      </c>
      <c r="C198" s="963">
        <v>1</v>
      </c>
      <c r="D198" s="963">
        <v>1</v>
      </c>
      <c r="E198" s="965">
        <v>6.79</v>
      </c>
      <c r="F198" s="965" t="s">
        <v>1586</v>
      </c>
      <c r="G198" s="965">
        <v>0.5</v>
      </c>
      <c r="H198" s="965">
        <f t="shared" si="12"/>
        <v>3.4</v>
      </c>
      <c r="I198" s="962"/>
    </row>
    <row r="199" spans="1:9" ht="21" customHeight="1">
      <c r="A199" s="963"/>
      <c r="B199" s="964" t="s">
        <v>6356</v>
      </c>
      <c r="C199" s="963">
        <v>1</v>
      </c>
      <c r="D199" s="963">
        <v>2</v>
      </c>
      <c r="E199" s="965">
        <v>1.75</v>
      </c>
      <c r="F199" s="965" t="s">
        <v>1586</v>
      </c>
      <c r="G199" s="965">
        <v>0.75</v>
      </c>
      <c r="H199" s="965">
        <f t="shared" si="12"/>
        <v>2.63</v>
      </c>
      <c r="I199" s="962"/>
    </row>
    <row r="200" spans="1:9" ht="21" customHeight="1">
      <c r="A200" s="963"/>
      <c r="B200" s="964" t="s">
        <v>6524</v>
      </c>
      <c r="C200" s="963">
        <v>1</v>
      </c>
      <c r="D200" s="963">
        <v>1</v>
      </c>
      <c r="E200" s="965">
        <v>11.93</v>
      </c>
      <c r="F200" s="965" t="s">
        <v>1586</v>
      </c>
      <c r="G200" s="965">
        <v>1.2</v>
      </c>
      <c r="H200" s="965">
        <f t="shared" si="12"/>
        <v>14.32</v>
      </c>
      <c r="I200" s="962"/>
    </row>
    <row r="201" spans="1:9" ht="21" customHeight="1">
      <c r="A201" s="963"/>
      <c r="B201" s="964"/>
      <c r="C201" s="963"/>
      <c r="D201" s="963"/>
      <c r="E201" s="965"/>
      <c r="F201" s="965"/>
      <c r="G201" s="962" t="s">
        <v>2245</v>
      </c>
      <c r="H201" s="962">
        <f>SUM(H185:H200)</f>
        <v>85.88</v>
      </c>
      <c r="I201" s="962"/>
    </row>
    <row r="202" spans="1:9" ht="21" customHeight="1">
      <c r="A202" s="963"/>
      <c r="B202" s="964"/>
      <c r="C202" s="963"/>
      <c r="D202" s="963"/>
      <c r="E202" s="965"/>
      <c r="F202" s="965"/>
      <c r="G202" s="962" t="s">
        <v>4224</v>
      </c>
      <c r="H202" s="962">
        <f>ROUNDUP(H201,1)</f>
        <v>85.9</v>
      </c>
      <c r="I202" s="962" t="s">
        <v>609</v>
      </c>
    </row>
    <row r="203" spans="1:9" ht="36">
      <c r="A203" s="963">
        <f>A184+1</f>
        <v>14</v>
      </c>
      <c r="B203" s="964" t="str">
        <f>'[8]Building (2)'!B712</f>
        <v xml:space="preserve">Two coat of OBD over one coat white cement for inner walls </v>
      </c>
      <c r="C203" s="963"/>
      <c r="D203" s="963"/>
      <c r="E203" s="965"/>
      <c r="F203" s="965"/>
      <c r="G203" s="965"/>
      <c r="H203" s="965"/>
      <c r="I203" s="962"/>
    </row>
    <row r="204" spans="1:9" ht="21" customHeight="1">
      <c r="A204" s="963"/>
      <c r="B204" s="964" t="s">
        <v>6451</v>
      </c>
      <c r="C204" s="963">
        <v>1</v>
      </c>
      <c r="D204" s="963">
        <v>1</v>
      </c>
      <c r="E204" s="965">
        <f>H202</f>
        <v>85.9</v>
      </c>
      <c r="F204" s="965" t="s">
        <v>1586</v>
      </c>
      <c r="G204" s="965" t="s">
        <v>1586</v>
      </c>
      <c r="H204" s="965">
        <f>PRODUCT(C204:G204)</f>
        <v>85.9</v>
      </c>
      <c r="I204" s="962"/>
    </row>
    <row r="205" spans="1:9" ht="21" customHeight="1">
      <c r="A205" s="963"/>
      <c r="B205" s="964"/>
      <c r="C205" s="963"/>
      <c r="D205" s="963"/>
      <c r="E205" s="965"/>
      <c r="F205" s="965"/>
      <c r="G205" s="962" t="s">
        <v>2245</v>
      </c>
      <c r="H205" s="962">
        <f>SUM(H204:H204)</f>
        <v>85.9</v>
      </c>
      <c r="I205" s="962"/>
    </row>
    <row r="206" spans="1:9" ht="21" customHeight="1">
      <c r="A206" s="963"/>
      <c r="B206" s="964"/>
      <c r="C206" s="963"/>
      <c r="D206" s="963"/>
      <c r="E206" s="965"/>
      <c r="F206" s="965"/>
      <c r="G206" s="962" t="s">
        <v>4224</v>
      </c>
      <c r="H206" s="962">
        <f>ROUNDUP(H205,1)</f>
        <v>85.9</v>
      </c>
      <c r="I206" s="962" t="s">
        <v>609</v>
      </c>
    </row>
    <row r="207" spans="1:9" ht="36">
      <c r="A207" s="963">
        <f>A203+1</f>
        <v>15</v>
      </c>
      <c r="B207" s="964" t="str">
        <f>'[8]Building (2)'!B711</f>
        <v>Plastic Emulsion Paint including primer for outer walls</v>
      </c>
      <c r="C207" s="963"/>
      <c r="D207" s="963"/>
      <c r="E207" s="965"/>
      <c r="F207" s="965"/>
      <c r="G207" s="962"/>
      <c r="H207" s="962"/>
      <c r="I207" s="962"/>
    </row>
    <row r="208" spans="1:9" ht="21" customHeight="1">
      <c r="A208" s="963"/>
      <c r="B208" s="966" t="s">
        <v>6450</v>
      </c>
      <c r="C208" s="963"/>
      <c r="D208" s="963"/>
      <c r="E208" s="965"/>
      <c r="F208" s="965"/>
      <c r="G208" s="965"/>
      <c r="H208" s="965"/>
      <c r="I208" s="962"/>
    </row>
    <row r="209" spans="1:9" ht="21" customHeight="1">
      <c r="A209" s="963"/>
      <c r="B209" s="964" t="s">
        <v>6459</v>
      </c>
      <c r="C209" s="963">
        <v>1</v>
      </c>
      <c r="D209" s="963">
        <v>1</v>
      </c>
      <c r="E209" s="965">
        <v>46.3</v>
      </c>
      <c r="F209" s="965" t="s">
        <v>1586</v>
      </c>
      <c r="G209" s="965">
        <v>1.35</v>
      </c>
      <c r="H209" s="965">
        <f t="shared" ref="H209:H218" si="13">PRODUCT(C209:G209)</f>
        <v>62.51</v>
      </c>
      <c r="I209" s="962"/>
    </row>
    <row r="210" spans="1:9" ht="21" customHeight="1">
      <c r="A210" s="963"/>
      <c r="B210" s="964" t="s">
        <v>6510</v>
      </c>
      <c r="C210" s="963">
        <v>1</v>
      </c>
      <c r="D210" s="963">
        <v>2</v>
      </c>
      <c r="E210" s="965">
        <v>3.65</v>
      </c>
      <c r="F210" s="965" t="s">
        <v>1586</v>
      </c>
      <c r="G210" s="965">
        <v>0.45</v>
      </c>
      <c r="H210" s="965">
        <f t="shared" si="13"/>
        <v>3.29</v>
      </c>
      <c r="I210" s="962"/>
    </row>
    <row r="211" spans="1:9" ht="21" customHeight="1">
      <c r="A211" s="963"/>
      <c r="B211" s="964" t="s">
        <v>6511</v>
      </c>
      <c r="C211" s="963">
        <v>1</v>
      </c>
      <c r="D211" s="963">
        <v>1</v>
      </c>
      <c r="E211" s="965">
        <v>6.22</v>
      </c>
      <c r="F211" s="965" t="s">
        <v>1586</v>
      </c>
      <c r="G211" s="965">
        <v>1.5</v>
      </c>
      <c r="H211" s="965">
        <f t="shared" si="13"/>
        <v>9.33</v>
      </c>
      <c r="I211" s="962"/>
    </row>
    <row r="212" spans="1:9" ht="21" customHeight="1">
      <c r="A212" s="963"/>
      <c r="B212" s="964" t="s">
        <v>6512</v>
      </c>
      <c r="C212" s="963">
        <v>1</v>
      </c>
      <c r="D212" s="963">
        <v>1</v>
      </c>
      <c r="E212" s="965">
        <v>1.8</v>
      </c>
      <c r="F212" s="965" t="s">
        <v>1586</v>
      </c>
      <c r="G212" s="965">
        <v>1.2</v>
      </c>
      <c r="H212" s="965">
        <f t="shared" si="13"/>
        <v>2.16</v>
      </c>
      <c r="I212" s="962"/>
    </row>
    <row r="213" spans="1:9" ht="21" customHeight="1">
      <c r="A213" s="963"/>
      <c r="B213" s="964" t="s">
        <v>6375</v>
      </c>
      <c r="C213" s="963">
        <v>1</v>
      </c>
      <c r="D213" s="963">
        <v>1</v>
      </c>
      <c r="E213" s="965">
        <v>12.57</v>
      </c>
      <c r="F213" s="965" t="s">
        <v>1586</v>
      </c>
      <c r="G213" s="965">
        <v>0.6</v>
      </c>
      <c r="H213" s="965">
        <f t="shared" si="13"/>
        <v>7.54</v>
      </c>
      <c r="I213" s="962"/>
    </row>
    <row r="214" spans="1:9" ht="21" customHeight="1">
      <c r="A214" s="963"/>
      <c r="B214" s="964" t="s">
        <v>6513</v>
      </c>
      <c r="C214" s="963">
        <v>1</v>
      </c>
      <c r="D214" s="963">
        <v>1</v>
      </c>
      <c r="E214" s="965">
        <v>40.72</v>
      </c>
      <c r="F214" s="965" t="s">
        <v>1586</v>
      </c>
      <c r="G214" s="965">
        <v>0.45</v>
      </c>
      <c r="H214" s="965">
        <f t="shared" si="13"/>
        <v>18.32</v>
      </c>
      <c r="I214" s="962"/>
    </row>
    <row r="215" spans="1:9" ht="21" customHeight="1">
      <c r="A215" s="963"/>
      <c r="B215" s="964" t="s">
        <v>6514</v>
      </c>
      <c r="C215" s="963">
        <v>1</v>
      </c>
      <c r="D215" s="963">
        <v>1</v>
      </c>
      <c r="E215" s="965">
        <v>40.72</v>
      </c>
      <c r="F215" s="965">
        <v>0.12</v>
      </c>
      <c r="G215" s="965" t="s">
        <v>1586</v>
      </c>
      <c r="H215" s="965">
        <f t="shared" si="13"/>
        <v>4.8899999999999997</v>
      </c>
      <c r="I215" s="962"/>
    </row>
    <row r="216" spans="1:9" ht="21" customHeight="1">
      <c r="A216" s="963"/>
      <c r="B216" s="964" t="s">
        <v>6515</v>
      </c>
      <c r="C216" s="963">
        <v>1</v>
      </c>
      <c r="D216" s="963">
        <v>11</v>
      </c>
      <c r="E216" s="965">
        <v>2.12</v>
      </c>
      <c r="F216" s="965">
        <v>0.12</v>
      </c>
      <c r="G216" s="965" t="s">
        <v>1586</v>
      </c>
      <c r="H216" s="965">
        <f t="shared" si="13"/>
        <v>2.8</v>
      </c>
      <c r="I216" s="962"/>
    </row>
    <row r="217" spans="1:9" ht="21" customHeight="1">
      <c r="A217" s="963"/>
      <c r="B217" s="964" t="s">
        <v>6516</v>
      </c>
      <c r="C217" s="963">
        <v>1</v>
      </c>
      <c r="D217" s="963">
        <v>1</v>
      </c>
      <c r="E217" s="965">
        <v>19.21</v>
      </c>
      <c r="F217" s="965" t="s">
        <v>1586</v>
      </c>
      <c r="G217" s="965">
        <v>0.56999999999999995</v>
      </c>
      <c r="H217" s="965">
        <f t="shared" si="13"/>
        <v>10.95</v>
      </c>
      <c r="I217" s="962"/>
    </row>
    <row r="218" spans="1:9" ht="21" customHeight="1">
      <c r="A218" s="963"/>
      <c r="B218" s="964" t="s">
        <v>6517</v>
      </c>
      <c r="C218" s="963">
        <v>1</v>
      </c>
      <c r="D218" s="963">
        <v>1</v>
      </c>
      <c r="E218" s="965">
        <v>10.14</v>
      </c>
      <c r="F218" s="965" t="s">
        <v>1586</v>
      </c>
      <c r="G218" s="965">
        <v>0.45</v>
      </c>
      <c r="H218" s="965">
        <f t="shared" si="13"/>
        <v>4.5599999999999996</v>
      </c>
      <c r="I218" s="962"/>
    </row>
    <row r="219" spans="1:9" ht="21" customHeight="1">
      <c r="A219" s="963"/>
      <c r="B219" s="966" t="s">
        <v>6518</v>
      </c>
      <c r="C219" s="963"/>
      <c r="D219" s="963"/>
      <c r="E219" s="965"/>
      <c r="F219" s="965"/>
      <c r="G219" s="965"/>
      <c r="H219" s="965"/>
      <c r="I219" s="962"/>
    </row>
    <row r="220" spans="1:9" ht="21" customHeight="1">
      <c r="A220" s="963"/>
      <c r="B220" s="964" t="s">
        <v>6380</v>
      </c>
      <c r="C220" s="963">
        <v>2</v>
      </c>
      <c r="D220" s="963">
        <v>1</v>
      </c>
      <c r="E220" s="965">
        <v>1.81</v>
      </c>
      <c r="F220" s="965">
        <v>0.6</v>
      </c>
      <c r="G220" s="965" t="s">
        <v>1586</v>
      </c>
      <c r="H220" s="965">
        <f t="shared" ref="H220:H222" si="14">PRODUCT(C220:G220)</f>
        <v>2.17</v>
      </c>
      <c r="I220" s="962"/>
    </row>
    <row r="221" spans="1:9" ht="21" customHeight="1">
      <c r="A221" s="963"/>
      <c r="B221" s="964" t="s">
        <v>6456</v>
      </c>
      <c r="C221" s="963">
        <v>2</v>
      </c>
      <c r="D221" s="963">
        <v>3</v>
      </c>
      <c r="E221" s="965">
        <v>1.96</v>
      </c>
      <c r="F221" s="965">
        <v>0.6</v>
      </c>
      <c r="G221" s="965" t="s">
        <v>1586</v>
      </c>
      <c r="H221" s="965">
        <f t="shared" si="14"/>
        <v>7.06</v>
      </c>
      <c r="I221" s="962"/>
    </row>
    <row r="222" spans="1:9" ht="21" customHeight="1">
      <c r="A222" s="963"/>
      <c r="B222" s="964" t="s">
        <v>6375</v>
      </c>
      <c r="C222" s="963">
        <v>2</v>
      </c>
      <c r="D222" s="963">
        <v>1</v>
      </c>
      <c r="E222" s="965">
        <v>1.46</v>
      </c>
      <c r="F222" s="965">
        <v>0.6</v>
      </c>
      <c r="G222" s="965" t="s">
        <v>1586</v>
      </c>
      <c r="H222" s="965">
        <f t="shared" si="14"/>
        <v>1.75</v>
      </c>
      <c r="I222" s="962"/>
    </row>
    <row r="223" spans="1:9" ht="21" customHeight="1">
      <c r="A223" s="963"/>
      <c r="B223" s="966" t="s">
        <v>6519</v>
      </c>
      <c r="C223" s="963"/>
      <c r="D223" s="963"/>
      <c r="E223" s="965"/>
      <c r="F223" s="965"/>
      <c r="G223" s="965"/>
      <c r="H223" s="965"/>
      <c r="I223" s="962"/>
    </row>
    <row r="224" spans="1:9" ht="21" customHeight="1">
      <c r="A224" s="963"/>
      <c r="B224" s="964" t="s">
        <v>6380</v>
      </c>
      <c r="C224" s="963">
        <v>1</v>
      </c>
      <c r="D224" s="963">
        <v>1</v>
      </c>
      <c r="E224" s="965">
        <v>3.01</v>
      </c>
      <c r="F224" s="965" t="s">
        <v>1586</v>
      </c>
      <c r="G224" s="965">
        <v>0.06</v>
      </c>
      <c r="H224" s="965">
        <f>PRODUCT(C224:G224)</f>
        <v>0.18</v>
      </c>
      <c r="I224" s="962"/>
    </row>
    <row r="225" spans="1:9" ht="21" customHeight="1">
      <c r="A225" s="963"/>
      <c r="B225" s="964" t="s">
        <v>6456</v>
      </c>
      <c r="C225" s="963">
        <v>1</v>
      </c>
      <c r="D225" s="963">
        <v>3</v>
      </c>
      <c r="E225" s="965">
        <v>3.16</v>
      </c>
      <c r="F225" s="965" t="s">
        <v>1586</v>
      </c>
      <c r="G225" s="965">
        <v>0.06</v>
      </c>
      <c r="H225" s="965">
        <f>PRODUCT(C225:G225)</f>
        <v>0.56999999999999995</v>
      </c>
      <c r="I225" s="962"/>
    </row>
    <row r="226" spans="1:9" ht="21" customHeight="1">
      <c r="A226" s="963"/>
      <c r="B226" s="964" t="s">
        <v>6375</v>
      </c>
      <c r="C226" s="963">
        <v>1</v>
      </c>
      <c r="D226" s="963">
        <v>1</v>
      </c>
      <c r="E226" s="965">
        <v>2.66</v>
      </c>
      <c r="F226" s="965" t="s">
        <v>1586</v>
      </c>
      <c r="G226" s="965">
        <v>0.06</v>
      </c>
      <c r="H226" s="965">
        <f>PRODUCT(C226:G226)</f>
        <v>0.16</v>
      </c>
      <c r="I226" s="962"/>
    </row>
    <row r="227" spans="1:9" ht="21" customHeight="1">
      <c r="A227" s="963"/>
      <c r="B227" s="966" t="s">
        <v>6364</v>
      </c>
      <c r="C227" s="963"/>
      <c r="D227" s="963"/>
      <c r="E227" s="965"/>
      <c r="F227" s="965"/>
      <c r="G227" s="965"/>
      <c r="H227" s="965"/>
      <c r="I227" s="962"/>
    </row>
    <row r="228" spans="1:9" ht="21" customHeight="1">
      <c r="A228" s="963"/>
      <c r="B228" s="964" t="s">
        <v>6358</v>
      </c>
      <c r="C228" s="963">
        <v>-1</v>
      </c>
      <c r="D228" s="963">
        <v>1</v>
      </c>
      <c r="E228" s="965">
        <v>3.3</v>
      </c>
      <c r="F228" s="965" t="s">
        <v>1586</v>
      </c>
      <c r="G228" s="965">
        <v>0.75</v>
      </c>
      <c r="H228" s="965">
        <f>PRODUCT(C228:G228)</f>
        <v>-2.48</v>
      </c>
      <c r="I228" s="962"/>
    </row>
    <row r="229" spans="1:9" ht="21" customHeight="1">
      <c r="A229" s="963"/>
      <c r="B229" s="964" t="s">
        <v>6520</v>
      </c>
      <c r="C229" s="963">
        <v>-1</v>
      </c>
      <c r="D229" s="963">
        <v>1</v>
      </c>
      <c r="E229" s="965">
        <v>1</v>
      </c>
      <c r="F229" s="965" t="s">
        <v>1586</v>
      </c>
      <c r="G229" s="965">
        <v>0.75</v>
      </c>
      <c r="H229" s="965">
        <f>PRODUCT(C229:G229)</f>
        <v>-0.75</v>
      </c>
      <c r="I229" s="962"/>
    </row>
    <row r="230" spans="1:9" ht="21" customHeight="1">
      <c r="A230" s="963"/>
      <c r="B230" s="964"/>
      <c r="C230" s="963"/>
      <c r="D230" s="963"/>
      <c r="E230" s="965"/>
      <c r="F230" s="965"/>
      <c r="G230" s="962" t="s">
        <v>2245</v>
      </c>
      <c r="H230" s="962">
        <f>SUM(H208:H229)</f>
        <v>135.01</v>
      </c>
      <c r="I230" s="962"/>
    </row>
    <row r="231" spans="1:9" ht="21" customHeight="1">
      <c r="A231" s="963"/>
      <c r="B231" s="964"/>
      <c r="C231" s="963"/>
      <c r="D231" s="963"/>
      <c r="E231" s="965"/>
      <c r="F231" s="965"/>
      <c r="G231" s="962" t="s">
        <v>4224</v>
      </c>
      <c r="H231" s="962">
        <f>ROUNDUP(H230,1)</f>
        <v>135.1</v>
      </c>
      <c r="I231" s="962" t="s">
        <v>609</v>
      </c>
    </row>
    <row r="232" spans="1:9" ht="39.75" customHeight="1">
      <c r="A232" s="963">
        <f>A207+1</f>
        <v>16</v>
      </c>
      <c r="B232" s="964" t="str">
        <f>'[8]Building (2)'!B373</f>
        <v>HDPE water tank 700 lit capacity with ISI mark</v>
      </c>
      <c r="C232" s="963"/>
      <c r="D232" s="963"/>
      <c r="E232" s="965"/>
      <c r="F232" s="965"/>
      <c r="G232" s="965"/>
      <c r="H232" s="965"/>
      <c r="I232" s="962"/>
    </row>
    <row r="233" spans="1:9" ht="21" customHeight="1">
      <c r="A233" s="963"/>
      <c r="B233" s="964" t="s">
        <v>6376</v>
      </c>
      <c r="C233" s="963">
        <v>1</v>
      </c>
      <c r="D233" s="963">
        <v>1</v>
      </c>
      <c r="E233" s="965" t="s">
        <v>1586</v>
      </c>
      <c r="F233" s="965" t="s">
        <v>1586</v>
      </c>
      <c r="G233" s="965" t="s">
        <v>1586</v>
      </c>
      <c r="H233" s="965">
        <f>PRODUCT(C233:G233)</f>
        <v>1</v>
      </c>
      <c r="I233" s="962"/>
    </row>
    <row r="234" spans="1:9" ht="21" customHeight="1">
      <c r="A234" s="963"/>
      <c r="B234" s="964"/>
      <c r="C234" s="963"/>
      <c r="D234" s="963"/>
      <c r="E234" s="965"/>
      <c r="F234" s="965"/>
      <c r="G234" s="962" t="s">
        <v>2245</v>
      </c>
      <c r="H234" s="962">
        <f>SUM(H233:H233)</f>
        <v>1</v>
      </c>
      <c r="I234" s="962"/>
    </row>
    <row r="235" spans="1:9" ht="21" customHeight="1">
      <c r="A235" s="963"/>
      <c r="B235" s="964"/>
      <c r="C235" s="963"/>
      <c r="D235" s="963"/>
      <c r="E235" s="965"/>
      <c r="F235" s="965"/>
      <c r="G235" s="962" t="s">
        <v>4224</v>
      </c>
      <c r="H235" s="962">
        <f>ROUNDUP(H234,1)</f>
        <v>1</v>
      </c>
      <c r="I235" s="962" t="s">
        <v>1716</v>
      </c>
    </row>
    <row r="236" spans="1:9" ht="24" customHeight="1">
      <c r="A236" s="963">
        <f>A232+1</f>
        <v>17</v>
      </c>
      <c r="B236" s="964" t="s">
        <v>6452</v>
      </c>
      <c r="C236" s="963"/>
      <c r="D236" s="963"/>
      <c r="E236" s="965"/>
      <c r="F236" s="965"/>
      <c r="G236" s="965"/>
      <c r="H236" s="965"/>
      <c r="I236" s="962"/>
    </row>
    <row r="237" spans="1:9" ht="21" customHeight="1">
      <c r="A237" s="963"/>
      <c r="B237" s="966" t="s">
        <v>6371</v>
      </c>
      <c r="C237" s="963"/>
      <c r="D237" s="963"/>
      <c r="E237" s="965"/>
      <c r="F237" s="965"/>
      <c r="G237" s="965"/>
      <c r="H237" s="965"/>
      <c r="I237" s="962"/>
    </row>
    <row r="238" spans="1:9" ht="21" customHeight="1">
      <c r="A238" s="963"/>
      <c r="B238" s="964" t="s">
        <v>6525</v>
      </c>
      <c r="C238" s="963">
        <v>1</v>
      </c>
      <c r="D238" s="963">
        <v>1</v>
      </c>
      <c r="E238" s="965">
        <v>15.45</v>
      </c>
      <c r="F238" s="965" t="s">
        <v>1586</v>
      </c>
      <c r="G238" s="965">
        <v>3.05</v>
      </c>
      <c r="H238" s="965">
        <f t="shared" ref="H238:H259" si="15">PRODUCT(C238:G238)</f>
        <v>47.12</v>
      </c>
      <c r="I238" s="962"/>
    </row>
    <row r="239" spans="1:9" ht="21" customHeight="1">
      <c r="A239" s="963"/>
      <c r="B239" s="964" t="s">
        <v>6526</v>
      </c>
      <c r="C239" s="963">
        <v>1</v>
      </c>
      <c r="D239" s="963">
        <v>1</v>
      </c>
      <c r="E239" s="965">
        <v>15.68</v>
      </c>
      <c r="F239" s="965" t="s">
        <v>1586</v>
      </c>
      <c r="G239" s="965">
        <v>3.05</v>
      </c>
      <c r="H239" s="965">
        <f t="shared" si="15"/>
        <v>47.82</v>
      </c>
      <c r="I239" s="962"/>
    </row>
    <row r="240" spans="1:9" ht="21" customHeight="1">
      <c r="A240" s="963"/>
      <c r="B240" s="964" t="s">
        <v>6527</v>
      </c>
      <c r="C240" s="963">
        <v>1</v>
      </c>
      <c r="D240" s="963">
        <v>1</v>
      </c>
      <c r="E240" s="965">
        <v>7.8</v>
      </c>
      <c r="F240" s="965" t="s">
        <v>1586</v>
      </c>
      <c r="G240" s="965">
        <v>1.35</v>
      </c>
      <c r="H240" s="965">
        <f t="shared" si="15"/>
        <v>10.53</v>
      </c>
      <c r="I240" s="962"/>
    </row>
    <row r="241" spans="1:9" ht="21" customHeight="1">
      <c r="A241" s="963"/>
      <c r="B241" s="964" t="s">
        <v>6528</v>
      </c>
      <c r="C241" s="963">
        <v>1</v>
      </c>
      <c r="D241" s="963">
        <v>1</v>
      </c>
      <c r="E241" s="965">
        <v>7.8</v>
      </c>
      <c r="F241" s="965" t="s">
        <v>1586</v>
      </c>
      <c r="G241" s="965">
        <v>1.65</v>
      </c>
      <c r="H241" s="965">
        <f t="shared" si="15"/>
        <v>12.87</v>
      </c>
      <c r="I241" s="962"/>
    </row>
    <row r="242" spans="1:9" ht="21" customHeight="1">
      <c r="A242" s="963"/>
      <c r="B242" s="964" t="s">
        <v>6529</v>
      </c>
      <c r="C242" s="963">
        <v>1</v>
      </c>
      <c r="D242" s="963">
        <v>1</v>
      </c>
      <c r="E242" s="965">
        <v>10.34</v>
      </c>
      <c r="F242" s="965" t="s">
        <v>1586</v>
      </c>
      <c r="G242" s="965">
        <v>3.15</v>
      </c>
      <c r="H242" s="965">
        <f t="shared" si="15"/>
        <v>32.57</v>
      </c>
      <c r="I242" s="962"/>
    </row>
    <row r="243" spans="1:9" ht="21" customHeight="1">
      <c r="A243" s="963"/>
      <c r="B243" s="964" t="s">
        <v>6530</v>
      </c>
      <c r="C243" s="963">
        <v>1</v>
      </c>
      <c r="D243" s="963">
        <v>1</v>
      </c>
      <c r="E243" s="965">
        <v>4.2</v>
      </c>
      <c r="F243" s="965" t="s">
        <v>1586</v>
      </c>
      <c r="G243" s="965">
        <v>1.35</v>
      </c>
      <c r="H243" s="965">
        <f t="shared" si="15"/>
        <v>5.67</v>
      </c>
      <c r="I243" s="962"/>
    </row>
    <row r="244" spans="1:9" ht="21" customHeight="1">
      <c r="A244" s="963"/>
      <c r="B244" s="964" t="s">
        <v>6531</v>
      </c>
      <c r="C244" s="963">
        <v>1</v>
      </c>
      <c r="D244" s="963">
        <v>1</v>
      </c>
      <c r="E244" s="965">
        <v>9.68</v>
      </c>
      <c r="F244" s="965" t="s">
        <v>1586</v>
      </c>
      <c r="G244" s="965">
        <v>3.15</v>
      </c>
      <c r="H244" s="965">
        <f t="shared" si="15"/>
        <v>30.49</v>
      </c>
      <c r="I244" s="962"/>
    </row>
    <row r="245" spans="1:9" ht="21" customHeight="1">
      <c r="A245" s="963"/>
      <c r="B245" s="964" t="s">
        <v>6532</v>
      </c>
      <c r="C245" s="963">
        <v>1</v>
      </c>
      <c r="D245" s="963">
        <v>1</v>
      </c>
      <c r="E245" s="965">
        <v>4.2</v>
      </c>
      <c r="F245" s="965" t="s">
        <v>1586</v>
      </c>
      <c r="G245" s="965">
        <v>1.35</v>
      </c>
      <c r="H245" s="965">
        <f t="shared" si="15"/>
        <v>5.67</v>
      </c>
      <c r="I245" s="962"/>
    </row>
    <row r="246" spans="1:9" ht="21" customHeight="1">
      <c r="A246" s="963"/>
      <c r="B246" s="964" t="s">
        <v>6522</v>
      </c>
      <c r="C246" s="963">
        <v>1</v>
      </c>
      <c r="D246" s="963">
        <v>1</v>
      </c>
      <c r="E246" s="965">
        <v>8.3699999999999992</v>
      </c>
      <c r="F246" s="965" t="s">
        <v>1586</v>
      </c>
      <c r="G246" s="965">
        <v>3.05</v>
      </c>
      <c r="H246" s="965">
        <f t="shared" si="15"/>
        <v>25.53</v>
      </c>
      <c r="I246" s="962"/>
    </row>
    <row r="247" spans="1:9" ht="21" customHeight="1">
      <c r="A247" s="963"/>
      <c r="B247" s="964" t="s">
        <v>6533</v>
      </c>
      <c r="C247" s="963">
        <v>1</v>
      </c>
      <c r="D247" s="963">
        <v>1</v>
      </c>
      <c r="E247" s="965">
        <v>6.08</v>
      </c>
      <c r="F247" s="965" t="s">
        <v>1586</v>
      </c>
      <c r="G247" s="965">
        <v>3.05</v>
      </c>
      <c r="H247" s="965">
        <f t="shared" si="15"/>
        <v>18.54</v>
      </c>
      <c r="I247" s="962"/>
    </row>
    <row r="248" spans="1:9" ht="21" customHeight="1">
      <c r="A248" s="963"/>
      <c r="B248" s="964" t="s">
        <v>6358</v>
      </c>
      <c r="C248" s="963">
        <v>1</v>
      </c>
      <c r="D248" s="963">
        <v>1</v>
      </c>
      <c r="E248" s="965">
        <v>5.84</v>
      </c>
      <c r="F248" s="965" t="s">
        <v>1586</v>
      </c>
      <c r="G248" s="965">
        <v>3.05</v>
      </c>
      <c r="H248" s="965">
        <f t="shared" si="15"/>
        <v>17.809999999999999</v>
      </c>
      <c r="I248" s="962"/>
    </row>
    <row r="249" spans="1:9" ht="21" customHeight="1">
      <c r="A249" s="963"/>
      <c r="B249" s="964" t="s">
        <v>6374</v>
      </c>
      <c r="C249" s="963">
        <v>1</v>
      </c>
      <c r="D249" s="963">
        <v>1</v>
      </c>
      <c r="E249" s="965">
        <v>22.2</v>
      </c>
      <c r="F249" s="965" t="s">
        <v>1586</v>
      </c>
      <c r="G249" s="965">
        <v>3.05</v>
      </c>
      <c r="H249" s="965">
        <f t="shared" si="15"/>
        <v>67.709999999999994</v>
      </c>
      <c r="I249" s="962"/>
    </row>
    <row r="250" spans="1:9" ht="21" customHeight="1">
      <c r="A250" s="963"/>
      <c r="B250" s="964" t="s">
        <v>6453</v>
      </c>
      <c r="C250" s="963">
        <v>1</v>
      </c>
      <c r="D250" s="963">
        <v>2</v>
      </c>
      <c r="E250" s="965">
        <v>2.27</v>
      </c>
      <c r="F250" s="965" t="s">
        <v>1586</v>
      </c>
      <c r="G250" s="965">
        <v>3.2</v>
      </c>
      <c r="H250" s="965">
        <f t="shared" si="15"/>
        <v>14.53</v>
      </c>
      <c r="I250" s="962"/>
    </row>
    <row r="251" spans="1:9" ht="21" customHeight="1">
      <c r="A251" s="963"/>
      <c r="B251" s="964" t="s">
        <v>6454</v>
      </c>
      <c r="C251" s="963">
        <v>1</v>
      </c>
      <c r="D251" s="963">
        <v>1</v>
      </c>
      <c r="E251" s="965">
        <v>8.18</v>
      </c>
      <c r="F251" s="965" t="s">
        <v>1586</v>
      </c>
      <c r="G251" s="965">
        <v>1.65</v>
      </c>
      <c r="H251" s="965">
        <f t="shared" si="15"/>
        <v>13.5</v>
      </c>
      <c r="I251" s="962"/>
    </row>
    <row r="252" spans="1:9" ht="21" customHeight="1">
      <c r="A252" s="963"/>
      <c r="B252" s="966" t="s">
        <v>6382</v>
      </c>
      <c r="C252" s="963"/>
      <c r="D252" s="963"/>
      <c r="E252" s="965"/>
      <c r="F252" s="965"/>
      <c r="G252" s="965"/>
      <c r="H252" s="965"/>
      <c r="I252" s="962"/>
    </row>
    <row r="253" spans="1:9" ht="21" customHeight="1">
      <c r="A253" s="963"/>
      <c r="B253" s="964" t="s">
        <v>6534</v>
      </c>
      <c r="C253" s="963">
        <v>1</v>
      </c>
      <c r="D253" s="963">
        <v>1</v>
      </c>
      <c r="E253" s="965">
        <v>3.8</v>
      </c>
      <c r="F253" s="965">
        <v>0.6</v>
      </c>
      <c r="G253" s="965" t="s">
        <v>1586</v>
      </c>
      <c r="H253" s="965">
        <f t="shared" si="15"/>
        <v>2.2799999999999998</v>
      </c>
      <c r="I253" s="962"/>
    </row>
    <row r="254" spans="1:9" ht="21" customHeight="1">
      <c r="A254" s="963"/>
      <c r="B254" s="964" t="s">
        <v>6526</v>
      </c>
      <c r="C254" s="963">
        <v>1</v>
      </c>
      <c r="D254" s="963">
        <v>1</v>
      </c>
      <c r="E254" s="965">
        <v>3.8</v>
      </c>
      <c r="F254" s="965">
        <v>0.6</v>
      </c>
      <c r="G254" s="965" t="s">
        <v>1586</v>
      </c>
      <c r="H254" s="965">
        <f t="shared" si="15"/>
        <v>2.2799999999999998</v>
      </c>
      <c r="I254" s="962"/>
    </row>
    <row r="255" spans="1:9" ht="21" customHeight="1">
      <c r="A255" s="963"/>
      <c r="B255" s="964" t="s">
        <v>6522</v>
      </c>
      <c r="C255" s="963">
        <v>1</v>
      </c>
      <c r="D255" s="963">
        <v>1</v>
      </c>
      <c r="E255" s="965">
        <v>2.0699999999999998</v>
      </c>
      <c r="F255" s="965">
        <v>0.6</v>
      </c>
      <c r="G255" s="965" t="s">
        <v>1586</v>
      </c>
      <c r="H255" s="965">
        <f t="shared" si="15"/>
        <v>1.24</v>
      </c>
      <c r="I255" s="962"/>
    </row>
    <row r="256" spans="1:9" ht="21" customHeight="1">
      <c r="A256" s="963"/>
      <c r="B256" s="966" t="s">
        <v>6535</v>
      </c>
      <c r="C256" s="963"/>
      <c r="D256" s="963"/>
      <c r="E256" s="965"/>
      <c r="F256" s="965"/>
      <c r="G256" s="965"/>
      <c r="H256" s="965"/>
      <c r="I256" s="962"/>
    </row>
    <row r="257" spans="1:9" ht="21" customHeight="1">
      <c r="A257" s="963"/>
      <c r="B257" s="964" t="s">
        <v>6534</v>
      </c>
      <c r="C257" s="963">
        <v>1</v>
      </c>
      <c r="D257" s="963">
        <v>3</v>
      </c>
      <c r="E257" s="965">
        <v>1.27</v>
      </c>
      <c r="F257" s="965" t="s">
        <v>1586</v>
      </c>
      <c r="G257" s="965">
        <v>2</v>
      </c>
      <c r="H257" s="965">
        <f t="shared" si="15"/>
        <v>7.62</v>
      </c>
      <c r="I257" s="962"/>
    </row>
    <row r="258" spans="1:9" ht="21" customHeight="1">
      <c r="A258" s="963"/>
      <c r="B258" s="964" t="s">
        <v>6526</v>
      </c>
      <c r="C258" s="963">
        <v>1</v>
      </c>
      <c r="D258" s="963">
        <v>3</v>
      </c>
      <c r="E258" s="965">
        <v>1.27</v>
      </c>
      <c r="F258" s="965" t="s">
        <v>1586</v>
      </c>
      <c r="G258" s="965">
        <v>2</v>
      </c>
      <c r="H258" s="965">
        <f t="shared" si="15"/>
        <v>7.62</v>
      </c>
      <c r="I258" s="962"/>
    </row>
    <row r="259" spans="1:9" ht="21" customHeight="1">
      <c r="A259" s="963"/>
      <c r="B259" s="964" t="s">
        <v>6522</v>
      </c>
      <c r="C259" s="963">
        <v>1</v>
      </c>
      <c r="D259" s="963">
        <v>2</v>
      </c>
      <c r="E259" s="965">
        <v>0.97</v>
      </c>
      <c r="F259" s="965" t="s">
        <v>1586</v>
      </c>
      <c r="G259" s="965">
        <v>2</v>
      </c>
      <c r="H259" s="965">
        <f t="shared" si="15"/>
        <v>3.88</v>
      </c>
      <c r="I259" s="962"/>
    </row>
    <row r="260" spans="1:9" ht="21" customHeight="1">
      <c r="A260" s="963"/>
      <c r="B260" s="966" t="s">
        <v>6360</v>
      </c>
      <c r="C260" s="963"/>
      <c r="D260" s="963"/>
      <c r="E260" s="965"/>
      <c r="F260" s="965"/>
      <c r="G260" s="965"/>
      <c r="H260" s="965"/>
      <c r="I260" s="962"/>
    </row>
    <row r="261" spans="1:9" ht="21" customHeight="1">
      <c r="A261" s="963"/>
      <c r="B261" s="964" t="s">
        <v>6383</v>
      </c>
      <c r="C261" s="963">
        <v>1</v>
      </c>
      <c r="D261" s="963">
        <v>1</v>
      </c>
      <c r="E261" s="965">
        <v>5.8</v>
      </c>
      <c r="F261" s="965">
        <v>0.13</v>
      </c>
      <c r="G261" s="965" t="s">
        <v>1586</v>
      </c>
      <c r="H261" s="965">
        <f>PRODUCT(C261:G261)</f>
        <v>0.75</v>
      </c>
      <c r="I261" s="962"/>
    </row>
    <row r="262" spans="1:9" ht="21" customHeight="1">
      <c r="A262" s="963"/>
      <c r="B262" s="964" t="s">
        <v>6536</v>
      </c>
      <c r="C262" s="963">
        <v>1</v>
      </c>
      <c r="D262" s="963">
        <v>2</v>
      </c>
      <c r="E262" s="965">
        <v>5.0999999999999996</v>
      </c>
      <c r="F262" s="965">
        <v>0.13</v>
      </c>
      <c r="G262" s="965" t="s">
        <v>1586</v>
      </c>
      <c r="H262" s="965">
        <f>PRODUCT(C262:G262)</f>
        <v>1.33</v>
      </c>
      <c r="I262" s="962"/>
    </row>
    <row r="263" spans="1:9" ht="21" customHeight="1">
      <c r="A263" s="963"/>
      <c r="B263" s="964" t="s">
        <v>6520</v>
      </c>
      <c r="C263" s="963">
        <v>1</v>
      </c>
      <c r="D263" s="963">
        <v>1</v>
      </c>
      <c r="E263" s="965">
        <v>5</v>
      </c>
      <c r="F263" s="965">
        <v>0.18</v>
      </c>
      <c r="G263" s="965" t="s">
        <v>1586</v>
      </c>
      <c r="H263" s="965">
        <f>PRODUCT(C263:G263)</f>
        <v>0.9</v>
      </c>
      <c r="I263" s="962"/>
    </row>
    <row r="264" spans="1:9" ht="21" customHeight="1">
      <c r="A264" s="963"/>
      <c r="B264" s="964" t="s">
        <v>6380</v>
      </c>
      <c r="C264" s="963">
        <v>1</v>
      </c>
      <c r="D264" s="963">
        <v>1</v>
      </c>
      <c r="E264" s="965">
        <v>5.4</v>
      </c>
      <c r="F264" s="965">
        <v>0.09</v>
      </c>
      <c r="G264" s="965" t="s">
        <v>1586</v>
      </c>
      <c r="H264" s="965">
        <f t="shared" ref="H264:H282" si="16">PRODUCT(C264:G264)</f>
        <v>0.49</v>
      </c>
      <c r="I264" s="962"/>
    </row>
    <row r="265" spans="1:9" ht="21" customHeight="1">
      <c r="A265" s="963"/>
      <c r="B265" s="964" t="s">
        <v>6456</v>
      </c>
      <c r="C265" s="963">
        <v>1</v>
      </c>
      <c r="D265" s="963">
        <v>4</v>
      </c>
      <c r="E265" s="965">
        <v>5.7</v>
      </c>
      <c r="F265" s="965">
        <v>0.09</v>
      </c>
      <c r="G265" s="965" t="s">
        <v>1586</v>
      </c>
      <c r="H265" s="965">
        <f t="shared" si="16"/>
        <v>2.0499999999999998</v>
      </c>
      <c r="I265" s="962"/>
    </row>
    <row r="266" spans="1:9" ht="21" customHeight="1">
      <c r="A266" s="963"/>
      <c r="B266" s="964" t="s">
        <v>6381</v>
      </c>
      <c r="C266" s="963">
        <v>1</v>
      </c>
      <c r="D266" s="963">
        <v>2</v>
      </c>
      <c r="E266" s="965">
        <v>3</v>
      </c>
      <c r="F266" s="965">
        <v>0.09</v>
      </c>
      <c r="G266" s="965" t="s">
        <v>1586</v>
      </c>
      <c r="H266" s="965">
        <f t="shared" si="16"/>
        <v>0.54</v>
      </c>
      <c r="I266" s="962"/>
    </row>
    <row r="267" spans="1:9" ht="21" customHeight="1">
      <c r="A267" s="963"/>
      <c r="B267" s="964" t="s">
        <v>6457</v>
      </c>
      <c r="C267" s="963">
        <v>1</v>
      </c>
      <c r="D267" s="963">
        <v>2</v>
      </c>
      <c r="E267" s="965">
        <v>2.7</v>
      </c>
      <c r="F267" s="965">
        <v>0.09</v>
      </c>
      <c r="G267" s="965" t="s">
        <v>1586</v>
      </c>
      <c r="H267" s="965">
        <f t="shared" si="16"/>
        <v>0.49</v>
      </c>
      <c r="I267" s="962"/>
    </row>
    <row r="268" spans="1:9" ht="21" customHeight="1">
      <c r="A268" s="963"/>
      <c r="B268" s="964" t="s">
        <v>6458</v>
      </c>
      <c r="C268" s="963">
        <v>1</v>
      </c>
      <c r="D268" s="963">
        <v>1</v>
      </c>
      <c r="E268" s="965">
        <v>8</v>
      </c>
      <c r="F268" s="965">
        <v>0.09</v>
      </c>
      <c r="G268" s="965" t="s">
        <v>1586</v>
      </c>
      <c r="H268" s="965">
        <f t="shared" si="16"/>
        <v>0.72</v>
      </c>
      <c r="I268" s="962"/>
    </row>
    <row r="269" spans="1:9" ht="21" customHeight="1">
      <c r="A269" s="963"/>
      <c r="B269" s="966" t="s">
        <v>6537</v>
      </c>
      <c r="C269" s="963"/>
      <c r="D269" s="963"/>
      <c r="E269" s="965"/>
      <c r="F269" s="965"/>
      <c r="G269" s="965"/>
      <c r="H269" s="965"/>
      <c r="I269" s="962"/>
    </row>
    <row r="270" spans="1:9" ht="21" customHeight="1">
      <c r="A270" s="963"/>
      <c r="B270" s="964" t="s">
        <v>6538</v>
      </c>
      <c r="C270" s="963">
        <v>1</v>
      </c>
      <c r="D270" s="963">
        <v>1</v>
      </c>
      <c r="E270" s="965">
        <v>15.45</v>
      </c>
      <c r="F270" s="965" t="s">
        <v>1586</v>
      </c>
      <c r="G270" s="965">
        <v>3.05</v>
      </c>
      <c r="H270" s="965">
        <f t="shared" si="16"/>
        <v>47.12</v>
      </c>
      <c r="I270" s="962"/>
    </row>
    <row r="271" spans="1:9" ht="21" customHeight="1">
      <c r="A271" s="963"/>
      <c r="B271" s="964" t="s">
        <v>6526</v>
      </c>
      <c r="C271" s="963">
        <v>1</v>
      </c>
      <c r="D271" s="963">
        <v>1</v>
      </c>
      <c r="E271" s="965">
        <v>11.91</v>
      </c>
      <c r="F271" s="965" t="s">
        <v>1586</v>
      </c>
      <c r="G271" s="965">
        <v>3.05</v>
      </c>
      <c r="H271" s="965">
        <f t="shared" si="16"/>
        <v>36.33</v>
      </c>
      <c r="I271" s="962"/>
    </row>
    <row r="272" spans="1:9" ht="21" customHeight="1">
      <c r="A272" s="963"/>
      <c r="B272" s="964" t="s">
        <v>6507</v>
      </c>
      <c r="C272" s="963">
        <v>1</v>
      </c>
      <c r="D272" s="963">
        <v>1</v>
      </c>
      <c r="E272" s="965">
        <v>15.68</v>
      </c>
      <c r="F272" s="965" t="s">
        <v>1586</v>
      </c>
      <c r="G272" s="965">
        <v>3.05</v>
      </c>
      <c r="H272" s="965">
        <f t="shared" si="16"/>
        <v>47.82</v>
      </c>
      <c r="I272" s="962"/>
    </row>
    <row r="273" spans="1:9" ht="21" customHeight="1">
      <c r="A273" s="963"/>
      <c r="B273" s="964" t="s">
        <v>6501</v>
      </c>
      <c r="C273" s="963">
        <v>1</v>
      </c>
      <c r="D273" s="963">
        <v>1</v>
      </c>
      <c r="E273" s="965">
        <v>7.8</v>
      </c>
      <c r="F273" s="965" t="s">
        <v>1586</v>
      </c>
      <c r="G273" s="965">
        <v>1.65</v>
      </c>
      <c r="H273" s="965">
        <f t="shared" si="16"/>
        <v>12.87</v>
      </c>
      <c r="I273" s="962"/>
    </row>
    <row r="274" spans="1:9" ht="21" customHeight="1">
      <c r="A274" s="963"/>
      <c r="B274" s="964" t="s">
        <v>6443</v>
      </c>
      <c r="C274" s="963">
        <v>1</v>
      </c>
      <c r="D274" s="963">
        <v>1</v>
      </c>
      <c r="E274" s="965">
        <v>13.37</v>
      </c>
      <c r="F274" s="965" t="s">
        <v>1586</v>
      </c>
      <c r="G274" s="965">
        <v>3.05</v>
      </c>
      <c r="H274" s="965">
        <f t="shared" si="16"/>
        <v>40.78</v>
      </c>
      <c r="I274" s="962"/>
    </row>
    <row r="275" spans="1:9" ht="21" customHeight="1">
      <c r="A275" s="963"/>
      <c r="B275" s="964" t="s">
        <v>6359</v>
      </c>
      <c r="C275" s="963">
        <v>1</v>
      </c>
      <c r="D275" s="963">
        <v>1</v>
      </c>
      <c r="E275" s="965">
        <v>7.14</v>
      </c>
      <c r="F275" s="965" t="s">
        <v>1586</v>
      </c>
      <c r="G275" s="965">
        <v>1.65</v>
      </c>
      <c r="H275" s="965">
        <f t="shared" si="16"/>
        <v>11.78</v>
      </c>
      <c r="I275" s="962"/>
    </row>
    <row r="276" spans="1:9" ht="21" customHeight="1">
      <c r="A276" s="963"/>
      <c r="B276" s="964" t="s">
        <v>6539</v>
      </c>
      <c r="C276" s="963">
        <v>1</v>
      </c>
      <c r="D276" s="963">
        <v>1</v>
      </c>
      <c r="E276" s="965">
        <v>6.45</v>
      </c>
      <c r="F276" s="965" t="s">
        <v>1586</v>
      </c>
      <c r="G276" s="965">
        <v>3.05</v>
      </c>
      <c r="H276" s="965">
        <f t="shared" si="16"/>
        <v>19.670000000000002</v>
      </c>
      <c r="I276" s="962"/>
    </row>
    <row r="277" spans="1:9" ht="21" customHeight="1">
      <c r="A277" s="963"/>
      <c r="B277" s="964" t="s">
        <v>6540</v>
      </c>
      <c r="C277" s="963">
        <v>1</v>
      </c>
      <c r="D277" s="963">
        <v>1</v>
      </c>
      <c r="E277" s="965">
        <v>13.57</v>
      </c>
      <c r="F277" s="965" t="s">
        <v>1586</v>
      </c>
      <c r="G277" s="965">
        <v>3.05</v>
      </c>
      <c r="H277" s="965">
        <f t="shared" si="16"/>
        <v>41.39</v>
      </c>
      <c r="I277" s="962"/>
    </row>
    <row r="278" spans="1:9" ht="21" customHeight="1">
      <c r="A278" s="963"/>
      <c r="B278" s="964" t="s">
        <v>6446</v>
      </c>
      <c r="C278" s="963">
        <v>1</v>
      </c>
      <c r="D278" s="963">
        <v>1</v>
      </c>
      <c r="E278" s="965">
        <v>15.43</v>
      </c>
      <c r="F278" s="965" t="s">
        <v>1586</v>
      </c>
      <c r="G278" s="965">
        <v>3.05</v>
      </c>
      <c r="H278" s="965">
        <f t="shared" si="16"/>
        <v>47.06</v>
      </c>
      <c r="I278" s="962"/>
    </row>
    <row r="279" spans="1:9" ht="21" customHeight="1">
      <c r="A279" s="963"/>
      <c r="B279" s="964" t="s">
        <v>6453</v>
      </c>
      <c r="C279" s="963">
        <v>1</v>
      </c>
      <c r="D279" s="963">
        <v>1</v>
      </c>
      <c r="E279" s="965">
        <v>12.83</v>
      </c>
      <c r="F279" s="965" t="s">
        <v>1586</v>
      </c>
      <c r="G279" s="965">
        <v>3.3</v>
      </c>
      <c r="H279" s="965">
        <f t="shared" si="16"/>
        <v>42.34</v>
      </c>
      <c r="I279" s="962"/>
    </row>
    <row r="280" spans="1:9" ht="21" customHeight="1">
      <c r="A280" s="963"/>
      <c r="B280" s="964" t="s">
        <v>6375</v>
      </c>
      <c r="C280" s="963">
        <v>1</v>
      </c>
      <c r="D280" s="963">
        <v>1</v>
      </c>
      <c r="E280" s="965">
        <v>18.23</v>
      </c>
      <c r="F280" s="965" t="s">
        <v>1586</v>
      </c>
      <c r="G280" s="965">
        <v>2.4</v>
      </c>
      <c r="H280" s="965">
        <f t="shared" si="16"/>
        <v>43.75</v>
      </c>
      <c r="I280" s="962"/>
    </row>
    <row r="281" spans="1:9" ht="21" customHeight="1">
      <c r="A281" s="963"/>
      <c r="B281" s="964" t="s">
        <v>6508</v>
      </c>
      <c r="C281" s="963">
        <v>1</v>
      </c>
      <c r="D281" s="963">
        <v>1</v>
      </c>
      <c r="E281" s="965">
        <v>5.84</v>
      </c>
      <c r="F281" s="965" t="s">
        <v>1586</v>
      </c>
      <c r="G281" s="965">
        <v>3.05</v>
      </c>
      <c r="H281" s="965">
        <f t="shared" si="16"/>
        <v>17.809999999999999</v>
      </c>
      <c r="I281" s="962"/>
    </row>
    <row r="282" spans="1:9" ht="21" customHeight="1">
      <c r="A282" s="963"/>
      <c r="B282" s="964" t="s">
        <v>6454</v>
      </c>
      <c r="C282" s="963">
        <v>1</v>
      </c>
      <c r="D282" s="963">
        <v>1</v>
      </c>
      <c r="E282" s="965">
        <v>8.18</v>
      </c>
      <c r="F282" s="965" t="s">
        <v>1586</v>
      </c>
      <c r="G282" s="965">
        <v>1.65</v>
      </c>
      <c r="H282" s="965">
        <f t="shared" si="16"/>
        <v>13.5</v>
      </c>
      <c r="I282" s="962"/>
    </row>
    <row r="283" spans="1:9" ht="21" customHeight="1">
      <c r="A283" s="963"/>
      <c r="B283" s="966" t="s">
        <v>6382</v>
      </c>
      <c r="C283" s="963"/>
      <c r="D283" s="963"/>
      <c r="E283" s="965"/>
      <c r="F283" s="965"/>
      <c r="G283" s="965"/>
      <c r="H283" s="965"/>
      <c r="I283" s="962"/>
    </row>
    <row r="284" spans="1:9" ht="21" customHeight="1">
      <c r="A284" s="963"/>
      <c r="B284" s="964" t="s">
        <v>6538</v>
      </c>
      <c r="C284" s="963">
        <v>1</v>
      </c>
      <c r="D284" s="963">
        <v>1</v>
      </c>
      <c r="E284" s="965">
        <v>3.8</v>
      </c>
      <c r="F284" s="965">
        <v>0.6</v>
      </c>
      <c r="G284" s="965" t="s">
        <v>1586</v>
      </c>
      <c r="H284" s="965">
        <f t="shared" ref="H284:H322" si="17">PRODUCT(C284:G284)</f>
        <v>2.2799999999999998</v>
      </c>
      <c r="I284" s="962"/>
    </row>
    <row r="285" spans="1:9" ht="21" customHeight="1">
      <c r="A285" s="963"/>
      <c r="B285" s="964" t="s">
        <v>6526</v>
      </c>
      <c r="C285" s="963">
        <v>1</v>
      </c>
      <c r="D285" s="963">
        <v>1</v>
      </c>
      <c r="E285" s="965">
        <v>3.3</v>
      </c>
      <c r="F285" s="965">
        <v>0.6</v>
      </c>
      <c r="G285" s="965" t="s">
        <v>1586</v>
      </c>
      <c r="H285" s="965">
        <f t="shared" si="17"/>
        <v>1.98</v>
      </c>
      <c r="I285" s="962"/>
    </row>
    <row r="286" spans="1:9" ht="21" customHeight="1">
      <c r="A286" s="963"/>
      <c r="B286" s="964" t="s">
        <v>6507</v>
      </c>
      <c r="C286" s="963">
        <v>1</v>
      </c>
      <c r="D286" s="963">
        <v>1</v>
      </c>
      <c r="E286" s="965">
        <v>3.8</v>
      </c>
      <c r="F286" s="965">
        <v>0.6</v>
      </c>
      <c r="G286" s="965" t="s">
        <v>1586</v>
      </c>
      <c r="H286" s="965">
        <f t="shared" si="17"/>
        <v>2.2799999999999998</v>
      </c>
      <c r="I286" s="962"/>
    </row>
    <row r="287" spans="1:9" ht="21" customHeight="1">
      <c r="A287" s="963"/>
      <c r="B287" s="964" t="s">
        <v>6443</v>
      </c>
      <c r="C287" s="963">
        <v>1</v>
      </c>
      <c r="D287" s="963">
        <v>1</v>
      </c>
      <c r="E287" s="965">
        <v>3.92</v>
      </c>
      <c r="F287" s="965">
        <v>0.6</v>
      </c>
      <c r="G287" s="965" t="s">
        <v>1586</v>
      </c>
      <c r="H287" s="965">
        <f t="shared" si="17"/>
        <v>2.35</v>
      </c>
      <c r="I287" s="962"/>
    </row>
    <row r="288" spans="1:9" ht="21" customHeight="1">
      <c r="A288" s="963"/>
      <c r="B288" s="964" t="s">
        <v>6540</v>
      </c>
      <c r="C288" s="963">
        <v>1</v>
      </c>
      <c r="D288" s="963">
        <v>1</v>
      </c>
      <c r="E288" s="965">
        <v>4.3899999999999997</v>
      </c>
      <c r="F288" s="965">
        <v>0.6</v>
      </c>
      <c r="G288" s="965" t="s">
        <v>1586</v>
      </c>
      <c r="H288" s="965">
        <f t="shared" si="17"/>
        <v>2.63</v>
      </c>
      <c r="I288" s="962"/>
    </row>
    <row r="289" spans="1:9" ht="21" customHeight="1">
      <c r="A289" s="963"/>
      <c r="B289" s="966" t="s">
        <v>6535</v>
      </c>
      <c r="C289" s="963"/>
      <c r="D289" s="963"/>
      <c r="E289" s="965"/>
      <c r="F289" s="965"/>
      <c r="G289" s="965"/>
      <c r="H289" s="965"/>
      <c r="I289" s="962"/>
    </row>
    <row r="290" spans="1:9" ht="21" customHeight="1">
      <c r="A290" s="963"/>
      <c r="B290" s="964" t="s">
        <v>6538</v>
      </c>
      <c r="C290" s="963">
        <v>1</v>
      </c>
      <c r="D290" s="963">
        <v>3</v>
      </c>
      <c r="E290" s="965">
        <v>1.27</v>
      </c>
      <c r="F290" s="965" t="s">
        <v>1586</v>
      </c>
      <c r="G290" s="965">
        <v>2</v>
      </c>
      <c r="H290" s="965">
        <f>PRODUCT(C290:G290)</f>
        <v>7.62</v>
      </c>
      <c r="I290" s="962"/>
    </row>
    <row r="291" spans="1:9" ht="21" customHeight="1">
      <c r="A291" s="963"/>
      <c r="B291" s="964" t="s">
        <v>6526</v>
      </c>
      <c r="C291" s="963">
        <v>1</v>
      </c>
      <c r="D291" s="963">
        <v>2</v>
      </c>
      <c r="E291" s="965">
        <v>1.27</v>
      </c>
      <c r="F291" s="965" t="s">
        <v>1586</v>
      </c>
      <c r="G291" s="965">
        <v>2</v>
      </c>
      <c r="H291" s="965">
        <f>PRODUCT(C291:G291)</f>
        <v>5.08</v>
      </c>
      <c r="I291" s="962"/>
    </row>
    <row r="292" spans="1:9" ht="21" customHeight="1">
      <c r="A292" s="963"/>
      <c r="B292" s="964" t="s">
        <v>6507</v>
      </c>
      <c r="C292" s="963">
        <v>1</v>
      </c>
      <c r="D292" s="963">
        <v>3</v>
      </c>
      <c r="E292" s="965">
        <v>1.27</v>
      </c>
      <c r="F292" s="965" t="s">
        <v>1586</v>
      </c>
      <c r="G292" s="965">
        <v>2</v>
      </c>
      <c r="H292" s="965">
        <f>PRODUCT(C292:G292)</f>
        <v>7.62</v>
      </c>
      <c r="I292" s="962"/>
    </row>
    <row r="293" spans="1:9" ht="21" customHeight="1">
      <c r="A293" s="963"/>
      <c r="B293" s="964" t="s">
        <v>6443</v>
      </c>
      <c r="C293" s="963">
        <v>1</v>
      </c>
      <c r="D293" s="963">
        <v>3</v>
      </c>
      <c r="E293" s="965">
        <v>1.27</v>
      </c>
      <c r="F293" s="965" t="s">
        <v>1586</v>
      </c>
      <c r="G293" s="965">
        <v>2</v>
      </c>
      <c r="H293" s="965">
        <f>PRODUCT(C293:G293)</f>
        <v>7.62</v>
      </c>
      <c r="I293" s="962"/>
    </row>
    <row r="294" spans="1:9" ht="21" customHeight="1">
      <c r="A294" s="963"/>
      <c r="B294" s="964" t="s">
        <v>6540</v>
      </c>
      <c r="C294" s="963">
        <v>1</v>
      </c>
      <c r="D294" s="963">
        <v>4</v>
      </c>
      <c r="E294" s="965">
        <v>1.27</v>
      </c>
      <c r="F294" s="965" t="s">
        <v>1586</v>
      </c>
      <c r="G294" s="965">
        <v>2</v>
      </c>
      <c r="H294" s="965">
        <f>PRODUCT(C294:G294)</f>
        <v>10.16</v>
      </c>
      <c r="I294" s="962"/>
    </row>
    <row r="295" spans="1:9" ht="21" customHeight="1">
      <c r="A295" s="963"/>
      <c r="B295" s="966" t="s">
        <v>6360</v>
      </c>
      <c r="C295" s="963"/>
      <c r="D295" s="963"/>
      <c r="E295" s="965"/>
      <c r="F295" s="965"/>
      <c r="G295" s="965"/>
      <c r="H295" s="965"/>
      <c r="I295" s="962"/>
    </row>
    <row r="296" spans="1:9" ht="21" customHeight="1">
      <c r="A296" s="963"/>
      <c r="B296" s="964" t="s">
        <v>6361</v>
      </c>
      <c r="C296" s="963">
        <v>1</v>
      </c>
      <c r="D296" s="963">
        <v>4</v>
      </c>
      <c r="E296" s="965">
        <v>5</v>
      </c>
      <c r="F296" s="965">
        <v>0.13</v>
      </c>
      <c r="G296" s="965" t="s">
        <v>1586</v>
      </c>
      <c r="H296" s="965">
        <f t="shared" si="17"/>
        <v>2.6</v>
      </c>
      <c r="I296" s="962"/>
    </row>
    <row r="297" spans="1:9" ht="21" customHeight="1">
      <c r="A297" s="963"/>
      <c r="B297" s="964" t="s">
        <v>6361</v>
      </c>
      <c r="C297" s="963">
        <v>1</v>
      </c>
      <c r="D297" s="963">
        <v>3</v>
      </c>
      <c r="E297" s="965">
        <v>5</v>
      </c>
      <c r="F297" s="965">
        <v>7.0000000000000007E-2</v>
      </c>
      <c r="G297" s="965" t="s">
        <v>1586</v>
      </c>
      <c r="H297" s="965">
        <f t="shared" si="17"/>
        <v>1.05</v>
      </c>
      <c r="I297" s="962"/>
    </row>
    <row r="298" spans="1:9" ht="21" customHeight="1">
      <c r="A298" s="963"/>
      <c r="B298" s="964" t="s">
        <v>6455</v>
      </c>
      <c r="C298" s="963">
        <v>1</v>
      </c>
      <c r="D298" s="963">
        <v>2</v>
      </c>
      <c r="E298" s="965">
        <v>4.75</v>
      </c>
      <c r="F298" s="965">
        <v>7.0000000000000007E-2</v>
      </c>
      <c r="G298" s="965" t="s">
        <v>1586</v>
      </c>
      <c r="H298" s="965">
        <f t="shared" si="17"/>
        <v>0.67</v>
      </c>
      <c r="I298" s="962"/>
    </row>
    <row r="299" spans="1:9" ht="21" customHeight="1">
      <c r="A299" s="963"/>
      <c r="B299" s="964" t="s">
        <v>6380</v>
      </c>
      <c r="C299" s="963">
        <v>1</v>
      </c>
      <c r="D299" s="963">
        <v>2</v>
      </c>
      <c r="E299" s="965">
        <v>5.4</v>
      </c>
      <c r="F299" s="965">
        <v>0.09</v>
      </c>
      <c r="G299" s="965" t="s">
        <v>1586</v>
      </c>
      <c r="H299" s="965">
        <f t="shared" si="17"/>
        <v>0.97</v>
      </c>
      <c r="I299" s="962"/>
    </row>
    <row r="300" spans="1:9" ht="21" customHeight="1">
      <c r="A300" s="963"/>
      <c r="B300" s="964" t="s">
        <v>6456</v>
      </c>
      <c r="C300" s="963">
        <v>1</v>
      </c>
      <c r="D300" s="963">
        <v>5</v>
      </c>
      <c r="E300" s="965">
        <v>5.7</v>
      </c>
      <c r="F300" s="965">
        <v>0.09</v>
      </c>
      <c r="G300" s="965" t="s">
        <v>1586</v>
      </c>
      <c r="H300" s="965">
        <f t="shared" si="17"/>
        <v>2.57</v>
      </c>
      <c r="I300" s="962"/>
    </row>
    <row r="301" spans="1:9" ht="21" customHeight="1">
      <c r="A301" s="963"/>
      <c r="B301" s="964" t="s">
        <v>6457</v>
      </c>
      <c r="C301" s="963">
        <v>1</v>
      </c>
      <c r="D301" s="963">
        <v>2</v>
      </c>
      <c r="E301" s="965">
        <v>2.7</v>
      </c>
      <c r="F301" s="965">
        <v>0.09</v>
      </c>
      <c r="G301" s="965" t="s">
        <v>1586</v>
      </c>
      <c r="H301" s="965">
        <f t="shared" si="17"/>
        <v>0.49</v>
      </c>
      <c r="I301" s="962"/>
    </row>
    <row r="302" spans="1:9" ht="21" customHeight="1">
      <c r="A302" s="963"/>
      <c r="B302" s="964" t="s">
        <v>6457</v>
      </c>
      <c r="C302" s="963">
        <v>1</v>
      </c>
      <c r="D302" s="963">
        <v>1</v>
      </c>
      <c r="E302" s="965">
        <v>2.7</v>
      </c>
      <c r="F302" s="965">
        <v>7.0000000000000007E-2</v>
      </c>
      <c r="G302" s="965" t="s">
        <v>1586</v>
      </c>
      <c r="H302" s="965">
        <f>PRODUCT(C302:G302)</f>
        <v>0.19</v>
      </c>
      <c r="I302" s="962"/>
    </row>
    <row r="303" spans="1:9" ht="21" customHeight="1">
      <c r="A303" s="963"/>
      <c r="B303" s="964" t="s">
        <v>6541</v>
      </c>
      <c r="C303" s="963">
        <v>1</v>
      </c>
      <c r="D303" s="963">
        <v>2</v>
      </c>
      <c r="E303" s="965">
        <v>3.9</v>
      </c>
      <c r="F303" s="965">
        <v>0.09</v>
      </c>
      <c r="G303" s="965" t="s">
        <v>1586</v>
      </c>
      <c r="H303" s="965">
        <f t="shared" si="17"/>
        <v>0.7</v>
      </c>
      <c r="I303" s="962"/>
    </row>
    <row r="304" spans="1:9" ht="21" customHeight="1">
      <c r="A304" s="963"/>
      <c r="B304" s="966" t="s">
        <v>6364</v>
      </c>
      <c r="C304" s="963"/>
      <c r="D304" s="963"/>
      <c r="E304" s="965"/>
      <c r="F304" s="965"/>
      <c r="G304" s="965"/>
      <c r="H304" s="965"/>
      <c r="I304" s="962"/>
    </row>
    <row r="305" spans="1:9" ht="21" customHeight="1">
      <c r="A305" s="963"/>
      <c r="B305" s="964" t="s">
        <v>6383</v>
      </c>
      <c r="C305" s="963">
        <v>-1</v>
      </c>
      <c r="D305" s="963">
        <v>2</v>
      </c>
      <c r="E305" s="965">
        <v>1.8</v>
      </c>
      <c r="F305" s="965" t="s">
        <v>1586</v>
      </c>
      <c r="G305" s="965">
        <v>2.1</v>
      </c>
      <c r="H305" s="965">
        <f t="shared" si="17"/>
        <v>-7.56</v>
      </c>
      <c r="I305" s="962"/>
    </row>
    <row r="306" spans="1:9" ht="21" customHeight="1">
      <c r="A306" s="963"/>
      <c r="B306" s="964" t="s">
        <v>6542</v>
      </c>
      <c r="C306" s="963">
        <v>-2</v>
      </c>
      <c r="D306" s="963">
        <v>2</v>
      </c>
      <c r="E306" s="965">
        <v>0.75</v>
      </c>
      <c r="F306" s="965" t="s">
        <v>1586</v>
      </c>
      <c r="G306" s="965">
        <v>1.8</v>
      </c>
      <c r="H306" s="965">
        <f t="shared" si="17"/>
        <v>-5.4</v>
      </c>
      <c r="I306" s="962"/>
    </row>
    <row r="307" spans="1:9" ht="21" customHeight="1">
      <c r="A307" s="963"/>
      <c r="B307" s="964" t="s">
        <v>6380</v>
      </c>
      <c r="C307" s="963">
        <v>-1</v>
      </c>
      <c r="D307" s="963">
        <v>3</v>
      </c>
      <c r="E307" s="965">
        <v>1.35</v>
      </c>
      <c r="F307" s="965" t="s">
        <v>1586</v>
      </c>
      <c r="G307" s="965">
        <v>1.35</v>
      </c>
      <c r="H307" s="965">
        <f t="shared" si="17"/>
        <v>-5.47</v>
      </c>
      <c r="I307" s="962"/>
    </row>
    <row r="308" spans="1:9" ht="21" customHeight="1">
      <c r="A308" s="963"/>
      <c r="B308" s="964" t="s">
        <v>6456</v>
      </c>
      <c r="C308" s="963">
        <v>-1</v>
      </c>
      <c r="D308" s="963">
        <v>8</v>
      </c>
      <c r="E308" s="965">
        <v>1.5</v>
      </c>
      <c r="F308" s="965" t="s">
        <v>1586</v>
      </c>
      <c r="G308" s="965">
        <v>1.35</v>
      </c>
      <c r="H308" s="965">
        <f t="shared" si="17"/>
        <v>-16.2</v>
      </c>
      <c r="I308" s="962"/>
    </row>
    <row r="309" spans="1:9" ht="21" customHeight="1">
      <c r="A309" s="963"/>
      <c r="B309" s="964" t="s">
        <v>6456</v>
      </c>
      <c r="C309" s="963">
        <v>-1</v>
      </c>
      <c r="D309" s="963">
        <v>2</v>
      </c>
      <c r="E309" s="965">
        <v>1.5</v>
      </c>
      <c r="F309" s="965" t="s">
        <v>1586</v>
      </c>
      <c r="G309" s="965">
        <v>1.35</v>
      </c>
      <c r="H309" s="965">
        <f t="shared" si="17"/>
        <v>-4.05</v>
      </c>
      <c r="I309" s="962"/>
    </row>
    <row r="310" spans="1:9" ht="21" customHeight="1">
      <c r="A310" s="963"/>
      <c r="B310" s="964" t="s">
        <v>6381</v>
      </c>
      <c r="C310" s="963">
        <v>-1</v>
      </c>
      <c r="D310" s="963">
        <v>2</v>
      </c>
      <c r="E310" s="965">
        <v>0.9</v>
      </c>
      <c r="F310" s="965" t="s">
        <v>1586</v>
      </c>
      <c r="G310" s="965">
        <v>0.6</v>
      </c>
      <c r="H310" s="965">
        <f t="shared" si="17"/>
        <v>-1.08</v>
      </c>
      <c r="I310" s="962"/>
    </row>
    <row r="311" spans="1:9" ht="21" customHeight="1">
      <c r="A311" s="963"/>
      <c r="B311" s="964" t="s">
        <v>6457</v>
      </c>
      <c r="C311" s="963">
        <v>-1</v>
      </c>
      <c r="D311" s="963">
        <v>4</v>
      </c>
      <c r="E311" s="965">
        <v>0.75</v>
      </c>
      <c r="F311" s="965" t="s">
        <v>1586</v>
      </c>
      <c r="G311" s="965">
        <v>0.6</v>
      </c>
      <c r="H311" s="965">
        <f t="shared" si="17"/>
        <v>-1.8</v>
      </c>
      <c r="I311" s="962"/>
    </row>
    <row r="312" spans="1:9" ht="21" customHeight="1">
      <c r="A312" s="963"/>
      <c r="B312" s="964" t="s">
        <v>6457</v>
      </c>
      <c r="C312" s="963">
        <v>-2</v>
      </c>
      <c r="D312" s="963">
        <v>1</v>
      </c>
      <c r="E312" s="965">
        <v>0.75</v>
      </c>
      <c r="F312" s="965" t="s">
        <v>1586</v>
      </c>
      <c r="G312" s="965">
        <v>0.6</v>
      </c>
      <c r="H312" s="965">
        <f t="shared" si="17"/>
        <v>-0.9</v>
      </c>
      <c r="I312" s="962"/>
    </row>
    <row r="313" spans="1:9" ht="21" customHeight="1">
      <c r="A313" s="963"/>
      <c r="B313" s="964" t="s">
        <v>6541</v>
      </c>
      <c r="C313" s="963">
        <v>-1</v>
      </c>
      <c r="D313" s="963">
        <v>2</v>
      </c>
      <c r="E313" s="965">
        <v>1.35</v>
      </c>
      <c r="F313" s="965" t="s">
        <v>1586</v>
      </c>
      <c r="G313" s="965">
        <v>0.6</v>
      </c>
      <c r="H313" s="965">
        <f t="shared" si="17"/>
        <v>-1.62</v>
      </c>
      <c r="I313" s="962"/>
    </row>
    <row r="314" spans="1:9" ht="21" customHeight="1">
      <c r="A314" s="963"/>
      <c r="B314" s="964" t="s">
        <v>6458</v>
      </c>
      <c r="C314" s="963">
        <v>-1</v>
      </c>
      <c r="D314" s="963">
        <v>2</v>
      </c>
      <c r="E314" s="965">
        <v>1.8</v>
      </c>
      <c r="F314" s="965" t="s">
        <v>1586</v>
      </c>
      <c r="G314" s="965">
        <v>2.2000000000000002</v>
      </c>
      <c r="H314" s="965">
        <f t="shared" si="17"/>
        <v>-7.92</v>
      </c>
      <c r="I314" s="962"/>
    </row>
    <row r="315" spans="1:9" ht="21" customHeight="1">
      <c r="A315" s="963"/>
      <c r="B315" s="964" t="s">
        <v>6520</v>
      </c>
      <c r="C315" s="963">
        <v>-1</v>
      </c>
      <c r="D315" s="963">
        <v>1</v>
      </c>
      <c r="E315" s="965">
        <v>1</v>
      </c>
      <c r="F315" s="965" t="s">
        <v>1586</v>
      </c>
      <c r="G315" s="965">
        <v>2.1</v>
      </c>
      <c r="H315" s="965">
        <f t="shared" si="17"/>
        <v>-2.1</v>
      </c>
      <c r="I315" s="962"/>
    </row>
    <row r="316" spans="1:9" ht="21" customHeight="1">
      <c r="A316" s="963"/>
      <c r="B316" s="964" t="s">
        <v>6432</v>
      </c>
      <c r="C316" s="963">
        <v>-1</v>
      </c>
      <c r="D316" s="963">
        <v>1</v>
      </c>
      <c r="E316" s="965">
        <v>1</v>
      </c>
      <c r="F316" s="965" t="s">
        <v>1586</v>
      </c>
      <c r="G316" s="965">
        <v>2.1</v>
      </c>
      <c r="H316" s="965">
        <f t="shared" si="17"/>
        <v>-2.1</v>
      </c>
      <c r="I316" s="962"/>
    </row>
    <row r="317" spans="1:9" ht="21" customHeight="1">
      <c r="A317" s="963"/>
      <c r="B317" s="964" t="s">
        <v>6362</v>
      </c>
      <c r="C317" s="963">
        <v>-2</v>
      </c>
      <c r="D317" s="963">
        <v>2</v>
      </c>
      <c r="E317" s="965">
        <v>1</v>
      </c>
      <c r="F317" s="965" t="s">
        <v>1586</v>
      </c>
      <c r="G317" s="965">
        <v>2.1</v>
      </c>
      <c r="H317" s="965">
        <f t="shared" si="17"/>
        <v>-8.4</v>
      </c>
      <c r="I317" s="962"/>
    </row>
    <row r="318" spans="1:9" ht="21" customHeight="1">
      <c r="A318" s="963"/>
      <c r="B318" s="964" t="s">
        <v>6361</v>
      </c>
      <c r="C318" s="963">
        <v>-2</v>
      </c>
      <c r="D318" s="963">
        <v>11</v>
      </c>
      <c r="E318" s="965">
        <v>1</v>
      </c>
      <c r="F318" s="965" t="s">
        <v>1586</v>
      </c>
      <c r="G318" s="965">
        <v>2.1</v>
      </c>
      <c r="H318" s="965">
        <f t="shared" si="17"/>
        <v>-46.2</v>
      </c>
      <c r="I318" s="962"/>
    </row>
    <row r="319" spans="1:9" ht="21" customHeight="1">
      <c r="A319" s="963"/>
      <c r="B319" s="964" t="s">
        <v>6455</v>
      </c>
      <c r="C319" s="963">
        <v>-1</v>
      </c>
      <c r="D319" s="963">
        <v>4</v>
      </c>
      <c r="E319" s="965">
        <v>0.75</v>
      </c>
      <c r="F319" s="965" t="s">
        <v>1586</v>
      </c>
      <c r="G319" s="965">
        <v>2.1</v>
      </c>
      <c r="H319" s="965">
        <f t="shared" si="17"/>
        <v>-6.3</v>
      </c>
      <c r="I319" s="962"/>
    </row>
    <row r="320" spans="1:9" ht="21" customHeight="1">
      <c r="A320" s="963"/>
      <c r="B320" s="964" t="s">
        <v>6455</v>
      </c>
      <c r="C320" s="963">
        <v>-1</v>
      </c>
      <c r="D320" s="963">
        <v>4</v>
      </c>
      <c r="E320" s="965">
        <v>0.75</v>
      </c>
      <c r="F320" s="965" t="s">
        <v>1586</v>
      </c>
      <c r="G320" s="965">
        <v>0.6</v>
      </c>
      <c r="H320" s="965">
        <f t="shared" si="17"/>
        <v>-1.8</v>
      </c>
      <c r="I320" s="962"/>
    </row>
    <row r="321" spans="1:9" ht="21" customHeight="1">
      <c r="A321" s="963"/>
      <c r="B321" s="964" t="s">
        <v>6363</v>
      </c>
      <c r="C321" s="963">
        <v>-2</v>
      </c>
      <c r="D321" s="963">
        <v>2</v>
      </c>
      <c r="E321" s="965">
        <v>0.75</v>
      </c>
      <c r="F321" s="965" t="s">
        <v>1586</v>
      </c>
      <c r="G321" s="965">
        <v>1.35</v>
      </c>
      <c r="H321" s="965">
        <f t="shared" si="17"/>
        <v>-4.05</v>
      </c>
      <c r="I321" s="962"/>
    </row>
    <row r="322" spans="1:9" ht="21" customHeight="1">
      <c r="A322" s="963"/>
      <c r="B322" s="964" t="s">
        <v>6543</v>
      </c>
      <c r="C322" s="963">
        <v>-1</v>
      </c>
      <c r="D322" s="963">
        <v>1</v>
      </c>
      <c r="E322" s="965">
        <v>2.4</v>
      </c>
      <c r="F322" s="965" t="s">
        <v>1586</v>
      </c>
      <c r="G322" s="965">
        <v>2.9</v>
      </c>
      <c r="H322" s="965">
        <f t="shared" si="17"/>
        <v>-6.96</v>
      </c>
      <c r="I322" s="962"/>
    </row>
    <row r="323" spans="1:9" ht="21" customHeight="1">
      <c r="A323" s="963"/>
      <c r="B323" s="964" t="s">
        <v>6426</v>
      </c>
      <c r="C323" s="963">
        <v>-1</v>
      </c>
      <c r="D323" s="963">
        <v>1</v>
      </c>
      <c r="E323" s="965">
        <f>H206</f>
        <v>85.9</v>
      </c>
      <c r="F323" s="965" t="s">
        <v>1586</v>
      </c>
      <c r="G323" s="965" t="s">
        <v>1586</v>
      </c>
      <c r="H323" s="965">
        <f>PRODUCT(C323:G323)</f>
        <v>-85.9</v>
      </c>
      <c r="I323" s="962"/>
    </row>
    <row r="324" spans="1:9" ht="21" customHeight="1">
      <c r="A324" s="963"/>
      <c r="B324" s="964"/>
      <c r="C324" s="963"/>
      <c r="D324" s="963"/>
      <c r="E324" s="965"/>
      <c r="F324" s="965"/>
      <c r="G324" s="962" t="s">
        <v>2245</v>
      </c>
      <c r="H324" s="962">
        <f>SUM(H237:H323)</f>
        <v>647.82000000000005</v>
      </c>
      <c r="I324" s="962"/>
    </row>
    <row r="325" spans="1:9" ht="21" customHeight="1">
      <c r="A325" s="963"/>
      <c r="B325" s="964"/>
      <c r="C325" s="963"/>
      <c r="D325" s="963"/>
      <c r="E325" s="965"/>
      <c r="F325" s="965"/>
      <c r="G325" s="962" t="s">
        <v>4224</v>
      </c>
      <c r="H325" s="962">
        <f>ROUNDUP(H324,1)</f>
        <v>647.9</v>
      </c>
      <c r="I325" s="962" t="s">
        <v>609</v>
      </c>
    </row>
    <row r="326" spans="1:9" ht="36">
      <c r="A326" s="963">
        <f>A236+1</f>
        <v>18</v>
      </c>
      <c r="B326" s="964" t="str">
        <f>[7]Abstract!C23</f>
        <v>White washing two coat for old wall</v>
      </c>
      <c r="C326" s="963"/>
      <c r="D326" s="963"/>
      <c r="E326" s="965"/>
      <c r="F326" s="965"/>
      <c r="G326" s="965"/>
      <c r="H326" s="965"/>
      <c r="I326" s="962"/>
    </row>
    <row r="327" spans="1:9" ht="21" customHeight="1">
      <c r="A327" s="963"/>
      <c r="B327" s="966" t="s">
        <v>6371</v>
      </c>
      <c r="C327" s="963"/>
      <c r="D327" s="963"/>
      <c r="E327" s="965"/>
      <c r="F327" s="965"/>
      <c r="G327" s="965"/>
      <c r="H327" s="965"/>
      <c r="I327" s="962"/>
    </row>
    <row r="328" spans="1:9" ht="21" customHeight="1">
      <c r="A328" s="963"/>
      <c r="B328" s="964" t="s">
        <v>6525</v>
      </c>
      <c r="C328" s="963">
        <v>1</v>
      </c>
      <c r="D328" s="963">
        <v>1</v>
      </c>
      <c r="E328" s="965">
        <v>3.8</v>
      </c>
      <c r="F328" s="965">
        <v>3.93</v>
      </c>
      <c r="G328" s="965" t="s">
        <v>1586</v>
      </c>
      <c r="H328" s="965">
        <f t="shared" ref="H328:H357" si="18">PRODUCT(C328:G328)</f>
        <v>14.93</v>
      </c>
      <c r="I328" s="962"/>
    </row>
    <row r="329" spans="1:9" ht="21" customHeight="1">
      <c r="A329" s="963"/>
      <c r="B329" s="964" t="s">
        <v>6526</v>
      </c>
      <c r="C329" s="963">
        <v>1</v>
      </c>
      <c r="D329" s="963">
        <v>1</v>
      </c>
      <c r="E329" s="965">
        <v>3.8</v>
      </c>
      <c r="F329" s="965">
        <v>4.04</v>
      </c>
      <c r="G329" s="965" t="s">
        <v>1586</v>
      </c>
      <c r="H329" s="965">
        <f t="shared" si="18"/>
        <v>15.35</v>
      </c>
      <c r="I329" s="962"/>
    </row>
    <row r="330" spans="1:9" ht="21" customHeight="1">
      <c r="A330" s="963"/>
      <c r="B330" s="964" t="s">
        <v>6510</v>
      </c>
      <c r="C330" s="963">
        <v>1</v>
      </c>
      <c r="D330" s="963">
        <v>1</v>
      </c>
      <c r="E330" s="965">
        <v>3.76</v>
      </c>
      <c r="F330" s="965">
        <v>3.65</v>
      </c>
      <c r="G330" s="965" t="s">
        <v>1586</v>
      </c>
      <c r="H330" s="965">
        <f t="shared" si="18"/>
        <v>13.72</v>
      </c>
      <c r="I330" s="962"/>
    </row>
    <row r="331" spans="1:9" ht="21" customHeight="1">
      <c r="A331" s="963"/>
      <c r="B331" s="964" t="s">
        <v>6358</v>
      </c>
      <c r="C331" s="963">
        <v>1</v>
      </c>
      <c r="D331" s="963">
        <v>1</v>
      </c>
      <c r="E331" s="965">
        <v>3.3</v>
      </c>
      <c r="F331" s="965">
        <v>1.27</v>
      </c>
      <c r="G331" s="965" t="s">
        <v>1586</v>
      </c>
      <c r="H331" s="965">
        <f t="shared" si="18"/>
        <v>4.1900000000000004</v>
      </c>
      <c r="I331" s="962"/>
    </row>
    <row r="332" spans="1:9" ht="21" customHeight="1">
      <c r="A332" s="963"/>
      <c r="B332" s="964" t="s">
        <v>6357</v>
      </c>
      <c r="C332" s="963">
        <v>1</v>
      </c>
      <c r="D332" s="963">
        <v>1</v>
      </c>
      <c r="E332" s="965">
        <v>2.4</v>
      </c>
      <c r="F332" s="965">
        <v>1.5</v>
      </c>
      <c r="G332" s="965" t="s">
        <v>1586</v>
      </c>
      <c r="H332" s="965">
        <f t="shared" si="18"/>
        <v>3.6</v>
      </c>
      <c r="I332" s="962"/>
    </row>
    <row r="333" spans="1:9" ht="21" customHeight="1">
      <c r="A333" s="963"/>
      <c r="B333" s="964" t="s">
        <v>6528</v>
      </c>
      <c r="C333" s="963">
        <v>1</v>
      </c>
      <c r="D333" s="963">
        <v>1</v>
      </c>
      <c r="E333" s="965">
        <v>2.4</v>
      </c>
      <c r="F333" s="965">
        <v>1.5</v>
      </c>
      <c r="G333" s="965" t="s">
        <v>1586</v>
      </c>
      <c r="H333" s="965">
        <f t="shared" si="18"/>
        <v>3.6</v>
      </c>
      <c r="I333" s="962"/>
    </row>
    <row r="334" spans="1:9" ht="21" customHeight="1">
      <c r="A334" s="963"/>
      <c r="B334" s="964" t="s">
        <v>6529</v>
      </c>
      <c r="C334" s="963">
        <v>1</v>
      </c>
      <c r="D334" s="963">
        <v>1</v>
      </c>
      <c r="E334" s="965">
        <v>2.4</v>
      </c>
      <c r="F334" s="965">
        <v>2.77</v>
      </c>
      <c r="G334" s="965" t="s">
        <v>1586</v>
      </c>
      <c r="H334" s="965">
        <f t="shared" si="18"/>
        <v>6.65</v>
      </c>
      <c r="I334" s="962"/>
    </row>
    <row r="335" spans="1:9" ht="21" customHeight="1">
      <c r="A335" s="963"/>
      <c r="B335" s="964" t="s">
        <v>6428</v>
      </c>
      <c r="C335" s="963">
        <v>1</v>
      </c>
      <c r="D335" s="963">
        <v>1</v>
      </c>
      <c r="E335" s="965">
        <v>2.0699999999999998</v>
      </c>
      <c r="F335" s="965">
        <v>2.12</v>
      </c>
      <c r="G335" s="965" t="s">
        <v>1586</v>
      </c>
      <c r="H335" s="965">
        <f t="shared" si="18"/>
        <v>4.3899999999999997</v>
      </c>
      <c r="I335" s="962"/>
    </row>
    <row r="336" spans="1:9" ht="21" customHeight="1">
      <c r="A336" s="963"/>
      <c r="B336" s="964" t="s">
        <v>6533</v>
      </c>
      <c r="C336" s="963">
        <v>1</v>
      </c>
      <c r="D336" s="963">
        <v>1</v>
      </c>
      <c r="E336" s="965">
        <v>1.5</v>
      </c>
      <c r="F336" s="965">
        <v>1.54</v>
      </c>
      <c r="G336" s="965" t="s">
        <v>1586</v>
      </c>
      <c r="H336" s="965">
        <f t="shared" si="18"/>
        <v>2.31</v>
      </c>
      <c r="I336" s="962"/>
    </row>
    <row r="337" spans="1:9" ht="21" customHeight="1">
      <c r="A337" s="963"/>
      <c r="B337" s="964" t="s">
        <v>6544</v>
      </c>
      <c r="C337" s="963">
        <v>1</v>
      </c>
      <c r="D337" s="963">
        <v>1</v>
      </c>
      <c r="E337" s="965">
        <v>2.0699999999999998</v>
      </c>
      <c r="F337" s="965">
        <v>2.77</v>
      </c>
      <c r="G337" s="965" t="s">
        <v>1586</v>
      </c>
      <c r="H337" s="965">
        <f t="shared" si="18"/>
        <v>5.73</v>
      </c>
      <c r="I337" s="962"/>
    </row>
    <row r="338" spans="1:9" ht="21" customHeight="1">
      <c r="A338" s="963"/>
      <c r="B338" s="964" t="s">
        <v>6374</v>
      </c>
      <c r="C338" s="963">
        <v>1</v>
      </c>
      <c r="D338" s="963">
        <v>1</v>
      </c>
      <c r="E338" s="965">
        <v>3.3</v>
      </c>
      <c r="F338" s="965">
        <v>2.89</v>
      </c>
      <c r="G338" s="965" t="s">
        <v>1586</v>
      </c>
      <c r="H338" s="965">
        <f t="shared" si="18"/>
        <v>9.5399999999999991</v>
      </c>
      <c r="I338" s="962"/>
    </row>
    <row r="339" spans="1:9" ht="21" customHeight="1">
      <c r="A339" s="963"/>
      <c r="B339" s="964" t="s">
        <v>6545</v>
      </c>
      <c r="C339" s="963">
        <v>1</v>
      </c>
      <c r="D339" s="963">
        <v>1</v>
      </c>
      <c r="E339" s="965">
        <v>6.1</v>
      </c>
      <c r="F339" s="965">
        <v>2.12</v>
      </c>
      <c r="G339" s="965" t="s">
        <v>1586</v>
      </c>
      <c r="H339" s="965">
        <f t="shared" si="18"/>
        <v>12.93</v>
      </c>
      <c r="I339" s="962"/>
    </row>
    <row r="340" spans="1:9" ht="21" customHeight="1">
      <c r="A340" s="963"/>
      <c r="B340" s="964" t="s">
        <v>6453</v>
      </c>
      <c r="C340" s="963">
        <v>1</v>
      </c>
      <c r="D340" s="963">
        <v>1</v>
      </c>
      <c r="E340" s="965">
        <v>2.4</v>
      </c>
      <c r="F340" s="965">
        <v>4.83</v>
      </c>
      <c r="G340" s="965"/>
      <c r="H340" s="965">
        <f t="shared" si="18"/>
        <v>11.59</v>
      </c>
      <c r="I340" s="962"/>
    </row>
    <row r="341" spans="1:9" ht="21" customHeight="1">
      <c r="A341" s="963"/>
      <c r="B341" s="966" t="s">
        <v>6382</v>
      </c>
      <c r="C341" s="963"/>
      <c r="D341" s="963"/>
      <c r="E341" s="965"/>
      <c r="F341" s="965"/>
      <c r="G341" s="965"/>
      <c r="H341" s="965"/>
      <c r="I341" s="962"/>
    </row>
    <row r="342" spans="1:9" ht="21" customHeight="1">
      <c r="A342" s="963"/>
      <c r="B342" s="964" t="s">
        <v>6355</v>
      </c>
      <c r="C342" s="963">
        <v>1</v>
      </c>
      <c r="D342" s="963">
        <v>1</v>
      </c>
      <c r="E342" s="965">
        <v>3.93</v>
      </c>
      <c r="F342" s="965">
        <v>0.6</v>
      </c>
      <c r="G342" s="965" t="s">
        <v>1586</v>
      </c>
      <c r="H342" s="965">
        <f t="shared" si="18"/>
        <v>2.36</v>
      </c>
      <c r="I342" s="962"/>
    </row>
    <row r="343" spans="1:9" ht="21" customHeight="1">
      <c r="A343" s="963"/>
      <c r="B343" s="964" t="s">
        <v>6526</v>
      </c>
      <c r="C343" s="963">
        <v>1</v>
      </c>
      <c r="D343" s="963">
        <v>1</v>
      </c>
      <c r="E343" s="965">
        <v>3.93</v>
      </c>
      <c r="F343" s="965">
        <v>0.6</v>
      </c>
      <c r="G343" s="965" t="s">
        <v>1586</v>
      </c>
      <c r="H343" s="965">
        <f t="shared" si="18"/>
        <v>2.36</v>
      </c>
      <c r="I343" s="962"/>
    </row>
    <row r="344" spans="1:9" ht="21" customHeight="1">
      <c r="A344" s="963"/>
      <c r="B344" s="964" t="s">
        <v>6428</v>
      </c>
      <c r="C344" s="963">
        <v>1</v>
      </c>
      <c r="D344" s="963">
        <v>1</v>
      </c>
      <c r="E344" s="965">
        <v>2.0699999999999998</v>
      </c>
      <c r="F344" s="965">
        <v>0.6</v>
      </c>
      <c r="G344" s="965" t="s">
        <v>1586</v>
      </c>
      <c r="H344" s="965">
        <f t="shared" si="18"/>
        <v>1.24</v>
      </c>
      <c r="I344" s="962"/>
    </row>
    <row r="345" spans="1:9" ht="21" customHeight="1">
      <c r="A345" s="963"/>
      <c r="B345" s="966" t="s">
        <v>6537</v>
      </c>
      <c r="C345" s="963"/>
      <c r="D345" s="963"/>
      <c r="E345" s="965"/>
      <c r="F345" s="965"/>
      <c r="G345" s="965"/>
      <c r="H345" s="965"/>
      <c r="I345" s="962"/>
    </row>
    <row r="346" spans="1:9" ht="21" customHeight="1">
      <c r="A346" s="963"/>
      <c r="B346" s="964" t="s">
        <v>6538</v>
      </c>
      <c r="C346" s="963">
        <v>1</v>
      </c>
      <c r="D346" s="963">
        <v>1</v>
      </c>
      <c r="E346" s="965">
        <v>3.8</v>
      </c>
      <c r="F346" s="965">
        <v>3.93</v>
      </c>
      <c r="G346" s="965" t="s">
        <v>1586</v>
      </c>
      <c r="H346" s="965">
        <f t="shared" si="18"/>
        <v>14.93</v>
      </c>
      <c r="I346" s="962"/>
    </row>
    <row r="347" spans="1:9" ht="21" customHeight="1">
      <c r="A347" s="963"/>
      <c r="B347" s="964" t="s">
        <v>6473</v>
      </c>
      <c r="C347" s="963">
        <v>1</v>
      </c>
      <c r="D347" s="963">
        <v>1</v>
      </c>
      <c r="E347" s="965">
        <v>3.3</v>
      </c>
      <c r="F347" s="965">
        <v>2.66</v>
      </c>
      <c r="G347" s="965" t="s">
        <v>1586</v>
      </c>
      <c r="H347" s="965">
        <f t="shared" si="18"/>
        <v>8.7799999999999994</v>
      </c>
      <c r="I347" s="962"/>
    </row>
    <row r="348" spans="1:9" ht="21" customHeight="1">
      <c r="A348" s="963"/>
      <c r="B348" s="964" t="s">
        <v>6508</v>
      </c>
      <c r="C348" s="963">
        <v>1</v>
      </c>
      <c r="D348" s="963">
        <v>1</v>
      </c>
      <c r="E348" s="965">
        <v>3.3</v>
      </c>
      <c r="F348" s="965">
        <v>1.27</v>
      </c>
      <c r="G348" s="965" t="s">
        <v>1586</v>
      </c>
      <c r="H348" s="965">
        <f t="shared" si="18"/>
        <v>4.1900000000000004</v>
      </c>
      <c r="I348" s="962"/>
    </row>
    <row r="349" spans="1:9" ht="21" customHeight="1">
      <c r="A349" s="963"/>
      <c r="B349" s="964" t="s">
        <v>6507</v>
      </c>
      <c r="C349" s="963">
        <v>1</v>
      </c>
      <c r="D349" s="963">
        <v>1</v>
      </c>
      <c r="E349" s="965">
        <v>3.8</v>
      </c>
      <c r="F349" s="965">
        <v>4.04</v>
      </c>
      <c r="G349" s="965" t="s">
        <v>1586</v>
      </c>
      <c r="H349" s="965">
        <f t="shared" si="18"/>
        <v>15.35</v>
      </c>
      <c r="I349" s="962"/>
    </row>
    <row r="350" spans="1:9" ht="21" customHeight="1">
      <c r="A350" s="963"/>
      <c r="B350" s="964" t="s">
        <v>6501</v>
      </c>
      <c r="C350" s="963">
        <v>1</v>
      </c>
      <c r="D350" s="963">
        <v>1</v>
      </c>
      <c r="E350" s="965">
        <v>2.4</v>
      </c>
      <c r="F350" s="965">
        <v>1.5</v>
      </c>
      <c r="G350" s="965" t="s">
        <v>1586</v>
      </c>
      <c r="H350" s="965">
        <f t="shared" si="18"/>
        <v>3.6</v>
      </c>
      <c r="I350" s="962"/>
    </row>
    <row r="351" spans="1:9" ht="21" customHeight="1">
      <c r="A351" s="963"/>
      <c r="B351" s="964" t="s">
        <v>6446</v>
      </c>
      <c r="C351" s="963">
        <v>1</v>
      </c>
      <c r="D351" s="963">
        <v>1</v>
      </c>
      <c r="E351" s="965">
        <v>6.22</v>
      </c>
      <c r="F351" s="965">
        <v>1.5</v>
      </c>
      <c r="G351" s="965" t="s">
        <v>1586</v>
      </c>
      <c r="H351" s="965">
        <f t="shared" si="18"/>
        <v>9.33</v>
      </c>
      <c r="I351" s="962"/>
    </row>
    <row r="352" spans="1:9" ht="21" customHeight="1">
      <c r="A352" s="963"/>
      <c r="B352" s="964" t="s">
        <v>6546</v>
      </c>
      <c r="C352" s="963">
        <v>1</v>
      </c>
      <c r="D352" s="963">
        <v>1</v>
      </c>
      <c r="E352" s="965">
        <v>3.92</v>
      </c>
      <c r="F352" s="965">
        <v>2.77</v>
      </c>
      <c r="G352" s="965" t="s">
        <v>1586</v>
      </c>
      <c r="H352" s="965">
        <f t="shared" si="18"/>
        <v>10.86</v>
      </c>
      <c r="I352" s="962"/>
    </row>
    <row r="353" spans="1:9" ht="21" customHeight="1">
      <c r="A353" s="963"/>
      <c r="B353" s="964" t="s">
        <v>6359</v>
      </c>
      <c r="C353" s="963">
        <v>1</v>
      </c>
      <c r="D353" s="963">
        <v>1</v>
      </c>
      <c r="E353" s="965">
        <v>2.0699999999999998</v>
      </c>
      <c r="F353" s="965">
        <v>1.5</v>
      </c>
      <c r="G353" s="965" t="s">
        <v>1586</v>
      </c>
      <c r="H353" s="965">
        <f t="shared" si="18"/>
        <v>3.11</v>
      </c>
      <c r="I353" s="962"/>
    </row>
    <row r="354" spans="1:9" ht="21" customHeight="1">
      <c r="A354" s="963"/>
      <c r="B354" s="964" t="s">
        <v>6539</v>
      </c>
      <c r="C354" s="963">
        <v>1</v>
      </c>
      <c r="D354" s="963">
        <v>1</v>
      </c>
      <c r="E354" s="965">
        <v>2.0699999999999998</v>
      </c>
      <c r="F354" s="965">
        <v>1.1599999999999999</v>
      </c>
      <c r="G354" s="965" t="s">
        <v>1586</v>
      </c>
      <c r="H354" s="965">
        <f t="shared" si="18"/>
        <v>2.4</v>
      </c>
      <c r="I354" s="962"/>
    </row>
    <row r="355" spans="1:9" ht="21" customHeight="1">
      <c r="A355" s="963"/>
      <c r="B355" s="964" t="s">
        <v>6540</v>
      </c>
      <c r="C355" s="963">
        <v>1</v>
      </c>
      <c r="D355" s="963">
        <v>1</v>
      </c>
      <c r="E355" s="965">
        <v>2.4</v>
      </c>
      <c r="F355" s="965">
        <v>4.3899999999999997</v>
      </c>
      <c r="G355" s="965" t="s">
        <v>1586</v>
      </c>
      <c r="H355" s="965">
        <f t="shared" si="18"/>
        <v>10.54</v>
      </c>
      <c r="I355" s="962"/>
    </row>
    <row r="356" spans="1:9" ht="21" customHeight="1">
      <c r="A356" s="963"/>
      <c r="B356" s="964" t="s">
        <v>6356</v>
      </c>
      <c r="C356" s="963">
        <v>1</v>
      </c>
      <c r="D356" s="963">
        <v>1</v>
      </c>
      <c r="E356" s="965">
        <v>5.22</v>
      </c>
      <c r="F356" s="965">
        <v>2.4</v>
      </c>
      <c r="G356" s="965" t="s">
        <v>1586</v>
      </c>
      <c r="H356" s="965">
        <f t="shared" si="18"/>
        <v>12.53</v>
      </c>
      <c r="I356" s="962"/>
    </row>
    <row r="357" spans="1:9" ht="21" customHeight="1">
      <c r="A357" s="963"/>
      <c r="B357" s="964" t="s">
        <v>6375</v>
      </c>
      <c r="C357" s="963">
        <v>1</v>
      </c>
      <c r="D357" s="963">
        <v>1</v>
      </c>
      <c r="E357" s="965">
        <v>6.72</v>
      </c>
      <c r="F357" s="965">
        <v>2.4</v>
      </c>
      <c r="G357" s="965" t="s">
        <v>1586</v>
      </c>
      <c r="H357" s="965">
        <f t="shared" si="18"/>
        <v>16.13</v>
      </c>
      <c r="I357" s="962"/>
    </row>
    <row r="358" spans="1:9" ht="21" customHeight="1">
      <c r="A358" s="963"/>
      <c r="B358" s="966" t="s">
        <v>6382</v>
      </c>
      <c r="C358" s="963"/>
      <c r="D358" s="963"/>
      <c r="E358" s="965"/>
      <c r="F358" s="965"/>
      <c r="G358" s="965"/>
      <c r="H358" s="965"/>
      <c r="I358" s="962"/>
    </row>
    <row r="359" spans="1:9" ht="21" customHeight="1">
      <c r="A359" s="963"/>
      <c r="B359" s="964" t="s">
        <v>6538</v>
      </c>
      <c r="C359" s="963">
        <v>1</v>
      </c>
      <c r="D359" s="963">
        <v>1</v>
      </c>
      <c r="E359" s="965">
        <v>3.8</v>
      </c>
      <c r="F359" s="965">
        <v>0.6</v>
      </c>
      <c r="G359" s="965" t="s">
        <v>1586</v>
      </c>
      <c r="H359" s="965">
        <f t="shared" ref="H359:H363" si="19">PRODUCT(C359:G359)</f>
        <v>2.2799999999999998</v>
      </c>
      <c r="I359" s="962"/>
    </row>
    <row r="360" spans="1:9" ht="21" customHeight="1">
      <c r="A360" s="963"/>
      <c r="B360" s="964" t="s">
        <v>6526</v>
      </c>
      <c r="C360" s="963">
        <v>1</v>
      </c>
      <c r="D360" s="963">
        <v>1</v>
      </c>
      <c r="E360" s="965">
        <v>3.3</v>
      </c>
      <c r="F360" s="965">
        <v>0.6</v>
      </c>
      <c r="G360" s="965" t="s">
        <v>1586</v>
      </c>
      <c r="H360" s="965">
        <f t="shared" si="19"/>
        <v>1.98</v>
      </c>
      <c r="I360" s="962"/>
    </row>
    <row r="361" spans="1:9" ht="21" customHeight="1">
      <c r="A361" s="963"/>
      <c r="B361" s="964" t="s">
        <v>6507</v>
      </c>
      <c r="C361" s="963">
        <v>1</v>
      </c>
      <c r="D361" s="963">
        <v>1</v>
      </c>
      <c r="E361" s="965">
        <v>3.8</v>
      </c>
      <c r="F361" s="965">
        <v>0.6</v>
      </c>
      <c r="G361" s="965" t="s">
        <v>1586</v>
      </c>
      <c r="H361" s="965">
        <f t="shared" si="19"/>
        <v>2.2799999999999998</v>
      </c>
      <c r="I361" s="962"/>
    </row>
    <row r="362" spans="1:9" ht="21" customHeight="1">
      <c r="A362" s="963"/>
      <c r="B362" s="964" t="s">
        <v>6443</v>
      </c>
      <c r="C362" s="963">
        <v>1</v>
      </c>
      <c r="D362" s="963">
        <v>1</v>
      </c>
      <c r="E362" s="965">
        <v>3.92</v>
      </c>
      <c r="F362" s="965">
        <v>0.6</v>
      </c>
      <c r="G362" s="965" t="s">
        <v>1586</v>
      </c>
      <c r="H362" s="965">
        <f t="shared" si="19"/>
        <v>2.35</v>
      </c>
      <c r="I362" s="962"/>
    </row>
    <row r="363" spans="1:9" ht="21" customHeight="1">
      <c r="A363" s="963"/>
      <c r="B363" s="964" t="s">
        <v>6540</v>
      </c>
      <c r="C363" s="963">
        <v>1</v>
      </c>
      <c r="D363" s="963">
        <v>1</v>
      </c>
      <c r="E363" s="965">
        <v>4.3899999999999997</v>
      </c>
      <c r="F363" s="965">
        <v>0.6</v>
      </c>
      <c r="G363" s="965" t="s">
        <v>1586</v>
      </c>
      <c r="H363" s="965">
        <f t="shared" si="19"/>
        <v>2.63</v>
      </c>
      <c r="I363" s="962"/>
    </row>
    <row r="364" spans="1:9" ht="21" customHeight="1">
      <c r="A364" s="963"/>
      <c r="B364" s="964" t="s">
        <v>6547</v>
      </c>
      <c r="C364" s="963">
        <v>-1</v>
      </c>
      <c r="D364" s="963">
        <v>1</v>
      </c>
      <c r="E364" s="965">
        <f>H183</f>
        <v>42.5</v>
      </c>
      <c r="F364" s="965" t="s">
        <v>1586</v>
      </c>
      <c r="G364" s="965" t="s">
        <v>1586</v>
      </c>
      <c r="H364" s="965">
        <f>PRODUCT(C364:G364)</f>
        <v>-42.5</v>
      </c>
      <c r="I364" s="962"/>
    </row>
    <row r="365" spans="1:9" ht="21" customHeight="1">
      <c r="A365" s="963"/>
      <c r="B365" s="964"/>
      <c r="C365" s="963"/>
      <c r="D365" s="963"/>
      <c r="E365" s="965"/>
      <c r="F365" s="965"/>
      <c r="G365" s="962" t="s">
        <v>2245</v>
      </c>
      <c r="H365" s="962">
        <f>SUM(H328:H364)</f>
        <v>195.26</v>
      </c>
      <c r="I365" s="962"/>
    </row>
    <row r="366" spans="1:9" ht="21" customHeight="1">
      <c r="A366" s="963"/>
      <c r="B366" s="964"/>
      <c r="C366" s="963"/>
      <c r="D366" s="963"/>
      <c r="E366" s="965"/>
      <c r="F366" s="965"/>
      <c r="G366" s="962" t="s">
        <v>4224</v>
      </c>
      <c r="H366" s="962">
        <f>ROUNDUP(H365,1)</f>
        <v>195.3</v>
      </c>
      <c r="I366" s="962" t="s">
        <v>609</v>
      </c>
    </row>
    <row r="367" spans="1:9" ht="36">
      <c r="A367" s="963">
        <f>A326+1</f>
        <v>19</v>
      </c>
      <c r="B367" s="964" t="str">
        <f>[7]building!B1510</f>
        <v>Painting two coat for old iron work</v>
      </c>
      <c r="C367" s="963"/>
      <c r="D367" s="963"/>
      <c r="E367" s="965"/>
      <c r="F367" s="965"/>
      <c r="G367" s="965"/>
      <c r="H367" s="965"/>
      <c r="I367" s="962"/>
    </row>
    <row r="368" spans="1:9" ht="21" customHeight="1">
      <c r="A368" s="963"/>
      <c r="B368" s="964" t="s">
        <v>6542</v>
      </c>
      <c r="C368" s="963">
        <v>1</v>
      </c>
      <c r="D368" s="963">
        <v>2</v>
      </c>
      <c r="E368" s="965">
        <v>0.75</v>
      </c>
      <c r="F368" s="965">
        <v>1</v>
      </c>
      <c r="G368" s="965">
        <v>1.8</v>
      </c>
      <c r="H368" s="965">
        <f t="shared" ref="H368:H379" si="20">PRODUCT(C368:G368)</f>
        <v>2.7</v>
      </c>
      <c r="I368" s="962"/>
    </row>
    <row r="369" spans="1:9" ht="21" customHeight="1">
      <c r="A369" s="963"/>
      <c r="B369" s="964" t="s">
        <v>6380</v>
      </c>
      <c r="C369" s="963">
        <v>1</v>
      </c>
      <c r="D369" s="963">
        <v>3</v>
      </c>
      <c r="E369" s="965">
        <v>1.35</v>
      </c>
      <c r="F369" s="965">
        <v>1</v>
      </c>
      <c r="G369" s="965">
        <v>1.35</v>
      </c>
      <c r="H369" s="965">
        <f t="shared" si="20"/>
        <v>5.47</v>
      </c>
      <c r="I369" s="962"/>
    </row>
    <row r="370" spans="1:9" ht="21" customHeight="1">
      <c r="A370" s="963"/>
      <c r="B370" s="964" t="s">
        <v>6456</v>
      </c>
      <c r="C370" s="963">
        <v>1</v>
      </c>
      <c r="D370" s="963">
        <v>8</v>
      </c>
      <c r="E370" s="965">
        <v>1.5</v>
      </c>
      <c r="F370" s="965">
        <v>1</v>
      </c>
      <c r="G370" s="965">
        <v>1.35</v>
      </c>
      <c r="H370" s="965">
        <f t="shared" si="20"/>
        <v>16.2</v>
      </c>
      <c r="I370" s="962"/>
    </row>
    <row r="371" spans="1:9" ht="21" customHeight="1">
      <c r="A371" s="963"/>
      <c r="B371" s="964" t="s">
        <v>6456</v>
      </c>
      <c r="C371" s="963">
        <v>1</v>
      </c>
      <c r="D371" s="963">
        <v>2</v>
      </c>
      <c r="E371" s="965">
        <v>1.5</v>
      </c>
      <c r="F371" s="965">
        <v>1</v>
      </c>
      <c r="G371" s="965">
        <v>1.35</v>
      </c>
      <c r="H371" s="965">
        <f t="shared" si="20"/>
        <v>4.05</v>
      </c>
      <c r="I371" s="962"/>
    </row>
    <row r="372" spans="1:9" ht="21" customHeight="1">
      <c r="A372" s="963"/>
      <c r="B372" s="964" t="s">
        <v>6381</v>
      </c>
      <c r="C372" s="963">
        <v>1</v>
      </c>
      <c r="D372" s="963">
        <v>2</v>
      </c>
      <c r="E372" s="965">
        <v>0.9</v>
      </c>
      <c r="F372" s="965">
        <v>1</v>
      </c>
      <c r="G372" s="965">
        <v>0.6</v>
      </c>
      <c r="H372" s="965">
        <f t="shared" si="20"/>
        <v>1.08</v>
      </c>
      <c r="I372" s="962"/>
    </row>
    <row r="373" spans="1:9" ht="21" customHeight="1">
      <c r="A373" s="963"/>
      <c r="B373" s="964" t="s">
        <v>6457</v>
      </c>
      <c r="C373" s="963">
        <v>1</v>
      </c>
      <c r="D373" s="963">
        <v>5</v>
      </c>
      <c r="E373" s="965">
        <v>0.75</v>
      </c>
      <c r="F373" s="965">
        <v>1</v>
      </c>
      <c r="G373" s="965">
        <v>0.6</v>
      </c>
      <c r="H373" s="965">
        <f t="shared" si="20"/>
        <v>2.25</v>
      </c>
      <c r="I373" s="962"/>
    </row>
    <row r="374" spans="1:9" ht="21" customHeight="1">
      <c r="A374" s="963"/>
      <c r="B374" s="964" t="s">
        <v>6541</v>
      </c>
      <c r="C374" s="963">
        <v>1</v>
      </c>
      <c r="D374" s="963">
        <v>2</v>
      </c>
      <c r="E374" s="965">
        <v>1.35</v>
      </c>
      <c r="F374" s="965">
        <v>1</v>
      </c>
      <c r="G374" s="965">
        <v>0.6</v>
      </c>
      <c r="H374" s="965">
        <f t="shared" si="20"/>
        <v>1.62</v>
      </c>
      <c r="I374" s="962"/>
    </row>
    <row r="375" spans="1:9" ht="21" customHeight="1">
      <c r="A375" s="963"/>
      <c r="B375" s="964" t="s">
        <v>6458</v>
      </c>
      <c r="C375" s="963">
        <v>1</v>
      </c>
      <c r="D375" s="963">
        <v>2</v>
      </c>
      <c r="E375" s="965">
        <v>1.8</v>
      </c>
      <c r="F375" s="965">
        <v>1</v>
      </c>
      <c r="G375" s="965">
        <v>2.2000000000000002</v>
      </c>
      <c r="H375" s="965">
        <f t="shared" si="20"/>
        <v>7.92</v>
      </c>
      <c r="I375" s="962"/>
    </row>
    <row r="376" spans="1:9" ht="21" customHeight="1">
      <c r="A376" s="963"/>
      <c r="B376" s="964" t="s">
        <v>6520</v>
      </c>
      <c r="C376" s="963">
        <v>1</v>
      </c>
      <c r="D376" s="963">
        <v>1</v>
      </c>
      <c r="E376" s="965">
        <v>1</v>
      </c>
      <c r="F376" s="965">
        <v>1</v>
      </c>
      <c r="G376" s="965">
        <v>2.1</v>
      </c>
      <c r="H376" s="965">
        <f t="shared" si="20"/>
        <v>2.1</v>
      </c>
      <c r="I376" s="962"/>
    </row>
    <row r="377" spans="1:9" ht="21" customHeight="1">
      <c r="A377" s="963"/>
      <c r="B377" s="964" t="s">
        <v>6548</v>
      </c>
      <c r="C377" s="963">
        <v>1</v>
      </c>
      <c r="D377" s="963">
        <v>1</v>
      </c>
      <c r="E377" s="965">
        <v>12.3</v>
      </c>
      <c r="F377" s="965">
        <v>1</v>
      </c>
      <c r="G377" s="965">
        <v>0.8</v>
      </c>
      <c r="H377" s="965">
        <f t="shared" si="20"/>
        <v>9.84</v>
      </c>
      <c r="I377" s="962"/>
    </row>
    <row r="378" spans="1:9" ht="21" customHeight="1">
      <c r="A378" s="963"/>
      <c r="B378" s="964" t="s">
        <v>6432</v>
      </c>
      <c r="C378" s="963">
        <v>1</v>
      </c>
      <c r="D378" s="963">
        <v>1</v>
      </c>
      <c r="E378" s="965">
        <v>1</v>
      </c>
      <c r="F378" s="965">
        <v>1</v>
      </c>
      <c r="G378" s="965">
        <v>2.1</v>
      </c>
      <c r="H378" s="965">
        <f t="shared" si="20"/>
        <v>2.1</v>
      </c>
      <c r="I378" s="962"/>
    </row>
    <row r="379" spans="1:9" ht="21" customHeight="1">
      <c r="A379" s="963"/>
      <c r="B379" s="964" t="s">
        <v>6362</v>
      </c>
      <c r="C379" s="963">
        <v>1</v>
      </c>
      <c r="D379" s="963">
        <v>2</v>
      </c>
      <c r="E379" s="965">
        <v>1</v>
      </c>
      <c r="F379" s="965">
        <v>1</v>
      </c>
      <c r="G379" s="965">
        <v>2.1</v>
      </c>
      <c r="H379" s="965">
        <f t="shared" si="20"/>
        <v>4.2</v>
      </c>
      <c r="I379" s="962"/>
    </row>
    <row r="380" spans="1:9" ht="21" customHeight="1">
      <c r="A380" s="963"/>
      <c r="B380" s="964"/>
      <c r="C380" s="963"/>
      <c r="D380" s="963"/>
      <c r="E380" s="965"/>
      <c r="F380" s="965"/>
      <c r="G380" s="962" t="s">
        <v>2245</v>
      </c>
      <c r="H380" s="962">
        <f>SUM(H368:H379)</f>
        <v>59.53</v>
      </c>
      <c r="I380" s="962"/>
    </row>
    <row r="381" spans="1:9" ht="21" customHeight="1">
      <c r="A381" s="963"/>
      <c r="B381" s="964"/>
      <c r="C381" s="963"/>
      <c r="D381" s="963"/>
      <c r="E381" s="965"/>
      <c r="F381" s="965"/>
      <c r="G381" s="962" t="s">
        <v>4224</v>
      </c>
      <c r="H381" s="962">
        <f>ROUNDUP(H380,1)</f>
        <v>59.6</v>
      </c>
      <c r="I381" s="962" t="s">
        <v>609</v>
      </c>
    </row>
    <row r="382" spans="1:9" ht="36">
      <c r="A382" s="963">
        <f>A367+1</f>
        <v>20</v>
      </c>
      <c r="B382" s="964" t="str">
        <f>[7]building!B1512</f>
        <v>Painting two coat for old wood work</v>
      </c>
      <c r="C382" s="963"/>
      <c r="D382" s="963"/>
      <c r="E382" s="965"/>
      <c r="F382" s="965"/>
      <c r="G382" s="965"/>
      <c r="H382" s="965"/>
      <c r="I382" s="962"/>
    </row>
    <row r="383" spans="1:9" ht="21" customHeight="1">
      <c r="A383" s="963"/>
      <c r="B383" s="964" t="s">
        <v>6361</v>
      </c>
      <c r="C383" s="963">
        <v>1</v>
      </c>
      <c r="D383" s="963">
        <v>11</v>
      </c>
      <c r="E383" s="965">
        <v>1</v>
      </c>
      <c r="F383" s="965">
        <v>2.6</v>
      </c>
      <c r="G383" s="965">
        <v>2.1</v>
      </c>
      <c r="H383" s="965">
        <f>PRODUCT(C383:G383)</f>
        <v>60.06</v>
      </c>
      <c r="I383" s="962"/>
    </row>
    <row r="384" spans="1:9" ht="21" customHeight="1">
      <c r="A384" s="963"/>
      <c r="B384" s="966" t="s">
        <v>6535</v>
      </c>
      <c r="C384" s="963"/>
      <c r="D384" s="963"/>
      <c r="E384" s="965"/>
      <c r="F384" s="965"/>
      <c r="G384" s="965"/>
      <c r="H384" s="965"/>
      <c r="I384" s="962"/>
    </row>
    <row r="385" spans="1:9" ht="21" customHeight="1">
      <c r="A385" s="963"/>
      <c r="B385" s="964" t="s">
        <v>6549</v>
      </c>
      <c r="C385" s="963">
        <v>1</v>
      </c>
      <c r="D385" s="963">
        <v>2</v>
      </c>
      <c r="E385" s="965">
        <v>1.2</v>
      </c>
      <c r="F385" s="965">
        <v>2.6</v>
      </c>
      <c r="G385" s="965">
        <v>2.1</v>
      </c>
      <c r="H385" s="965">
        <f t="shared" ref="H385:H386" si="21">PRODUCT(C385:G385)</f>
        <v>13.1</v>
      </c>
      <c r="I385" s="962"/>
    </row>
    <row r="386" spans="1:9" ht="21" customHeight="1">
      <c r="A386" s="963"/>
      <c r="B386" s="964" t="s">
        <v>6550</v>
      </c>
      <c r="C386" s="963">
        <v>1</v>
      </c>
      <c r="D386" s="963">
        <v>2</v>
      </c>
      <c r="E386" s="965">
        <v>2.4</v>
      </c>
      <c r="F386" s="965">
        <v>2.6</v>
      </c>
      <c r="G386" s="965">
        <v>2.1</v>
      </c>
      <c r="H386" s="965">
        <f t="shared" si="21"/>
        <v>26.21</v>
      </c>
      <c r="I386" s="962"/>
    </row>
    <row r="387" spans="1:9" ht="21" customHeight="1">
      <c r="A387" s="963"/>
      <c r="B387" s="964"/>
      <c r="C387" s="963"/>
      <c r="D387" s="963"/>
      <c r="E387" s="965"/>
      <c r="F387" s="965"/>
      <c r="G387" s="962" t="s">
        <v>2245</v>
      </c>
      <c r="H387" s="962">
        <f>SUM(H383:H386)</f>
        <v>99.37</v>
      </c>
      <c r="I387" s="962"/>
    </row>
    <row r="388" spans="1:9" ht="21" customHeight="1">
      <c r="A388" s="963"/>
      <c r="B388" s="964"/>
      <c r="C388" s="963"/>
      <c r="D388" s="963"/>
      <c r="E388" s="965"/>
      <c r="F388" s="965"/>
      <c r="G388" s="962" t="s">
        <v>4224</v>
      </c>
      <c r="H388" s="962">
        <f>ROUNDUP(H387,1)</f>
        <v>99.4</v>
      </c>
      <c r="I388" s="962" t="s">
        <v>609</v>
      </c>
    </row>
    <row r="389" spans="1:9" ht="36">
      <c r="A389" s="963">
        <f>A382+1</f>
        <v>21</v>
      </c>
      <c r="B389" s="964" t="str">
        <f>'[8]Building (2)'!B1019</f>
        <v>Plastic Emulsion PAINT two coat for old wall</v>
      </c>
      <c r="C389" s="963"/>
      <c r="D389" s="963"/>
      <c r="E389" s="965"/>
      <c r="F389" s="965"/>
      <c r="G389" s="965"/>
      <c r="H389" s="965"/>
      <c r="I389" s="962"/>
    </row>
    <row r="390" spans="1:9" ht="21" customHeight="1">
      <c r="A390" s="963"/>
      <c r="B390" s="964" t="s">
        <v>6459</v>
      </c>
      <c r="C390" s="963">
        <v>1</v>
      </c>
      <c r="D390" s="963">
        <v>1</v>
      </c>
      <c r="E390" s="965">
        <v>46.3</v>
      </c>
      <c r="F390" s="965" t="s">
        <v>1586</v>
      </c>
      <c r="G390" s="965">
        <v>8.1999999999999993</v>
      </c>
      <c r="H390" s="965">
        <f t="shared" ref="H390:H398" si="22">PRODUCT(C390:G390)</f>
        <v>379.66</v>
      </c>
      <c r="I390" s="962"/>
    </row>
    <row r="391" spans="1:9" ht="21" customHeight="1">
      <c r="A391" s="963"/>
      <c r="B391" s="964" t="s">
        <v>6439</v>
      </c>
      <c r="C391" s="963">
        <v>1</v>
      </c>
      <c r="D391" s="963">
        <v>1</v>
      </c>
      <c r="E391" s="965">
        <v>20.07</v>
      </c>
      <c r="F391" s="965" t="s">
        <v>1586</v>
      </c>
      <c r="G391" s="965">
        <v>2</v>
      </c>
      <c r="H391" s="965">
        <f t="shared" si="22"/>
        <v>40.14</v>
      </c>
      <c r="I391" s="962"/>
    </row>
    <row r="392" spans="1:9" ht="21" customHeight="1">
      <c r="A392" s="963"/>
      <c r="B392" s="964" t="s">
        <v>6551</v>
      </c>
      <c r="C392" s="963">
        <v>1</v>
      </c>
      <c r="D392" s="963">
        <v>1</v>
      </c>
      <c r="E392" s="965">
        <v>11.06</v>
      </c>
      <c r="F392" s="965" t="s">
        <v>1586</v>
      </c>
      <c r="G392" s="965">
        <v>1.2</v>
      </c>
      <c r="H392" s="965">
        <f t="shared" si="22"/>
        <v>13.27</v>
      </c>
      <c r="I392" s="962"/>
    </row>
    <row r="393" spans="1:9" ht="21" customHeight="1">
      <c r="A393" s="963"/>
      <c r="B393" s="964" t="s">
        <v>6513</v>
      </c>
      <c r="C393" s="963">
        <v>1</v>
      </c>
      <c r="D393" s="963">
        <v>1</v>
      </c>
      <c r="E393" s="965">
        <v>40.72</v>
      </c>
      <c r="F393" s="965" t="s">
        <v>1586</v>
      </c>
      <c r="G393" s="965">
        <v>1.23</v>
      </c>
      <c r="H393" s="965">
        <f t="shared" si="22"/>
        <v>50.09</v>
      </c>
      <c r="I393" s="962"/>
    </row>
    <row r="394" spans="1:9" ht="21" customHeight="1">
      <c r="A394" s="963"/>
      <c r="B394" s="964" t="s">
        <v>6514</v>
      </c>
      <c r="C394" s="963">
        <v>1</v>
      </c>
      <c r="D394" s="963">
        <v>1</v>
      </c>
      <c r="E394" s="965">
        <v>40.72</v>
      </c>
      <c r="F394" s="965">
        <v>0.12</v>
      </c>
      <c r="G394" s="965" t="s">
        <v>1586</v>
      </c>
      <c r="H394" s="965">
        <f t="shared" si="22"/>
        <v>4.8899999999999997</v>
      </c>
      <c r="I394" s="962"/>
    </row>
    <row r="395" spans="1:9" ht="21" customHeight="1">
      <c r="A395" s="963"/>
      <c r="B395" s="964" t="s">
        <v>6515</v>
      </c>
      <c r="C395" s="963">
        <v>1</v>
      </c>
      <c r="D395" s="963">
        <v>11</v>
      </c>
      <c r="E395" s="965">
        <v>2.12</v>
      </c>
      <c r="F395" s="965">
        <v>0.12</v>
      </c>
      <c r="G395" s="965" t="s">
        <v>1586</v>
      </c>
      <c r="H395" s="965">
        <f t="shared" si="22"/>
        <v>2.8</v>
      </c>
      <c r="I395" s="962"/>
    </row>
    <row r="396" spans="1:9" ht="21" customHeight="1">
      <c r="A396" s="963"/>
      <c r="B396" s="964" t="s">
        <v>6516</v>
      </c>
      <c r="C396" s="963">
        <v>1</v>
      </c>
      <c r="D396" s="963">
        <v>1</v>
      </c>
      <c r="E396" s="965">
        <v>19.21</v>
      </c>
      <c r="F396" s="965" t="s">
        <v>1586</v>
      </c>
      <c r="G396" s="965">
        <v>0.56999999999999995</v>
      </c>
      <c r="H396" s="965">
        <f t="shared" si="22"/>
        <v>10.95</v>
      </c>
      <c r="I396" s="962"/>
    </row>
    <row r="397" spans="1:9" ht="21" customHeight="1">
      <c r="A397" s="963"/>
      <c r="B397" s="964" t="s">
        <v>6552</v>
      </c>
      <c r="C397" s="963">
        <v>1</v>
      </c>
      <c r="D397" s="963">
        <v>1</v>
      </c>
      <c r="E397" s="965">
        <v>2.63</v>
      </c>
      <c r="F397" s="965" t="s">
        <v>1586</v>
      </c>
      <c r="G397" s="965">
        <v>0.75</v>
      </c>
      <c r="H397" s="965">
        <f t="shared" si="22"/>
        <v>1.97</v>
      </c>
      <c r="I397" s="962"/>
    </row>
    <row r="398" spans="1:9" ht="21" customHeight="1">
      <c r="A398" s="963"/>
      <c r="B398" s="964" t="s">
        <v>6517</v>
      </c>
      <c r="C398" s="963">
        <v>1</v>
      </c>
      <c r="D398" s="963">
        <v>1</v>
      </c>
      <c r="E398" s="965">
        <v>10.14</v>
      </c>
      <c r="F398" s="965" t="s">
        <v>1586</v>
      </c>
      <c r="G398" s="965">
        <v>1</v>
      </c>
      <c r="H398" s="965">
        <f t="shared" si="22"/>
        <v>10.14</v>
      </c>
      <c r="I398" s="962"/>
    </row>
    <row r="399" spans="1:9" ht="21" customHeight="1">
      <c r="A399" s="963"/>
      <c r="B399" s="966" t="s">
        <v>6460</v>
      </c>
      <c r="C399" s="963"/>
      <c r="D399" s="963"/>
      <c r="E399" s="965"/>
      <c r="F399" s="965"/>
      <c r="G399" s="965"/>
      <c r="H399" s="965"/>
      <c r="I399" s="962"/>
    </row>
    <row r="400" spans="1:9" ht="21" customHeight="1">
      <c r="A400" s="963"/>
      <c r="B400" s="964" t="s">
        <v>6380</v>
      </c>
      <c r="C400" s="963">
        <v>2</v>
      </c>
      <c r="D400" s="963">
        <v>3</v>
      </c>
      <c r="E400" s="965">
        <v>1.81</v>
      </c>
      <c r="F400" s="965">
        <v>0.6</v>
      </c>
      <c r="G400" s="965" t="s">
        <v>1586</v>
      </c>
      <c r="H400" s="965">
        <f t="shared" ref="H400:H404" si="23">PRODUCT(C400:G400)</f>
        <v>6.52</v>
      </c>
      <c r="I400" s="962"/>
    </row>
    <row r="401" spans="1:9" ht="21" customHeight="1">
      <c r="A401" s="963"/>
      <c r="B401" s="964" t="s">
        <v>6456</v>
      </c>
      <c r="C401" s="963">
        <v>2</v>
      </c>
      <c r="D401" s="963">
        <v>8</v>
      </c>
      <c r="E401" s="965">
        <v>1.96</v>
      </c>
      <c r="F401" s="965">
        <v>0.6</v>
      </c>
      <c r="G401" s="965" t="s">
        <v>1586</v>
      </c>
      <c r="H401" s="965">
        <f t="shared" si="23"/>
        <v>18.82</v>
      </c>
      <c r="I401" s="962"/>
    </row>
    <row r="402" spans="1:9" ht="21" customHeight="1">
      <c r="A402" s="963"/>
      <c r="B402" s="964" t="s">
        <v>6381</v>
      </c>
      <c r="C402" s="963">
        <v>2</v>
      </c>
      <c r="D402" s="963">
        <v>2</v>
      </c>
      <c r="E402" s="965">
        <v>1.36</v>
      </c>
      <c r="F402" s="965">
        <v>0.6</v>
      </c>
      <c r="G402" s="965" t="s">
        <v>1586</v>
      </c>
      <c r="H402" s="965">
        <f t="shared" si="23"/>
        <v>3.26</v>
      </c>
      <c r="I402" s="962"/>
    </row>
    <row r="403" spans="1:9" ht="21" customHeight="1">
      <c r="A403" s="963"/>
      <c r="B403" s="964" t="s">
        <v>6541</v>
      </c>
      <c r="C403" s="963">
        <v>2</v>
      </c>
      <c r="D403" s="963">
        <v>2</v>
      </c>
      <c r="E403" s="965">
        <v>1.81</v>
      </c>
      <c r="F403" s="965">
        <v>0.6</v>
      </c>
      <c r="G403" s="965" t="s">
        <v>1586</v>
      </c>
      <c r="H403" s="965">
        <f t="shared" si="23"/>
        <v>4.34</v>
      </c>
      <c r="I403" s="962"/>
    </row>
    <row r="404" spans="1:9" ht="21" customHeight="1">
      <c r="A404" s="963"/>
      <c r="B404" s="964" t="s">
        <v>6375</v>
      </c>
      <c r="C404" s="963">
        <v>2</v>
      </c>
      <c r="D404" s="963">
        <v>1</v>
      </c>
      <c r="E404" s="965">
        <v>1.46</v>
      </c>
      <c r="F404" s="965">
        <v>0.6</v>
      </c>
      <c r="G404" s="965" t="s">
        <v>1586</v>
      </c>
      <c r="H404" s="965">
        <f t="shared" si="23"/>
        <v>1.75</v>
      </c>
      <c r="I404" s="962"/>
    </row>
    <row r="405" spans="1:9" ht="21" customHeight="1">
      <c r="A405" s="963"/>
      <c r="B405" s="966" t="s">
        <v>6519</v>
      </c>
      <c r="C405" s="963"/>
      <c r="D405" s="963"/>
      <c r="E405" s="965"/>
      <c r="F405" s="965"/>
      <c r="G405" s="965"/>
      <c r="H405" s="965"/>
      <c r="I405" s="962"/>
    </row>
    <row r="406" spans="1:9" ht="21" customHeight="1">
      <c r="A406" s="963"/>
      <c r="B406" s="964" t="s">
        <v>6380</v>
      </c>
      <c r="C406" s="963">
        <v>1</v>
      </c>
      <c r="D406" s="963">
        <v>3</v>
      </c>
      <c r="E406" s="965">
        <v>3.01</v>
      </c>
      <c r="F406" s="965" t="s">
        <v>1586</v>
      </c>
      <c r="G406" s="965">
        <v>0.06</v>
      </c>
      <c r="H406" s="965">
        <f t="shared" ref="H406:H410" si="24">PRODUCT(C406:G406)</f>
        <v>0.54</v>
      </c>
      <c r="I406" s="962"/>
    </row>
    <row r="407" spans="1:9" ht="21" customHeight="1">
      <c r="A407" s="963"/>
      <c r="B407" s="964" t="s">
        <v>6456</v>
      </c>
      <c r="C407" s="963">
        <v>1</v>
      </c>
      <c r="D407" s="963">
        <v>8</v>
      </c>
      <c r="E407" s="965">
        <v>3.16</v>
      </c>
      <c r="F407" s="965" t="s">
        <v>1586</v>
      </c>
      <c r="G407" s="965">
        <v>0.06</v>
      </c>
      <c r="H407" s="965">
        <f t="shared" si="24"/>
        <v>1.52</v>
      </c>
      <c r="I407" s="962"/>
    </row>
    <row r="408" spans="1:9" ht="21" customHeight="1">
      <c r="A408" s="963"/>
      <c r="B408" s="964" t="s">
        <v>6381</v>
      </c>
      <c r="C408" s="963">
        <v>1</v>
      </c>
      <c r="D408" s="963">
        <v>2</v>
      </c>
      <c r="E408" s="965">
        <v>2.56</v>
      </c>
      <c r="F408" s="965" t="s">
        <v>1586</v>
      </c>
      <c r="G408" s="965">
        <v>0.06</v>
      </c>
      <c r="H408" s="965">
        <f t="shared" si="24"/>
        <v>0.31</v>
      </c>
      <c r="I408" s="962"/>
    </row>
    <row r="409" spans="1:9" ht="21" customHeight="1">
      <c r="A409" s="963"/>
      <c r="B409" s="964" t="s">
        <v>6541</v>
      </c>
      <c r="C409" s="963">
        <v>1</v>
      </c>
      <c r="D409" s="963">
        <v>2</v>
      </c>
      <c r="E409" s="965">
        <v>3.01</v>
      </c>
      <c r="F409" s="965" t="s">
        <v>1586</v>
      </c>
      <c r="G409" s="965">
        <v>0.06</v>
      </c>
      <c r="H409" s="965">
        <f t="shared" si="24"/>
        <v>0.36</v>
      </c>
      <c r="I409" s="962"/>
    </row>
    <row r="410" spans="1:9" ht="21" customHeight="1">
      <c r="A410" s="963"/>
      <c r="B410" s="964" t="s">
        <v>6375</v>
      </c>
      <c r="C410" s="963">
        <v>1</v>
      </c>
      <c r="D410" s="963">
        <v>1</v>
      </c>
      <c r="E410" s="965">
        <v>2.66</v>
      </c>
      <c r="F410" s="965" t="s">
        <v>1586</v>
      </c>
      <c r="G410" s="965">
        <v>0.06</v>
      </c>
      <c r="H410" s="965">
        <f t="shared" si="24"/>
        <v>0.16</v>
      </c>
      <c r="I410" s="962"/>
    </row>
    <row r="411" spans="1:9" ht="21" customHeight="1">
      <c r="A411" s="963"/>
      <c r="B411" s="966" t="s">
        <v>6360</v>
      </c>
      <c r="C411" s="963"/>
      <c r="D411" s="963"/>
      <c r="E411" s="965"/>
      <c r="F411" s="965"/>
      <c r="G411" s="965"/>
      <c r="H411" s="965"/>
      <c r="I411" s="962"/>
    </row>
    <row r="412" spans="1:9" ht="21" customHeight="1">
      <c r="A412" s="963"/>
      <c r="B412" s="964" t="s">
        <v>6520</v>
      </c>
      <c r="C412" s="963">
        <v>1</v>
      </c>
      <c r="D412" s="963">
        <v>1</v>
      </c>
      <c r="E412" s="965">
        <v>5</v>
      </c>
      <c r="F412" s="965">
        <v>0.09</v>
      </c>
      <c r="G412" s="965" t="s">
        <v>1586</v>
      </c>
      <c r="H412" s="965">
        <f>PRODUCT(C412:G412)</f>
        <v>0.45</v>
      </c>
      <c r="I412" s="962"/>
    </row>
    <row r="413" spans="1:9" ht="21" customHeight="1">
      <c r="A413" s="963"/>
      <c r="B413" s="964" t="s">
        <v>6432</v>
      </c>
      <c r="C413" s="963">
        <v>1</v>
      </c>
      <c r="D413" s="963">
        <v>1</v>
      </c>
      <c r="E413" s="965">
        <v>5</v>
      </c>
      <c r="F413" s="965">
        <v>0.09</v>
      </c>
      <c r="G413" s="965" t="s">
        <v>1586</v>
      </c>
      <c r="H413" s="965">
        <f>PRODUCT(C413:G413)</f>
        <v>0.45</v>
      </c>
      <c r="I413" s="962"/>
    </row>
    <row r="414" spans="1:9" ht="21" customHeight="1">
      <c r="A414" s="963"/>
      <c r="B414" s="964" t="s">
        <v>6380</v>
      </c>
      <c r="C414" s="963">
        <v>1</v>
      </c>
      <c r="D414" s="963">
        <v>3</v>
      </c>
      <c r="E414" s="965">
        <v>5.4</v>
      </c>
      <c r="F414" s="965">
        <v>0.09</v>
      </c>
      <c r="G414" s="965" t="s">
        <v>1586</v>
      </c>
      <c r="H414" s="965">
        <f t="shared" ref="H414:H419" si="25">PRODUCT(C414:G414)</f>
        <v>1.46</v>
      </c>
      <c r="I414" s="962"/>
    </row>
    <row r="415" spans="1:9" ht="21" customHeight="1">
      <c r="A415" s="963"/>
      <c r="B415" s="964" t="s">
        <v>6456</v>
      </c>
      <c r="C415" s="963">
        <v>1</v>
      </c>
      <c r="D415" s="963">
        <v>8</v>
      </c>
      <c r="E415" s="965">
        <v>5.7</v>
      </c>
      <c r="F415" s="965">
        <v>0.09</v>
      </c>
      <c r="G415" s="965" t="s">
        <v>1586</v>
      </c>
      <c r="H415" s="965">
        <f t="shared" si="25"/>
        <v>4.0999999999999996</v>
      </c>
      <c r="I415" s="962"/>
    </row>
    <row r="416" spans="1:9" ht="21" customHeight="1">
      <c r="A416" s="963"/>
      <c r="B416" s="964" t="s">
        <v>6381</v>
      </c>
      <c r="C416" s="963">
        <v>1</v>
      </c>
      <c r="D416" s="963">
        <v>2</v>
      </c>
      <c r="E416" s="965">
        <v>3</v>
      </c>
      <c r="F416" s="965">
        <v>0.09</v>
      </c>
      <c r="G416" s="965" t="s">
        <v>1586</v>
      </c>
      <c r="H416" s="965">
        <f t="shared" si="25"/>
        <v>0.54</v>
      </c>
      <c r="I416" s="962"/>
    </row>
    <row r="417" spans="1:9" ht="21" customHeight="1">
      <c r="A417" s="963"/>
      <c r="B417" s="964" t="s">
        <v>6541</v>
      </c>
      <c r="C417" s="963">
        <v>1</v>
      </c>
      <c r="D417" s="963">
        <v>2</v>
      </c>
      <c r="E417" s="965">
        <v>3.9</v>
      </c>
      <c r="F417" s="965">
        <v>0.09</v>
      </c>
      <c r="G417" s="965" t="s">
        <v>1586</v>
      </c>
      <c r="H417" s="965">
        <f t="shared" si="25"/>
        <v>0.7</v>
      </c>
      <c r="I417" s="962"/>
    </row>
    <row r="418" spans="1:9" ht="21" customHeight="1">
      <c r="A418" s="963"/>
      <c r="B418" s="964" t="s">
        <v>6457</v>
      </c>
      <c r="C418" s="963">
        <v>1</v>
      </c>
      <c r="D418" s="963">
        <v>4</v>
      </c>
      <c r="E418" s="965">
        <v>2.7</v>
      </c>
      <c r="F418" s="965">
        <v>0.09</v>
      </c>
      <c r="G418" s="965" t="s">
        <v>1586</v>
      </c>
      <c r="H418" s="965">
        <f t="shared" si="25"/>
        <v>0.97</v>
      </c>
      <c r="I418" s="962"/>
    </row>
    <row r="419" spans="1:9" ht="21" customHeight="1">
      <c r="A419" s="963"/>
      <c r="B419" s="964" t="s">
        <v>6458</v>
      </c>
      <c r="C419" s="963">
        <v>1</v>
      </c>
      <c r="D419" s="963">
        <v>2</v>
      </c>
      <c r="E419" s="965">
        <v>8</v>
      </c>
      <c r="F419" s="965">
        <v>0.09</v>
      </c>
      <c r="G419" s="965" t="s">
        <v>1586</v>
      </c>
      <c r="H419" s="965">
        <f t="shared" si="25"/>
        <v>1.44</v>
      </c>
      <c r="I419" s="962"/>
    </row>
    <row r="420" spans="1:9" ht="21" customHeight="1">
      <c r="A420" s="963"/>
      <c r="B420" s="966" t="s">
        <v>6364</v>
      </c>
      <c r="C420" s="963"/>
      <c r="D420" s="963"/>
      <c r="E420" s="965"/>
      <c r="F420" s="965"/>
      <c r="G420" s="965"/>
      <c r="H420" s="965"/>
      <c r="I420" s="962"/>
    </row>
    <row r="421" spans="1:9" ht="21" customHeight="1">
      <c r="A421" s="963"/>
      <c r="B421" s="964" t="s">
        <v>6358</v>
      </c>
      <c r="C421" s="963">
        <v>-1</v>
      </c>
      <c r="D421" s="963">
        <v>1</v>
      </c>
      <c r="E421" s="965">
        <v>3.3</v>
      </c>
      <c r="F421" s="965" t="s">
        <v>1586</v>
      </c>
      <c r="G421" s="965">
        <v>3</v>
      </c>
      <c r="H421" s="965">
        <f>PRODUCT(C421:G421)</f>
        <v>-9.9</v>
      </c>
      <c r="I421" s="962"/>
    </row>
    <row r="422" spans="1:9" ht="21" customHeight="1">
      <c r="A422" s="963"/>
      <c r="B422" s="964" t="s">
        <v>6520</v>
      </c>
      <c r="C422" s="963">
        <v>-1</v>
      </c>
      <c r="D422" s="963">
        <v>1</v>
      </c>
      <c r="E422" s="965">
        <v>1</v>
      </c>
      <c r="F422" s="965" t="s">
        <v>1586</v>
      </c>
      <c r="G422" s="965">
        <v>2.1</v>
      </c>
      <c r="H422" s="965">
        <f>PRODUCT(C422:G422)</f>
        <v>-2.1</v>
      </c>
      <c r="I422" s="962"/>
    </row>
    <row r="423" spans="1:9" ht="21" customHeight="1">
      <c r="A423" s="963"/>
      <c r="B423" s="964" t="s">
        <v>6432</v>
      </c>
      <c r="C423" s="963">
        <v>-1</v>
      </c>
      <c r="D423" s="963">
        <v>1</v>
      </c>
      <c r="E423" s="965">
        <v>1</v>
      </c>
      <c r="F423" s="965" t="s">
        <v>1586</v>
      </c>
      <c r="G423" s="965">
        <v>2.1</v>
      </c>
      <c r="H423" s="965">
        <f>PRODUCT(C423:G423)</f>
        <v>-2.1</v>
      </c>
      <c r="I423" s="962"/>
    </row>
    <row r="424" spans="1:9" ht="21" customHeight="1">
      <c r="A424" s="963"/>
      <c r="B424" s="964" t="s">
        <v>6380</v>
      </c>
      <c r="C424" s="963">
        <v>-1</v>
      </c>
      <c r="D424" s="963">
        <v>3</v>
      </c>
      <c r="E424" s="965">
        <v>1.35</v>
      </c>
      <c r="F424" s="965" t="s">
        <v>1586</v>
      </c>
      <c r="G424" s="965">
        <v>1.35</v>
      </c>
      <c r="H424" s="965">
        <f t="shared" ref="H424:H430" si="26">PRODUCT(C424:G424)</f>
        <v>-5.47</v>
      </c>
      <c r="I424" s="962"/>
    </row>
    <row r="425" spans="1:9" ht="21" customHeight="1">
      <c r="A425" s="963"/>
      <c r="B425" s="964" t="s">
        <v>6456</v>
      </c>
      <c r="C425" s="963">
        <v>-1</v>
      </c>
      <c r="D425" s="963">
        <v>8</v>
      </c>
      <c r="E425" s="965">
        <v>1.5</v>
      </c>
      <c r="F425" s="965" t="s">
        <v>1586</v>
      </c>
      <c r="G425" s="965">
        <v>1.35</v>
      </c>
      <c r="H425" s="965">
        <f t="shared" si="26"/>
        <v>-16.2</v>
      </c>
      <c r="I425" s="962"/>
    </row>
    <row r="426" spans="1:9" ht="21" customHeight="1">
      <c r="A426" s="963"/>
      <c r="B426" s="964" t="s">
        <v>6381</v>
      </c>
      <c r="C426" s="963">
        <v>-1</v>
      </c>
      <c r="D426" s="963">
        <v>2</v>
      </c>
      <c r="E426" s="965">
        <v>0.9</v>
      </c>
      <c r="F426" s="965" t="s">
        <v>1586</v>
      </c>
      <c r="G426" s="965">
        <v>0.6</v>
      </c>
      <c r="H426" s="965">
        <f t="shared" si="26"/>
        <v>-1.08</v>
      </c>
      <c r="I426" s="962"/>
    </row>
    <row r="427" spans="1:9" ht="21" customHeight="1">
      <c r="A427" s="963"/>
      <c r="B427" s="964" t="s">
        <v>6541</v>
      </c>
      <c r="C427" s="963">
        <v>-1</v>
      </c>
      <c r="D427" s="963">
        <v>2</v>
      </c>
      <c r="E427" s="965">
        <v>1.35</v>
      </c>
      <c r="F427" s="965" t="s">
        <v>1586</v>
      </c>
      <c r="G427" s="965">
        <v>0.6</v>
      </c>
      <c r="H427" s="965">
        <f t="shared" si="26"/>
        <v>-1.62</v>
      </c>
      <c r="I427" s="962"/>
    </row>
    <row r="428" spans="1:9" ht="21" customHeight="1">
      <c r="A428" s="963"/>
      <c r="B428" s="964" t="s">
        <v>6457</v>
      </c>
      <c r="C428" s="963">
        <v>-1</v>
      </c>
      <c r="D428" s="963">
        <v>4</v>
      </c>
      <c r="E428" s="965">
        <v>0.75</v>
      </c>
      <c r="F428" s="965" t="s">
        <v>1586</v>
      </c>
      <c r="G428" s="965">
        <v>0.6</v>
      </c>
      <c r="H428" s="965">
        <f t="shared" si="26"/>
        <v>-1.8</v>
      </c>
      <c r="I428" s="962"/>
    </row>
    <row r="429" spans="1:9" ht="21" customHeight="1">
      <c r="A429" s="963"/>
      <c r="B429" s="964" t="s">
        <v>6458</v>
      </c>
      <c r="C429" s="963">
        <v>-1</v>
      </c>
      <c r="D429" s="963">
        <v>2</v>
      </c>
      <c r="E429" s="965">
        <v>1.8</v>
      </c>
      <c r="F429" s="965" t="s">
        <v>1586</v>
      </c>
      <c r="G429" s="965">
        <v>2.2000000000000002</v>
      </c>
      <c r="H429" s="965">
        <f t="shared" si="26"/>
        <v>-7.92</v>
      </c>
      <c r="I429" s="962"/>
    </row>
    <row r="430" spans="1:9" ht="21" customHeight="1">
      <c r="A430" s="963"/>
      <c r="B430" s="964" t="s">
        <v>6553</v>
      </c>
      <c r="C430" s="963">
        <v>-1</v>
      </c>
      <c r="D430" s="963">
        <v>1</v>
      </c>
      <c r="E430" s="965">
        <v>3.3</v>
      </c>
      <c r="F430" s="965" t="s">
        <v>1586</v>
      </c>
      <c r="G430" s="965">
        <v>2.1</v>
      </c>
      <c r="H430" s="965">
        <f t="shared" si="26"/>
        <v>-6.93</v>
      </c>
      <c r="I430" s="962"/>
    </row>
    <row r="431" spans="1:9" ht="21" customHeight="1">
      <c r="A431" s="963"/>
      <c r="B431" s="964" t="s">
        <v>6461</v>
      </c>
      <c r="C431" s="963">
        <v>-1</v>
      </c>
      <c r="D431" s="963">
        <v>1</v>
      </c>
      <c r="E431" s="965">
        <f>H231</f>
        <v>135.1</v>
      </c>
      <c r="F431" s="965" t="s">
        <v>1586</v>
      </c>
      <c r="G431" s="965" t="s">
        <v>1586</v>
      </c>
      <c r="H431" s="965">
        <f>PRODUCT(C431:G431)</f>
        <v>-135.1</v>
      </c>
      <c r="I431" s="962"/>
    </row>
    <row r="432" spans="1:9" ht="21" customHeight="1">
      <c r="A432" s="963"/>
      <c r="B432" s="964"/>
      <c r="C432" s="963"/>
      <c r="D432" s="963"/>
      <c r="E432" s="965"/>
      <c r="F432" s="965"/>
      <c r="G432" s="962" t="s">
        <v>2245</v>
      </c>
      <c r="H432" s="962">
        <f>SUM(H390:H431)</f>
        <v>371.38</v>
      </c>
      <c r="I432" s="962"/>
    </row>
    <row r="433" spans="1:9" ht="21" customHeight="1">
      <c r="A433" s="963"/>
      <c r="B433" s="964"/>
      <c r="C433" s="963"/>
      <c r="D433" s="963"/>
      <c r="E433" s="965"/>
      <c r="F433" s="965"/>
      <c r="G433" s="962" t="s">
        <v>4224</v>
      </c>
      <c r="H433" s="962">
        <f>ROUNDUP(H432,1)</f>
        <v>371.4</v>
      </c>
      <c r="I433" s="962" t="s">
        <v>609</v>
      </c>
    </row>
    <row r="434" spans="1:9" ht="24" customHeight="1">
      <c r="A434" s="963">
        <f>A389+1</f>
        <v>22</v>
      </c>
      <c r="B434" s="964" t="str">
        <f>[7]building!B363</f>
        <v>Stucco plastering 12 mm tk.</v>
      </c>
      <c r="C434" s="963"/>
      <c r="D434" s="963"/>
      <c r="E434" s="965"/>
      <c r="F434" s="965"/>
      <c r="G434" s="965"/>
      <c r="H434" s="965"/>
      <c r="I434" s="962"/>
    </row>
    <row r="435" spans="1:9" ht="21" customHeight="1">
      <c r="A435" s="963"/>
      <c r="B435" s="964" t="s">
        <v>6459</v>
      </c>
      <c r="C435" s="963">
        <v>1</v>
      </c>
      <c r="D435" s="963">
        <v>1</v>
      </c>
      <c r="E435" s="965">
        <v>44.04</v>
      </c>
      <c r="F435" s="965" t="s">
        <v>1586</v>
      </c>
      <c r="G435" s="965">
        <v>1.35</v>
      </c>
      <c r="H435" s="965">
        <f>PRODUCT(C435:G435)</f>
        <v>59.45</v>
      </c>
      <c r="I435" s="962"/>
    </row>
    <row r="436" spans="1:9" ht="21" customHeight="1">
      <c r="A436" s="963"/>
      <c r="B436" s="966" t="s">
        <v>6364</v>
      </c>
      <c r="C436" s="963"/>
      <c r="D436" s="963"/>
      <c r="E436" s="965"/>
      <c r="F436" s="965"/>
      <c r="G436" s="965"/>
      <c r="H436" s="965"/>
      <c r="I436" s="962"/>
    </row>
    <row r="437" spans="1:9" ht="21" customHeight="1">
      <c r="A437" s="963"/>
      <c r="B437" s="964" t="s">
        <v>6510</v>
      </c>
      <c r="C437" s="963">
        <v>-1</v>
      </c>
      <c r="D437" s="963">
        <v>1</v>
      </c>
      <c r="E437" s="965">
        <v>3.76</v>
      </c>
      <c r="F437" s="965" t="s">
        <v>1586</v>
      </c>
      <c r="G437" s="965">
        <v>1.35</v>
      </c>
      <c r="H437" s="965">
        <f>PRODUCT(C437:G437)</f>
        <v>-5.08</v>
      </c>
      <c r="I437" s="962"/>
    </row>
    <row r="438" spans="1:9" ht="21" customHeight="1">
      <c r="A438" s="963"/>
      <c r="B438" s="964" t="s">
        <v>6554</v>
      </c>
      <c r="C438" s="963">
        <v>-1</v>
      </c>
      <c r="D438" s="963">
        <v>1</v>
      </c>
      <c r="E438" s="965">
        <v>1</v>
      </c>
      <c r="F438" s="965" t="s">
        <v>1586</v>
      </c>
      <c r="G438" s="965">
        <v>0.75</v>
      </c>
      <c r="H438" s="965">
        <f>PRODUCT(C438:G438)</f>
        <v>-0.75</v>
      </c>
      <c r="I438" s="962"/>
    </row>
    <row r="439" spans="1:9" ht="21" customHeight="1">
      <c r="A439" s="963"/>
      <c r="B439" s="964"/>
      <c r="C439" s="963"/>
      <c r="D439" s="963"/>
      <c r="E439" s="965"/>
      <c r="F439" s="965"/>
      <c r="G439" s="962" t="s">
        <v>2245</v>
      </c>
      <c r="H439" s="962">
        <f>SUM(H435:H438)</f>
        <v>53.62</v>
      </c>
      <c r="I439" s="962"/>
    </row>
    <row r="440" spans="1:9" ht="21" customHeight="1">
      <c r="A440" s="963"/>
      <c r="B440" s="964"/>
      <c r="C440" s="963"/>
      <c r="D440" s="963"/>
      <c r="E440" s="965"/>
      <c r="F440" s="965"/>
      <c r="G440" s="962" t="s">
        <v>4224</v>
      </c>
      <c r="H440" s="962">
        <f>ROUNDUP(H439,1)</f>
        <v>53.7</v>
      </c>
      <c r="I440" s="962" t="s">
        <v>609</v>
      </c>
    </row>
    <row r="441" spans="1:9" ht="54">
      <c r="A441" s="963">
        <f>A434+1</f>
        <v>23</v>
      </c>
      <c r="B441" s="964" t="str">
        <f>'[8]Building (2)'!B660</f>
        <v>PVC SWR 110 mm dia with ISI mark type- A for Rain water down fall pipe</v>
      </c>
      <c r="C441" s="963"/>
      <c r="D441" s="963"/>
      <c r="E441" s="965"/>
      <c r="F441" s="965"/>
      <c r="G441" s="965"/>
      <c r="H441" s="965"/>
      <c r="I441" s="962"/>
    </row>
    <row r="442" spans="1:9" ht="21" customHeight="1">
      <c r="A442" s="963"/>
      <c r="B442" s="964" t="s">
        <v>6462</v>
      </c>
      <c r="C442" s="963">
        <v>1</v>
      </c>
      <c r="D442" s="963">
        <v>4</v>
      </c>
      <c r="E442" s="965">
        <v>9</v>
      </c>
      <c r="F442" s="965" t="s">
        <v>1586</v>
      </c>
      <c r="G442" s="965" t="s">
        <v>1586</v>
      </c>
      <c r="H442" s="965">
        <f>PRODUCT(C442:G442)</f>
        <v>36</v>
      </c>
      <c r="I442" s="962"/>
    </row>
    <row r="443" spans="1:9" ht="21" customHeight="1">
      <c r="A443" s="963"/>
      <c r="B443" s="964"/>
      <c r="C443" s="963"/>
      <c r="D443" s="963"/>
      <c r="E443" s="965"/>
      <c r="F443" s="965"/>
      <c r="G443" s="962" t="s">
        <v>2245</v>
      </c>
      <c r="H443" s="962">
        <f>SUM(H442:H442)</f>
        <v>36</v>
      </c>
      <c r="I443" s="962"/>
    </row>
    <row r="444" spans="1:9" ht="21" customHeight="1">
      <c r="A444" s="963"/>
      <c r="B444" s="964"/>
      <c r="C444" s="963"/>
      <c r="D444" s="963"/>
      <c r="E444" s="965"/>
      <c r="F444" s="965"/>
      <c r="G444" s="962" t="s">
        <v>4224</v>
      </c>
      <c r="H444" s="962">
        <f>ROUNDUP(H443,1)</f>
        <v>36</v>
      </c>
      <c r="I444" s="962" t="s">
        <v>1771</v>
      </c>
    </row>
    <row r="445" spans="1:9" ht="36">
      <c r="A445" s="963">
        <f>A441+1</f>
        <v>24</v>
      </c>
      <c r="B445" s="964" t="str">
        <f>'[8]Building (2)'!B668</f>
        <v>PVC SWR pipe (Soil line) with ISI mark - type 'B'.</v>
      </c>
      <c r="C445" s="963"/>
      <c r="D445" s="963"/>
      <c r="E445" s="965"/>
      <c r="F445" s="965"/>
      <c r="G445" s="965"/>
      <c r="H445" s="965"/>
      <c r="I445" s="962"/>
    </row>
    <row r="446" spans="1:9" ht="21" customHeight="1">
      <c r="A446" s="963"/>
      <c r="B446" s="964" t="str">
        <f>'[8]Building (2)'!B669</f>
        <v>a. 110 mm dia.</v>
      </c>
      <c r="C446" s="963"/>
      <c r="D446" s="963"/>
      <c r="E446" s="965"/>
      <c r="F446" s="965"/>
      <c r="G446" s="965"/>
      <c r="H446" s="965"/>
      <c r="I446" s="962"/>
    </row>
    <row r="447" spans="1:9" ht="21" customHeight="1">
      <c r="A447" s="963"/>
      <c r="B447" s="964" t="s">
        <v>6501</v>
      </c>
      <c r="C447" s="963">
        <v>1</v>
      </c>
      <c r="D447" s="963">
        <v>1</v>
      </c>
      <c r="E447" s="965">
        <v>6</v>
      </c>
      <c r="F447" s="965" t="s">
        <v>1586</v>
      </c>
      <c r="G447" s="965" t="s">
        <v>1586</v>
      </c>
      <c r="H447" s="965">
        <f>PRODUCT(C447:G447)</f>
        <v>6</v>
      </c>
      <c r="I447" s="962"/>
    </row>
    <row r="448" spans="1:9" ht="21" customHeight="1">
      <c r="A448" s="963"/>
      <c r="B448" s="964" t="s">
        <v>6359</v>
      </c>
      <c r="C448" s="963">
        <v>1</v>
      </c>
      <c r="D448" s="963">
        <v>1</v>
      </c>
      <c r="E448" s="965">
        <v>6</v>
      </c>
      <c r="F448" s="965" t="s">
        <v>1586</v>
      </c>
      <c r="G448" s="965" t="s">
        <v>1586</v>
      </c>
      <c r="H448" s="965">
        <f>PRODUCT(C448:G448)</f>
        <v>6</v>
      </c>
      <c r="I448" s="962"/>
    </row>
    <row r="449" spans="1:9" ht="21" customHeight="1">
      <c r="A449" s="963"/>
      <c r="B449" s="964" t="s">
        <v>6563</v>
      </c>
      <c r="C449" s="963">
        <v>1</v>
      </c>
      <c r="D449" s="963">
        <v>2</v>
      </c>
      <c r="E449" s="965">
        <v>2</v>
      </c>
      <c r="F449" s="965" t="s">
        <v>1586</v>
      </c>
      <c r="G449" s="965" t="s">
        <v>1586</v>
      </c>
      <c r="H449" s="965">
        <f>PRODUCT(C449:G449)</f>
        <v>4</v>
      </c>
      <c r="I449" s="962"/>
    </row>
    <row r="450" spans="1:9" ht="21" customHeight="1">
      <c r="A450" s="963"/>
      <c r="B450" s="964"/>
      <c r="C450" s="963"/>
      <c r="D450" s="963"/>
      <c r="E450" s="965"/>
      <c r="F450" s="965"/>
      <c r="G450" s="962" t="s">
        <v>2245</v>
      </c>
      <c r="H450" s="962">
        <f>SUM(H447:H449)</f>
        <v>16</v>
      </c>
      <c r="I450" s="962"/>
    </row>
    <row r="451" spans="1:9" ht="21" customHeight="1">
      <c r="A451" s="963"/>
      <c r="B451" s="964"/>
      <c r="C451" s="963"/>
      <c r="D451" s="963"/>
      <c r="E451" s="965"/>
      <c r="F451" s="965"/>
      <c r="G451" s="962" t="s">
        <v>4224</v>
      </c>
      <c r="H451" s="962">
        <f>ROUNDUP(H450,1)</f>
        <v>16</v>
      </c>
      <c r="I451" s="962" t="s">
        <v>1771</v>
      </c>
    </row>
    <row r="452" spans="1:9" ht="21" customHeight="1">
      <c r="A452" s="963"/>
      <c r="B452" s="964" t="str">
        <f>'[8]Building (2)'!B670</f>
        <v>b. 75 mm dia.</v>
      </c>
      <c r="C452" s="963"/>
      <c r="D452" s="963"/>
      <c r="E452" s="965"/>
      <c r="F452" s="965"/>
      <c r="G452" s="965"/>
      <c r="H452" s="965"/>
      <c r="I452" s="962"/>
    </row>
    <row r="453" spans="1:9" ht="21" customHeight="1">
      <c r="A453" s="963"/>
      <c r="B453" s="964" t="s">
        <v>6501</v>
      </c>
      <c r="C453" s="963">
        <v>1</v>
      </c>
      <c r="D453" s="963">
        <v>1</v>
      </c>
      <c r="E453" s="965">
        <v>6.5</v>
      </c>
      <c r="F453" s="965" t="s">
        <v>1586</v>
      </c>
      <c r="G453" s="965" t="s">
        <v>1586</v>
      </c>
      <c r="H453" s="965">
        <f>PRODUCT(C453:G453)</f>
        <v>6.5</v>
      </c>
      <c r="I453" s="962"/>
    </row>
    <row r="454" spans="1:9" ht="21" customHeight="1">
      <c r="A454" s="963"/>
      <c r="B454" s="964" t="s">
        <v>6359</v>
      </c>
      <c r="C454" s="963">
        <v>1</v>
      </c>
      <c r="D454" s="963">
        <v>1</v>
      </c>
      <c r="E454" s="965">
        <v>6.5</v>
      </c>
      <c r="F454" s="965" t="s">
        <v>1586</v>
      </c>
      <c r="G454" s="965" t="s">
        <v>1586</v>
      </c>
      <c r="H454" s="965">
        <f>PRODUCT(C454:G454)</f>
        <v>6.5</v>
      </c>
      <c r="I454" s="962"/>
    </row>
    <row r="455" spans="1:9" ht="21" customHeight="1">
      <c r="A455" s="963"/>
      <c r="B455" s="964" t="s">
        <v>6563</v>
      </c>
      <c r="C455" s="963">
        <v>1</v>
      </c>
      <c r="D455" s="963">
        <v>2</v>
      </c>
      <c r="E455" s="965">
        <v>3</v>
      </c>
      <c r="F455" s="965" t="s">
        <v>1586</v>
      </c>
      <c r="G455" s="965" t="s">
        <v>1586</v>
      </c>
      <c r="H455" s="965">
        <f>PRODUCT(C455:G455)</f>
        <v>6</v>
      </c>
      <c r="I455" s="962"/>
    </row>
    <row r="456" spans="1:9" ht="21" customHeight="1">
      <c r="A456" s="963"/>
      <c r="B456" s="964"/>
      <c r="C456" s="963"/>
      <c r="D456" s="963"/>
      <c r="E456" s="965"/>
      <c r="F456" s="965"/>
      <c r="G456" s="962" t="s">
        <v>2245</v>
      </c>
      <c r="H456" s="962">
        <f>SUM(H453:H455)</f>
        <v>19</v>
      </c>
      <c r="I456" s="962"/>
    </row>
    <row r="457" spans="1:9" ht="21" customHeight="1">
      <c r="A457" s="963"/>
      <c r="B457" s="964"/>
      <c r="C457" s="963"/>
      <c r="D457" s="963"/>
      <c r="E457" s="965"/>
      <c r="F457" s="965"/>
      <c r="G457" s="962" t="s">
        <v>4224</v>
      </c>
      <c r="H457" s="962">
        <f>ROUNDUP(H456,1)</f>
        <v>19</v>
      </c>
      <c r="I457" s="962" t="s">
        <v>1771</v>
      </c>
    </row>
    <row r="458" spans="1:9" ht="21" customHeight="1">
      <c r="A458" s="963">
        <f>A445+1</f>
        <v>25</v>
      </c>
      <c r="B458" s="964" t="str">
        <f>'[8]Building (2)'!B374</f>
        <v>PVC Water supply (ASTM)</v>
      </c>
      <c r="C458" s="963"/>
      <c r="D458" s="963"/>
      <c r="E458" s="965"/>
      <c r="F458" s="965"/>
      <c r="G458" s="965"/>
      <c r="H458" s="965"/>
      <c r="I458" s="962"/>
    </row>
    <row r="459" spans="1:9" ht="21" customHeight="1">
      <c r="A459" s="963"/>
      <c r="B459" s="964" t="str">
        <f>'[8]Building (2)'!B375</f>
        <v xml:space="preserve">a. 32 mm dia </v>
      </c>
      <c r="C459" s="963"/>
      <c r="D459" s="963"/>
      <c r="E459" s="965"/>
      <c r="F459" s="965"/>
      <c r="G459" s="965"/>
      <c r="H459" s="965"/>
      <c r="I459" s="962"/>
    </row>
    <row r="460" spans="1:9" ht="21" customHeight="1">
      <c r="A460" s="963"/>
      <c r="B460" s="964" t="s">
        <v>6463</v>
      </c>
      <c r="C460" s="963">
        <v>1</v>
      </c>
      <c r="D460" s="963">
        <v>1</v>
      </c>
      <c r="E460" s="965">
        <v>12</v>
      </c>
      <c r="F460" s="965" t="s">
        <v>1586</v>
      </c>
      <c r="G460" s="965" t="s">
        <v>1586</v>
      </c>
      <c r="H460" s="965">
        <f>PRODUCT(C460:G460)</f>
        <v>12</v>
      </c>
      <c r="I460" s="962"/>
    </row>
    <row r="461" spans="1:9" ht="21" customHeight="1">
      <c r="A461" s="963"/>
      <c r="B461" s="964"/>
      <c r="C461" s="963"/>
      <c r="D461" s="963"/>
      <c r="E461" s="965"/>
      <c r="F461" s="965"/>
      <c r="G461" s="962" t="s">
        <v>2245</v>
      </c>
      <c r="H461" s="962">
        <f>SUM(H460:H460)</f>
        <v>12</v>
      </c>
      <c r="I461" s="962"/>
    </row>
    <row r="462" spans="1:9" ht="21" customHeight="1">
      <c r="A462" s="963"/>
      <c r="B462" s="964"/>
      <c r="C462" s="963"/>
      <c r="D462" s="963"/>
      <c r="E462" s="965"/>
      <c r="F462" s="965"/>
      <c r="G462" s="962" t="s">
        <v>4224</v>
      </c>
      <c r="H462" s="962">
        <f>ROUNDUP(H461,1)</f>
        <v>12</v>
      </c>
      <c r="I462" s="962" t="s">
        <v>1771</v>
      </c>
    </row>
    <row r="463" spans="1:9" ht="21" customHeight="1">
      <c r="A463" s="963"/>
      <c r="B463" s="964" t="str">
        <f>'[8]Building (2)'!B376</f>
        <v xml:space="preserve">b. 25 mm dia </v>
      </c>
      <c r="C463" s="963"/>
      <c r="D463" s="963"/>
      <c r="E463" s="965"/>
      <c r="F463" s="965"/>
      <c r="G463" s="965"/>
      <c r="H463" s="965"/>
      <c r="I463" s="962"/>
    </row>
    <row r="464" spans="1:9" ht="21" customHeight="1">
      <c r="A464" s="963"/>
      <c r="B464" s="964" t="s">
        <v>6464</v>
      </c>
      <c r="C464" s="963">
        <v>1</v>
      </c>
      <c r="D464" s="963">
        <v>1</v>
      </c>
      <c r="E464" s="965">
        <v>60</v>
      </c>
      <c r="F464" s="965" t="s">
        <v>1586</v>
      </c>
      <c r="G464" s="965" t="s">
        <v>1586</v>
      </c>
      <c r="H464" s="965">
        <f>PRODUCT(C464:G464)</f>
        <v>60</v>
      </c>
      <c r="I464" s="962"/>
    </row>
    <row r="465" spans="1:9" ht="21" customHeight="1">
      <c r="A465" s="963"/>
      <c r="B465" s="964"/>
      <c r="C465" s="963"/>
      <c r="D465" s="963"/>
      <c r="E465" s="965"/>
      <c r="F465" s="965"/>
      <c r="G465" s="962" t="s">
        <v>2245</v>
      </c>
      <c r="H465" s="962">
        <f>SUM(H464:H464)</f>
        <v>60</v>
      </c>
      <c r="I465" s="962"/>
    </row>
    <row r="466" spans="1:9" ht="21" customHeight="1">
      <c r="A466" s="963"/>
      <c r="B466" s="964"/>
      <c r="C466" s="963"/>
      <c r="D466" s="963"/>
      <c r="E466" s="965"/>
      <c r="F466" s="965"/>
      <c r="G466" s="962" t="s">
        <v>4224</v>
      </c>
      <c r="H466" s="962">
        <f>ROUNDUP(H465,1)</f>
        <v>60</v>
      </c>
      <c r="I466" s="962" t="s">
        <v>1771</v>
      </c>
    </row>
    <row r="467" spans="1:9" ht="38.25" customHeight="1">
      <c r="A467" s="963">
        <f>A458+1</f>
        <v>26</v>
      </c>
      <c r="B467" s="964" t="s">
        <v>6476</v>
      </c>
      <c r="C467" s="963"/>
      <c r="D467" s="963"/>
      <c r="E467" s="965"/>
      <c r="F467" s="965"/>
      <c r="G467" s="965"/>
      <c r="H467" s="965"/>
      <c r="I467" s="962"/>
    </row>
    <row r="468" spans="1:9" ht="21" customHeight="1">
      <c r="A468" s="963"/>
      <c r="B468" s="964" t="s">
        <v>6380</v>
      </c>
      <c r="C468" s="963">
        <v>1</v>
      </c>
      <c r="D468" s="963">
        <v>1</v>
      </c>
      <c r="E468" s="965">
        <v>1.35</v>
      </c>
      <c r="F468" s="965">
        <v>0.86</v>
      </c>
      <c r="G468" s="965">
        <v>1.35</v>
      </c>
      <c r="H468" s="965">
        <f t="shared" ref="H468:H469" si="27">PRODUCT(C468:G468)</f>
        <v>1.57</v>
      </c>
      <c r="I468" s="962"/>
    </row>
    <row r="469" spans="1:9" ht="21" customHeight="1">
      <c r="A469" s="963"/>
      <c r="B469" s="964" t="s">
        <v>6456</v>
      </c>
      <c r="C469" s="963">
        <v>1</v>
      </c>
      <c r="D469" s="963">
        <v>2</v>
      </c>
      <c r="E469" s="965">
        <v>1.5</v>
      </c>
      <c r="F469" s="965">
        <v>0.86</v>
      </c>
      <c r="G469" s="965">
        <v>1.35</v>
      </c>
      <c r="H469" s="965">
        <f t="shared" si="27"/>
        <v>3.48</v>
      </c>
      <c r="I469" s="962"/>
    </row>
    <row r="470" spans="1:9" ht="21" customHeight="1">
      <c r="A470" s="963"/>
      <c r="B470" s="964"/>
      <c r="C470" s="963"/>
      <c r="D470" s="963"/>
      <c r="E470" s="965"/>
      <c r="F470" s="965"/>
      <c r="G470" s="962" t="s">
        <v>2245</v>
      </c>
      <c r="H470" s="962">
        <f>SUM(H468:H469)</f>
        <v>5.05</v>
      </c>
      <c r="I470" s="962"/>
    </row>
    <row r="471" spans="1:9" ht="21" customHeight="1">
      <c r="A471" s="963"/>
      <c r="B471" s="964"/>
      <c r="C471" s="963"/>
      <c r="D471" s="963"/>
      <c r="E471" s="965"/>
      <c r="F471" s="965"/>
      <c r="G471" s="962" t="s">
        <v>4224</v>
      </c>
      <c r="H471" s="962">
        <f>ROUNDUP(H470,1)</f>
        <v>5.0999999999999996</v>
      </c>
      <c r="I471" s="962" t="s">
        <v>609</v>
      </c>
    </row>
    <row r="472" spans="1:9" ht="108">
      <c r="A472" s="963">
        <f>A467+1</f>
        <v>27</v>
      </c>
      <c r="B472" s="964" t="str">
        <f>'[8]Building (2)'!B891</f>
        <v>Wiring with 1.5 sqmm PVC insulated single core multi strand fire retardant flexible copper cable with ISI mark confirming IS: 694:1990. (Open wiring)</v>
      </c>
      <c r="C472" s="963"/>
      <c r="D472" s="963"/>
      <c r="E472" s="965"/>
      <c r="F472" s="965"/>
      <c r="G472" s="965"/>
      <c r="H472" s="965"/>
      <c r="I472" s="962"/>
    </row>
    <row r="473" spans="1:9" ht="21" customHeight="1">
      <c r="A473" s="963"/>
      <c r="B473" s="964" t="str">
        <f>'[8]Building (2)'!B674</f>
        <v>a. Light point with ceiling rose</v>
      </c>
      <c r="C473" s="963"/>
      <c r="D473" s="963"/>
      <c r="E473" s="965"/>
      <c r="F473" s="965"/>
      <c r="G473" s="965"/>
      <c r="H473" s="965"/>
      <c r="I473" s="962"/>
    </row>
    <row r="474" spans="1:9" ht="21" customHeight="1">
      <c r="A474" s="963"/>
      <c r="B474" s="964" t="s">
        <v>6371</v>
      </c>
      <c r="C474" s="963">
        <v>1</v>
      </c>
      <c r="D474" s="963">
        <v>5</v>
      </c>
      <c r="E474" s="965" t="s">
        <v>1586</v>
      </c>
      <c r="F474" s="965" t="s">
        <v>1586</v>
      </c>
      <c r="G474" s="965" t="s">
        <v>1586</v>
      </c>
      <c r="H474" s="965">
        <f t="shared" ref="H474:H477" si="28">PRODUCT(C474:G474)</f>
        <v>5</v>
      </c>
      <c r="I474" s="962"/>
    </row>
    <row r="475" spans="1:9" ht="21" customHeight="1">
      <c r="A475" s="963"/>
      <c r="B475" s="964" t="s">
        <v>6365</v>
      </c>
      <c r="C475" s="963">
        <v>1</v>
      </c>
      <c r="D475" s="963">
        <v>5</v>
      </c>
      <c r="E475" s="965" t="s">
        <v>1586</v>
      </c>
      <c r="F475" s="965" t="s">
        <v>1586</v>
      </c>
      <c r="G475" s="965" t="s">
        <v>1586</v>
      </c>
      <c r="H475" s="965">
        <f t="shared" si="28"/>
        <v>5</v>
      </c>
      <c r="I475" s="962"/>
    </row>
    <row r="476" spans="1:9" ht="21" customHeight="1">
      <c r="A476" s="963"/>
      <c r="B476" s="964" t="s">
        <v>6523</v>
      </c>
      <c r="C476" s="963">
        <v>1</v>
      </c>
      <c r="D476" s="963">
        <v>2</v>
      </c>
      <c r="E476" s="965" t="s">
        <v>1586</v>
      </c>
      <c r="F476" s="965" t="s">
        <v>1586</v>
      </c>
      <c r="G476" s="965" t="s">
        <v>1586</v>
      </c>
      <c r="H476" s="965">
        <f>PRODUCT(C476:G476)</f>
        <v>2</v>
      </c>
      <c r="I476" s="962"/>
    </row>
    <row r="477" spans="1:9" ht="21" customHeight="1">
      <c r="A477" s="963"/>
      <c r="B477" s="964" t="s">
        <v>6384</v>
      </c>
      <c r="C477" s="963">
        <v>1</v>
      </c>
      <c r="D477" s="963">
        <v>5</v>
      </c>
      <c r="E477" s="965" t="s">
        <v>1586</v>
      </c>
      <c r="F477" s="965" t="s">
        <v>1586</v>
      </c>
      <c r="G477" s="965" t="s">
        <v>1586</v>
      </c>
      <c r="H477" s="965">
        <f t="shared" si="28"/>
        <v>5</v>
      </c>
      <c r="I477" s="962"/>
    </row>
    <row r="478" spans="1:9" ht="21" customHeight="1">
      <c r="A478" s="963"/>
      <c r="B478" s="964"/>
      <c r="C478" s="963"/>
      <c r="D478" s="963"/>
      <c r="E478" s="965"/>
      <c r="F478" s="965"/>
      <c r="G478" s="962" t="s">
        <v>2245</v>
      </c>
      <c r="H478" s="962">
        <f>SUM(H473:H477)</f>
        <v>17</v>
      </c>
      <c r="I478" s="962"/>
    </row>
    <row r="479" spans="1:9" ht="21" customHeight="1">
      <c r="A479" s="963"/>
      <c r="B479" s="964"/>
      <c r="C479" s="963"/>
      <c r="D479" s="963"/>
      <c r="E479" s="965"/>
      <c r="F479" s="965"/>
      <c r="G479" s="962" t="s">
        <v>4224</v>
      </c>
      <c r="H479" s="962">
        <f>ROUNDUP(H478,1)</f>
        <v>17</v>
      </c>
      <c r="I479" s="962" t="s">
        <v>6385</v>
      </c>
    </row>
    <row r="480" spans="1:9" ht="18">
      <c r="A480" s="963"/>
      <c r="B480" s="964" t="str">
        <f>'[8]Building (2)'!B675</f>
        <v>b. Light point without ceiling rose</v>
      </c>
      <c r="C480" s="963"/>
      <c r="D480" s="963"/>
      <c r="E480" s="965"/>
      <c r="F480" s="965"/>
      <c r="G480" s="965"/>
      <c r="H480" s="965"/>
      <c r="I480" s="962"/>
    </row>
    <row r="481" spans="1:9" ht="21" customHeight="1">
      <c r="A481" s="963"/>
      <c r="B481" s="964" t="s">
        <v>6371</v>
      </c>
      <c r="C481" s="963">
        <v>1</v>
      </c>
      <c r="D481" s="963">
        <v>3</v>
      </c>
      <c r="E481" s="965" t="s">
        <v>1586</v>
      </c>
      <c r="F481" s="965" t="s">
        <v>1586</v>
      </c>
      <c r="G481" s="965" t="s">
        <v>1586</v>
      </c>
      <c r="H481" s="965">
        <f>PRODUCT(C481:G481)</f>
        <v>3</v>
      </c>
      <c r="I481" s="962"/>
    </row>
    <row r="482" spans="1:9" ht="21" customHeight="1">
      <c r="A482" s="963"/>
      <c r="B482" s="964" t="s">
        <v>6365</v>
      </c>
      <c r="C482" s="963">
        <v>1</v>
      </c>
      <c r="D482" s="963">
        <v>4</v>
      </c>
      <c r="E482" s="965" t="s">
        <v>1586</v>
      </c>
      <c r="F482" s="965" t="s">
        <v>1586</v>
      </c>
      <c r="G482" s="965" t="s">
        <v>1586</v>
      </c>
      <c r="H482" s="965">
        <f>PRODUCT(C482:G482)</f>
        <v>4</v>
      </c>
      <c r="I482" s="962"/>
    </row>
    <row r="483" spans="1:9" ht="21" customHeight="1">
      <c r="A483" s="963"/>
      <c r="B483" s="964"/>
      <c r="C483" s="963"/>
      <c r="D483" s="963"/>
      <c r="E483" s="965"/>
      <c r="F483" s="965"/>
      <c r="G483" s="962" t="s">
        <v>2245</v>
      </c>
      <c r="H483" s="962">
        <f>SUM(H481:H482)</f>
        <v>7</v>
      </c>
      <c r="I483" s="962"/>
    </row>
    <row r="484" spans="1:9" ht="21" customHeight="1">
      <c r="A484" s="963"/>
      <c r="B484" s="964"/>
      <c r="C484" s="963"/>
      <c r="D484" s="963"/>
      <c r="E484" s="965"/>
      <c r="F484" s="965"/>
      <c r="G484" s="962" t="s">
        <v>4224</v>
      </c>
      <c r="H484" s="962">
        <f>ROUNDUP(H483,1)</f>
        <v>7</v>
      </c>
      <c r="I484" s="962" t="s">
        <v>6385</v>
      </c>
    </row>
    <row r="485" spans="1:9" ht="108">
      <c r="A485" s="963">
        <f>A472+1</f>
        <v>28</v>
      </c>
      <c r="B485" s="964" t="str">
        <f>'[8]Building (2)'!B677</f>
        <v>Wiring with 1.5 sqmm PVC insulated single core multi strand fire retardant flexible copper cable with ISI mark confirming IS: 694:1990 for Fan point.</v>
      </c>
      <c r="C485" s="963"/>
      <c r="D485" s="963"/>
      <c r="E485" s="965"/>
      <c r="F485" s="965"/>
      <c r="G485" s="965"/>
      <c r="H485" s="965"/>
      <c r="I485" s="962"/>
    </row>
    <row r="486" spans="1:9" ht="21" customHeight="1">
      <c r="A486" s="963"/>
      <c r="B486" s="964" t="s">
        <v>6371</v>
      </c>
      <c r="C486" s="963">
        <v>1</v>
      </c>
      <c r="D486" s="963">
        <v>4</v>
      </c>
      <c r="E486" s="965" t="s">
        <v>1586</v>
      </c>
      <c r="F486" s="965" t="s">
        <v>1586</v>
      </c>
      <c r="G486" s="965" t="s">
        <v>1586</v>
      </c>
      <c r="H486" s="965">
        <f>PRODUCT(C486:G486)</f>
        <v>4</v>
      </c>
      <c r="I486" s="962"/>
    </row>
    <row r="487" spans="1:9" ht="21" customHeight="1">
      <c r="A487" s="963"/>
      <c r="B487" s="964" t="s">
        <v>6365</v>
      </c>
      <c r="C487" s="963">
        <v>1</v>
      </c>
      <c r="D487" s="963">
        <v>3</v>
      </c>
      <c r="E487" s="965" t="s">
        <v>1586</v>
      </c>
      <c r="F487" s="965" t="s">
        <v>1586</v>
      </c>
      <c r="G487" s="965" t="s">
        <v>1586</v>
      </c>
      <c r="H487" s="965">
        <f>PRODUCT(C487:G487)</f>
        <v>3</v>
      </c>
      <c r="I487" s="962"/>
    </row>
    <row r="488" spans="1:9" ht="21" customHeight="1">
      <c r="A488" s="963"/>
      <c r="B488" s="964"/>
      <c r="C488" s="963"/>
      <c r="D488" s="963"/>
      <c r="E488" s="965"/>
      <c r="F488" s="965"/>
      <c r="G488" s="962" t="s">
        <v>2245</v>
      </c>
      <c r="H488" s="962">
        <f>SUM(H486:H487)</f>
        <v>7</v>
      </c>
      <c r="I488" s="962"/>
    </row>
    <row r="489" spans="1:9" ht="21" customHeight="1">
      <c r="A489" s="963"/>
      <c r="B489" s="964"/>
      <c r="C489" s="963"/>
      <c r="D489" s="963"/>
      <c r="E489" s="965"/>
      <c r="F489" s="965"/>
      <c r="G489" s="962" t="s">
        <v>4224</v>
      </c>
      <c r="H489" s="962">
        <f>ROUNDUP(H488,1)</f>
        <v>7</v>
      </c>
      <c r="I489" s="962" t="s">
        <v>6385</v>
      </c>
    </row>
    <row r="490" spans="1:9" ht="126">
      <c r="A490" s="963">
        <f>A485+1</f>
        <v>29</v>
      </c>
      <c r="B490" s="964" t="str">
        <f>'[8]Building (2)'!B680</f>
        <v>Wiring with 1.5 sqmm PVC insulated single core multi strand fire retardant flexible copper cable with ISI mark confirming IS: 694:1990 for 5 amps 5 pin plug socket point @ Convenient Places.</v>
      </c>
      <c r="C490" s="963"/>
      <c r="D490" s="963"/>
      <c r="E490" s="965"/>
      <c r="F490" s="965"/>
      <c r="G490" s="962"/>
      <c r="H490" s="962"/>
      <c r="I490" s="962"/>
    </row>
    <row r="491" spans="1:9" ht="21" customHeight="1">
      <c r="A491" s="963"/>
      <c r="B491" s="964" t="s">
        <v>6371</v>
      </c>
      <c r="C491" s="963">
        <v>1</v>
      </c>
      <c r="D491" s="963">
        <v>3</v>
      </c>
      <c r="E491" s="965" t="s">
        <v>1586</v>
      </c>
      <c r="F491" s="965" t="s">
        <v>1586</v>
      </c>
      <c r="G491" s="965" t="s">
        <v>1586</v>
      </c>
      <c r="H491" s="965">
        <f>PRODUCT(C491:G491)</f>
        <v>3</v>
      </c>
      <c r="I491" s="962"/>
    </row>
    <row r="492" spans="1:9" ht="21" customHeight="1">
      <c r="A492" s="963"/>
      <c r="B492" s="964" t="s">
        <v>6365</v>
      </c>
      <c r="C492" s="963">
        <v>1</v>
      </c>
      <c r="D492" s="963">
        <v>4</v>
      </c>
      <c r="E492" s="965" t="s">
        <v>1586</v>
      </c>
      <c r="F492" s="965" t="s">
        <v>1586</v>
      </c>
      <c r="G492" s="965" t="s">
        <v>1586</v>
      </c>
      <c r="H492" s="965">
        <f>PRODUCT(C492:G492)</f>
        <v>4</v>
      </c>
      <c r="I492" s="962"/>
    </row>
    <row r="493" spans="1:9" ht="21" customHeight="1">
      <c r="A493" s="963"/>
      <c r="B493" s="964"/>
      <c r="C493" s="963"/>
      <c r="D493" s="963"/>
      <c r="E493" s="965"/>
      <c r="F493" s="965"/>
      <c r="G493" s="962" t="s">
        <v>2245</v>
      </c>
      <c r="H493" s="962">
        <f>SUM(H491:H492)</f>
        <v>7</v>
      </c>
      <c r="I493" s="962"/>
    </row>
    <row r="494" spans="1:9" ht="21" customHeight="1">
      <c r="A494" s="963"/>
      <c r="B494" s="964"/>
      <c r="C494" s="963"/>
      <c r="D494" s="963"/>
      <c r="E494" s="965"/>
      <c r="F494" s="965"/>
      <c r="G494" s="962" t="s">
        <v>4224</v>
      </c>
      <c r="H494" s="962">
        <f>ROUNDUP(H493,1)</f>
        <v>7</v>
      </c>
      <c r="I494" s="962" t="s">
        <v>6385</v>
      </c>
    </row>
    <row r="495" spans="1:9" ht="92.25" customHeight="1">
      <c r="A495" s="963">
        <f>A490+1</f>
        <v>30</v>
      </c>
      <c r="B495" s="964" t="str">
        <f>[7]building!B698</f>
        <v>Run of 2 Wires of 2.5 sqmm PVC insulated single core multi strand fire retardant flexible copper cable with ISI mark confirming IS: 694:1990.</v>
      </c>
      <c r="C495" s="963"/>
      <c r="D495" s="963"/>
      <c r="E495" s="965"/>
      <c r="F495" s="965"/>
      <c r="G495" s="962"/>
      <c r="H495" s="962"/>
      <c r="I495" s="962"/>
    </row>
    <row r="496" spans="1:9" ht="21" customHeight="1">
      <c r="A496" s="963"/>
      <c r="B496" s="964" t="s">
        <v>6371</v>
      </c>
      <c r="C496" s="963">
        <v>1</v>
      </c>
      <c r="D496" s="963">
        <v>1</v>
      </c>
      <c r="E496" s="965">
        <v>35</v>
      </c>
      <c r="F496" s="965" t="s">
        <v>1586</v>
      </c>
      <c r="G496" s="965" t="s">
        <v>1586</v>
      </c>
      <c r="H496" s="965">
        <f>PRODUCT(C496:G496)</f>
        <v>35</v>
      </c>
      <c r="I496" s="962"/>
    </row>
    <row r="497" spans="1:9" ht="21" customHeight="1">
      <c r="A497" s="963"/>
      <c r="B497" s="964" t="s">
        <v>6365</v>
      </c>
      <c r="C497" s="963">
        <v>1</v>
      </c>
      <c r="D497" s="963">
        <v>1</v>
      </c>
      <c r="E497" s="965">
        <v>45</v>
      </c>
      <c r="F497" s="965" t="s">
        <v>1586</v>
      </c>
      <c r="G497" s="965" t="s">
        <v>1586</v>
      </c>
      <c r="H497" s="965">
        <f t="shared" ref="H497" si="29">PRODUCT(C497:G497)</f>
        <v>45</v>
      </c>
      <c r="I497" s="962"/>
    </row>
    <row r="498" spans="1:9" ht="21" customHeight="1">
      <c r="A498" s="963"/>
      <c r="B498" s="964"/>
      <c r="C498" s="963"/>
      <c r="D498" s="963"/>
      <c r="E498" s="965"/>
      <c r="F498" s="965"/>
      <c r="G498" s="962" t="s">
        <v>2245</v>
      </c>
      <c r="H498" s="962">
        <f>SUM(H496:H497)</f>
        <v>80</v>
      </c>
      <c r="I498" s="962"/>
    </row>
    <row r="499" spans="1:9" ht="21" customHeight="1">
      <c r="A499" s="963"/>
      <c r="B499" s="964"/>
      <c r="C499" s="963"/>
      <c r="D499" s="963"/>
      <c r="E499" s="965"/>
      <c r="F499" s="965"/>
      <c r="G499" s="962" t="s">
        <v>4224</v>
      </c>
      <c r="H499" s="962">
        <f>ROUNDUP(H498,1)</f>
        <v>80</v>
      </c>
      <c r="I499" s="962" t="s">
        <v>1771</v>
      </c>
    </row>
    <row r="500" spans="1:9" ht="57" customHeight="1">
      <c r="A500" s="963">
        <f>A495+1</f>
        <v>31</v>
      </c>
      <c r="B500" s="964" t="str">
        <f>'[8]Building (2)'!B832</f>
        <v>S &amp; F of 15mm dia Engineering Polymer Tap (long body ) for coastal area only</v>
      </c>
      <c r="C500" s="963"/>
      <c r="D500" s="963"/>
      <c r="E500" s="965"/>
      <c r="F500" s="965"/>
      <c r="G500" s="962"/>
      <c r="H500" s="962"/>
      <c r="I500" s="962"/>
    </row>
    <row r="501" spans="1:9" ht="21" customHeight="1">
      <c r="A501" s="963"/>
      <c r="B501" s="964" t="s">
        <v>6371</v>
      </c>
      <c r="C501" s="963">
        <v>1</v>
      </c>
      <c r="D501" s="963">
        <v>4</v>
      </c>
      <c r="E501" s="965" t="s">
        <v>1586</v>
      </c>
      <c r="F501" s="965" t="s">
        <v>1586</v>
      </c>
      <c r="G501" s="965" t="s">
        <v>1586</v>
      </c>
      <c r="H501" s="965">
        <f>PRODUCT(C501:G501)</f>
        <v>4</v>
      </c>
      <c r="I501" s="962"/>
    </row>
    <row r="502" spans="1:9" ht="21" customHeight="1">
      <c r="A502" s="963"/>
      <c r="B502" s="964" t="s">
        <v>6365</v>
      </c>
      <c r="C502" s="963">
        <v>1</v>
      </c>
      <c r="D502" s="963">
        <v>2</v>
      </c>
      <c r="E502" s="965" t="s">
        <v>1586</v>
      </c>
      <c r="F502" s="965" t="s">
        <v>1586</v>
      </c>
      <c r="G502" s="965" t="s">
        <v>1586</v>
      </c>
      <c r="H502" s="965">
        <f>PRODUCT(C502:G502)</f>
        <v>2</v>
      </c>
      <c r="I502" s="962"/>
    </row>
    <row r="503" spans="1:9" ht="21" customHeight="1">
      <c r="A503" s="963"/>
      <c r="B503" s="964"/>
      <c r="C503" s="963"/>
      <c r="D503" s="963"/>
      <c r="E503" s="965"/>
      <c r="F503" s="965"/>
      <c r="G503" s="962" t="s">
        <v>2245</v>
      </c>
      <c r="H503" s="962">
        <f>SUM(H501:H502)</f>
        <v>6</v>
      </c>
      <c r="I503" s="962"/>
    </row>
    <row r="504" spans="1:9" ht="21" customHeight="1">
      <c r="A504" s="963"/>
      <c r="B504" s="964"/>
      <c r="C504" s="963"/>
      <c r="D504" s="963"/>
      <c r="E504" s="965"/>
      <c r="F504" s="965"/>
      <c r="G504" s="962" t="s">
        <v>4224</v>
      </c>
      <c r="H504" s="962">
        <f>ROUNDUP(H503,1)</f>
        <v>6</v>
      </c>
      <c r="I504" s="962" t="s">
        <v>1716</v>
      </c>
    </row>
    <row r="505" spans="1:9" ht="57" customHeight="1">
      <c r="A505" s="963">
        <f>A500+1</f>
        <v>32</v>
      </c>
      <c r="B505" s="964" t="str">
        <f>'[8]Building (2)'!B833</f>
        <v>S &amp; F of 15mm dia Engineering Polymer Tap  short body tap for coastal area only</v>
      </c>
      <c r="C505" s="963"/>
      <c r="D505" s="963"/>
      <c r="E505" s="965"/>
      <c r="F505" s="965"/>
      <c r="G505" s="962"/>
      <c r="H505" s="962"/>
      <c r="I505" s="962"/>
    </row>
    <row r="506" spans="1:9" ht="21" customHeight="1">
      <c r="A506" s="963"/>
      <c r="B506" s="964" t="s">
        <v>6371</v>
      </c>
      <c r="C506" s="963">
        <v>1</v>
      </c>
      <c r="D506" s="963">
        <v>6</v>
      </c>
      <c r="E506" s="965" t="s">
        <v>1586</v>
      </c>
      <c r="F506" s="965" t="s">
        <v>1586</v>
      </c>
      <c r="G506" s="965" t="s">
        <v>1586</v>
      </c>
      <c r="H506" s="965">
        <f>PRODUCT(C506:G506)</f>
        <v>6</v>
      </c>
      <c r="I506" s="962"/>
    </row>
    <row r="507" spans="1:9" ht="21" customHeight="1">
      <c r="A507" s="963"/>
      <c r="B507" s="964" t="s">
        <v>6365</v>
      </c>
      <c r="C507" s="963">
        <v>1</v>
      </c>
      <c r="D507" s="963">
        <v>2</v>
      </c>
      <c r="E507" s="965" t="s">
        <v>1586</v>
      </c>
      <c r="F507" s="965" t="s">
        <v>1586</v>
      </c>
      <c r="G507" s="965" t="s">
        <v>1586</v>
      </c>
      <c r="H507" s="965">
        <f>PRODUCT(C507:G507)</f>
        <v>2</v>
      </c>
      <c r="I507" s="962"/>
    </row>
    <row r="508" spans="1:9" ht="21" customHeight="1">
      <c r="A508" s="963"/>
      <c r="B508" s="964"/>
      <c r="C508" s="963"/>
      <c r="D508" s="963"/>
      <c r="E508" s="965"/>
      <c r="F508" s="965"/>
      <c r="G508" s="962" t="s">
        <v>2245</v>
      </c>
      <c r="H508" s="962">
        <f>SUM(H506:H507)</f>
        <v>8</v>
      </c>
      <c r="I508" s="962"/>
    </row>
    <row r="509" spans="1:9" ht="21" customHeight="1">
      <c r="A509" s="963"/>
      <c r="B509" s="964"/>
      <c r="C509" s="963"/>
      <c r="D509" s="963"/>
      <c r="E509" s="965"/>
      <c r="F509" s="965"/>
      <c r="G509" s="962" t="s">
        <v>4224</v>
      </c>
      <c r="H509" s="962">
        <f>ROUNDUP(H508,1)</f>
        <v>8</v>
      </c>
      <c r="I509" s="962" t="s">
        <v>1716</v>
      </c>
    </row>
    <row r="510" spans="1:9" ht="57" customHeight="1">
      <c r="A510" s="963">
        <f>A505+1</f>
        <v>33</v>
      </c>
      <c r="B510" s="964" t="str">
        <f>'[8]Building (2)'!B682</f>
        <v>Supply and delivery of  48" (1200 mm) Fan with ISI mark with Eletronic Dimmer</v>
      </c>
      <c r="C510" s="963"/>
      <c r="D510" s="963"/>
      <c r="E510" s="965"/>
      <c r="F510" s="965"/>
      <c r="G510" s="962"/>
      <c r="H510" s="962"/>
      <c r="I510" s="962"/>
    </row>
    <row r="511" spans="1:9" ht="21" customHeight="1">
      <c r="A511" s="963"/>
      <c r="B511" s="964" t="s">
        <v>6371</v>
      </c>
      <c r="C511" s="963">
        <v>1</v>
      </c>
      <c r="D511" s="963">
        <v>4</v>
      </c>
      <c r="E511" s="965" t="s">
        <v>1586</v>
      </c>
      <c r="F511" s="965" t="s">
        <v>1586</v>
      </c>
      <c r="G511" s="965" t="s">
        <v>1586</v>
      </c>
      <c r="H511" s="965">
        <f>PRODUCT(C511:G511)</f>
        <v>4</v>
      </c>
      <c r="I511" s="962"/>
    </row>
    <row r="512" spans="1:9" ht="21" customHeight="1">
      <c r="A512" s="963"/>
      <c r="B512" s="964" t="s">
        <v>6365</v>
      </c>
      <c r="C512" s="963">
        <v>1</v>
      </c>
      <c r="D512" s="963">
        <v>3</v>
      </c>
      <c r="E512" s="965" t="s">
        <v>1586</v>
      </c>
      <c r="F512" s="965" t="s">
        <v>1586</v>
      </c>
      <c r="G512" s="965" t="s">
        <v>1586</v>
      </c>
      <c r="H512" s="965">
        <f>PRODUCT(C512:G512)</f>
        <v>3</v>
      </c>
      <c r="I512" s="962"/>
    </row>
    <row r="513" spans="1:9" ht="21" customHeight="1">
      <c r="A513" s="963"/>
      <c r="B513" s="964"/>
      <c r="C513" s="963"/>
      <c r="D513" s="963"/>
      <c r="E513" s="965"/>
      <c r="F513" s="965"/>
      <c r="G513" s="962" t="s">
        <v>2245</v>
      </c>
      <c r="H513" s="962">
        <f>SUM(H511:H512)</f>
        <v>7</v>
      </c>
      <c r="I513" s="962"/>
    </row>
    <row r="514" spans="1:9" ht="21" customHeight="1">
      <c r="A514" s="963"/>
      <c r="B514" s="964"/>
      <c r="C514" s="963"/>
      <c r="D514" s="963"/>
      <c r="E514" s="965"/>
      <c r="F514" s="965"/>
      <c r="G514" s="962" t="s">
        <v>4224</v>
      </c>
      <c r="H514" s="962">
        <f>ROUNDUP(H513,1)</f>
        <v>7</v>
      </c>
      <c r="I514" s="962" t="s">
        <v>1716</v>
      </c>
    </row>
    <row r="515" spans="1:9" ht="24" customHeight="1">
      <c r="A515" s="963">
        <f>A510+1</f>
        <v>34</v>
      </c>
      <c r="B515" s="964" t="str">
        <f>[7]building!B432</f>
        <v>Charges for fixing of "Fan"</v>
      </c>
      <c r="C515" s="963"/>
      <c r="D515" s="963"/>
      <c r="E515" s="965"/>
      <c r="F515" s="965"/>
      <c r="G515" s="962"/>
      <c r="H515" s="962"/>
      <c r="I515" s="962"/>
    </row>
    <row r="516" spans="1:9" ht="21" customHeight="1">
      <c r="A516" s="963"/>
      <c r="B516" s="964" t="s">
        <v>6371</v>
      </c>
      <c r="C516" s="963">
        <v>1</v>
      </c>
      <c r="D516" s="963">
        <v>4</v>
      </c>
      <c r="E516" s="965" t="s">
        <v>1586</v>
      </c>
      <c r="F516" s="965" t="s">
        <v>1586</v>
      </c>
      <c r="G516" s="965" t="s">
        <v>1586</v>
      </c>
      <c r="H516" s="965">
        <f>PRODUCT(C516:G516)</f>
        <v>4</v>
      </c>
      <c r="I516" s="962"/>
    </row>
    <row r="517" spans="1:9" ht="21" customHeight="1">
      <c r="A517" s="963"/>
      <c r="B517" s="964" t="s">
        <v>6365</v>
      </c>
      <c r="C517" s="963">
        <v>1</v>
      </c>
      <c r="D517" s="963">
        <v>3</v>
      </c>
      <c r="E517" s="965" t="s">
        <v>1586</v>
      </c>
      <c r="F517" s="965" t="s">
        <v>1586</v>
      </c>
      <c r="G517" s="965" t="s">
        <v>1586</v>
      </c>
      <c r="H517" s="965">
        <f>PRODUCT(C517:G517)</f>
        <v>3</v>
      </c>
      <c r="I517" s="962"/>
    </row>
    <row r="518" spans="1:9" ht="21" customHeight="1">
      <c r="A518" s="963"/>
      <c r="B518" s="964"/>
      <c r="C518" s="963"/>
      <c r="D518" s="963"/>
      <c r="E518" s="965"/>
      <c r="F518" s="965"/>
      <c r="G518" s="962" t="s">
        <v>2245</v>
      </c>
      <c r="H518" s="962">
        <f>SUM(H516:H517)</f>
        <v>7</v>
      </c>
      <c r="I518" s="962"/>
    </row>
    <row r="519" spans="1:9" ht="21" customHeight="1">
      <c r="A519" s="963"/>
      <c r="B519" s="964"/>
      <c r="C519" s="963"/>
      <c r="D519" s="963"/>
      <c r="E519" s="965"/>
      <c r="F519" s="965"/>
      <c r="G519" s="962" t="s">
        <v>4224</v>
      </c>
      <c r="H519" s="962">
        <f>ROUNDUP(H518,1)</f>
        <v>7</v>
      </c>
      <c r="I519" s="962" t="s">
        <v>1716</v>
      </c>
    </row>
    <row r="520" spans="1:9" ht="37.9" customHeight="1">
      <c r="A520" s="963">
        <f>A515+1</f>
        <v>35</v>
      </c>
      <c r="B520" s="964" t="str">
        <f>'[8]Building (2)'!B664</f>
        <v>Wash Hand  Basin of size 550 x 400 mm</v>
      </c>
      <c r="C520" s="963"/>
      <c r="D520" s="963"/>
      <c r="E520" s="965"/>
      <c r="F520" s="965"/>
      <c r="G520" s="962"/>
      <c r="H520" s="962"/>
      <c r="I520" s="962"/>
    </row>
    <row r="521" spans="1:9" ht="21" customHeight="1">
      <c r="A521" s="963"/>
      <c r="B521" s="964" t="s">
        <v>6371</v>
      </c>
      <c r="C521" s="963">
        <v>1</v>
      </c>
      <c r="D521" s="963">
        <v>1</v>
      </c>
      <c r="E521" s="965" t="s">
        <v>1586</v>
      </c>
      <c r="F521" s="965" t="s">
        <v>1586</v>
      </c>
      <c r="G521" s="965" t="s">
        <v>1586</v>
      </c>
      <c r="H521" s="965">
        <f>PRODUCT(C521:G521)</f>
        <v>1</v>
      </c>
      <c r="I521" s="962"/>
    </row>
    <row r="522" spans="1:9" ht="21" customHeight="1">
      <c r="A522" s="963"/>
      <c r="B522" s="964" t="s">
        <v>6365</v>
      </c>
      <c r="C522" s="963">
        <v>1</v>
      </c>
      <c r="D522" s="963">
        <v>1</v>
      </c>
      <c r="E522" s="965" t="s">
        <v>1586</v>
      </c>
      <c r="F522" s="965" t="s">
        <v>1586</v>
      </c>
      <c r="G522" s="965" t="s">
        <v>1586</v>
      </c>
      <c r="H522" s="965">
        <f>PRODUCT(C522:G522)</f>
        <v>1</v>
      </c>
      <c r="I522" s="962"/>
    </row>
    <row r="523" spans="1:9" ht="21" customHeight="1">
      <c r="A523" s="963"/>
      <c r="B523" s="964" t="s">
        <v>6384</v>
      </c>
      <c r="C523" s="963">
        <v>1</v>
      </c>
      <c r="D523" s="963">
        <v>1</v>
      </c>
      <c r="E523" s="965" t="s">
        <v>1586</v>
      </c>
      <c r="F523" s="965" t="s">
        <v>1586</v>
      </c>
      <c r="G523" s="965" t="s">
        <v>1586</v>
      </c>
      <c r="H523" s="965">
        <f>PRODUCT(C523:G523)</f>
        <v>1</v>
      </c>
      <c r="I523" s="962"/>
    </row>
    <row r="524" spans="1:9" ht="21" customHeight="1">
      <c r="A524" s="963"/>
      <c r="B524" s="964"/>
      <c r="C524" s="963"/>
      <c r="D524" s="963"/>
      <c r="E524" s="965"/>
      <c r="F524" s="965"/>
      <c r="G524" s="962" t="s">
        <v>2245</v>
      </c>
      <c r="H524" s="962">
        <f>SUM(H521:H523)</f>
        <v>3</v>
      </c>
      <c r="I524" s="962"/>
    </row>
    <row r="525" spans="1:9" ht="21" customHeight="1">
      <c r="A525" s="963"/>
      <c r="B525" s="964"/>
      <c r="C525" s="963"/>
      <c r="D525" s="963"/>
      <c r="E525" s="965"/>
      <c r="F525" s="965"/>
      <c r="G525" s="962" t="s">
        <v>4224</v>
      </c>
      <c r="H525" s="962">
        <f>ROUNDUP(H524,1)</f>
        <v>3</v>
      </c>
      <c r="I525" s="962" t="s">
        <v>1716</v>
      </c>
    </row>
    <row r="526" spans="1:9" ht="19.899999999999999" customHeight="1">
      <c r="A526" s="963">
        <f>A520+1</f>
        <v>36</v>
      </c>
      <c r="B526" s="964" t="str">
        <f>'[8]Building (2)'!B913</f>
        <v>18 watts  LED  Tube Light</v>
      </c>
      <c r="C526" s="963"/>
      <c r="D526" s="963"/>
      <c r="E526" s="965"/>
      <c r="F526" s="965"/>
      <c r="G526" s="962"/>
      <c r="H526" s="962"/>
      <c r="I526" s="962"/>
    </row>
    <row r="527" spans="1:9" ht="21" customHeight="1">
      <c r="A527" s="963"/>
      <c r="B527" s="964" t="s">
        <v>6371</v>
      </c>
      <c r="C527" s="963">
        <v>1</v>
      </c>
      <c r="D527" s="963">
        <v>5</v>
      </c>
      <c r="E527" s="965" t="s">
        <v>1586</v>
      </c>
      <c r="F527" s="965" t="s">
        <v>1586</v>
      </c>
      <c r="G527" s="965" t="s">
        <v>1586</v>
      </c>
      <c r="H527" s="965">
        <f t="shared" ref="H527:H528" si="30">PRODUCT(C527:G527)</f>
        <v>5</v>
      </c>
      <c r="I527" s="962"/>
    </row>
    <row r="528" spans="1:9" ht="21" customHeight="1">
      <c r="A528" s="963"/>
      <c r="B528" s="964" t="s">
        <v>6365</v>
      </c>
      <c r="C528" s="963">
        <v>1</v>
      </c>
      <c r="D528" s="963">
        <v>5</v>
      </c>
      <c r="E528" s="965" t="s">
        <v>1586</v>
      </c>
      <c r="F528" s="965" t="s">
        <v>1586</v>
      </c>
      <c r="G528" s="965" t="s">
        <v>1586</v>
      </c>
      <c r="H528" s="965">
        <f t="shared" si="30"/>
        <v>5</v>
      </c>
      <c r="I528" s="962"/>
    </row>
    <row r="529" spans="1:9" ht="21" customHeight="1">
      <c r="A529" s="963"/>
      <c r="B529" s="964"/>
      <c r="C529" s="963"/>
      <c r="D529" s="963"/>
      <c r="E529" s="965"/>
      <c r="F529" s="965"/>
      <c r="G529" s="962" t="s">
        <v>2245</v>
      </c>
      <c r="H529" s="962">
        <f>SUM(H527:H528)</f>
        <v>10</v>
      </c>
      <c r="I529" s="962"/>
    </row>
    <row r="530" spans="1:9" ht="21" customHeight="1">
      <c r="A530" s="963"/>
      <c r="B530" s="964"/>
      <c r="C530" s="963"/>
      <c r="D530" s="963"/>
      <c r="E530" s="965"/>
      <c r="F530" s="965"/>
      <c r="G530" s="962" t="s">
        <v>4224</v>
      </c>
      <c r="H530" s="962">
        <f>ROUNDUP(H529,1)</f>
        <v>10</v>
      </c>
      <c r="I530" s="962" t="s">
        <v>1716</v>
      </c>
    </row>
    <row r="531" spans="1:9" ht="19.899999999999999" customHeight="1">
      <c r="A531" s="963">
        <f>A526+1</f>
        <v>37</v>
      </c>
      <c r="B531" s="964" t="str">
        <f>'[8]Building (2)'!B912</f>
        <v>9 watts  LED bulb  qtn</v>
      </c>
      <c r="C531" s="963"/>
      <c r="D531" s="963"/>
      <c r="E531" s="965"/>
      <c r="F531" s="965"/>
      <c r="G531" s="962"/>
      <c r="H531" s="962"/>
      <c r="I531" s="962"/>
    </row>
    <row r="532" spans="1:9" ht="21" customHeight="1">
      <c r="A532" s="963"/>
      <c r="B532" s="964" t="s">
        <v>6371</v>
      </c>
      <c r="C532" s="963">
        <v>1</v>
      </c>
      <c r="D532" s="963">
        <v>3</v>
      </c>
      <c r="E532" s="965" t="s">
        <v>1586</v>
      </c>
      <c r="F532" s="965" t="s">
        <v>1586</v>
      </c>
      <c r="G532" s="965" t="s">
        <v>1586</v>
      </c>
      <c r="H532" s="965">
        <f>PRODUCT(C532:G532)</f>
        <v>3</v>
      </c>
      <c r="I532" s="962"/>
    </row>
    <row r="533" spans="1:9" ht="21" customHeight="1">
      <c r="A533" s="963"/>
      <c r="B533" s="964" t="s">
        <v>6365</v>
      </c>
      <c r="C533" s="963">
        <v>1</v>
      </c>
      <c r="D533" s="963">
        <v>4</v>
      </c>
      <c r="E533" s="965" t="s">
        <v>1586</v>
      </c>
      <c r="F533" s="965" t="s">
        <v>1586</v>
      </c>
      <c r="G533" s="965" t="s">
        <v>1586</v>
      </c>
      <c r="H533" s="965">
        <f>PRODUCT(C533:G533)</f>
        <v>4</v>
      </c>
      <c r="I533" s="962"/>
    </row>
    <row r="534" spans="1:9" ht="21" customHeight="1">
      <c r="A534" s="963"/>
      <c r="B534" s="964"/>
      <c r="C534" s="963"/>
      <c r="D534" s="963"/>
      <c r="E534" s="965"/>
      <c r="F534" s="965"/>
      <c r="G534" s="962" t="s">
        <v>2245</v>
      </c>
      <c r="H534" s="962">
        <f>SUM(H532:H533)</f>
        <v>7</v>
      </c>
      <c r="I534" s="962"/>
    </row>
    <row r="535" spans="1:9" ht="21" customHeight="1">
      <c r="A535" s="963"/>
      <c r="B535" s="964"/>
      <c r="C535" s="963"/>
      <c r="D535" s="963"/>
      <c r="E535" s="965"/>
      <c r="F535" s="965"/>
      <c r="G535" s="962" t="s">
        <v>4224</v>
      </c>
      <c r="H535" s="962">
        <f>ROUNDUP(H534,1)</f>
        <v>7</v>
      </c>
      <c r="I535" s="962" t="s">
        <v>1716</v>
      </c>
    </row>
    <row r="536" spans="1:9" ht="39.6" customHeight="1">
      <c r="A536" s="963">
        <f>A531+1</f>
        <v>38</v>
      </c>
      <c r="B536" s="964" t="s">
        <v>6466</v>
      </c>
      <c r="C536" s="963"/>
      <c r="D536" s="963"/>
      <c r="E536" s="965"/>
      <c r="F536" s="965"/>
      <c r="G536" s="962"/>
      <c r="H536" s="962"/>
      <c r="I536" s="962"/>
    </row>
    <row r="537" spans="1:9" ht="21" customHeight="1">
      <c r="A537" s="963"/>
      <c r="B537" s="964" t="s">
        <v>6384</v>
      </c>
      <c r="C537" s="963">
        <v>1</v>
      </c>
      <c r="D537" s="963">
        <v>5</v>
      </c>
      <c r="E537" s="965" t="s">
        <v>1586</v>
      </c>
      <c r="F537" s="965" t="s">
        <v>1586</v>
      </c>
      <c r="G537" s="965" t="s">
        <v>1586</v>
      </c>
      <c r="H537" s="965">
        <f>PRODUCT(C537:G537)</f>
        <v>5</v>
      </c>
      <c r="I537" s="962"/>
    </row>
    <row r="538" spans="1:9" ht="21" customHeight="1">
      <c r="A538" s="963"/>
      <c r="B538" s="964"/>
      <c r="C538" s="963"/>
      <c r="D538" s="963"/>
      <c r="E538" s="965"/>
      <c r="F538" s="965"/>
      <c r="G538" s="962" t="s">
        <v>2245</v>
      </c>
      <c r="H538" s="962">
        <f>SUM(H537:H537)</f>
        <v>5</v>
      </c>
      <c r="I538" s="962"/>
    </row>
    <row r="539" spans="1:9" ht="21" customHeight="1">
      <c r="A539" s="963"/>
      <c r="B539" s="964"/>
      <c r="C539" s="963"/>
      <c r="D539" s="963"/>
      <c r="E539" s="965"/>
      <c r="F539" s="965"/>
      <c r="G539" s="962" t="s">
        <v>4224</v>
      </c>
      <c r="H539" s="962">
        <f>ROUNDUP(H538,1)</f>
        <v>5</v>
      </c>
      <c r="I539" s="962" t="s">
        <v>1716</v>
      </c>
    </row>
    <row r="540" spans="1:9" ht="39.75" customHeight="1">
      <c r="A540" s="963">
        <f>A536+1</f>
        <v>39</v>
      </c>
      <c r="B540" s="964" t="str">
        <f>[7]building!B937</f>
        <v>Supply and fixing of  Bulk Head fitting suitable for  12W LED Bulb</v>
      </c>
      <c r="C540" s="963"/>
      <c r="D540" s="963"/>
      <c r="E540" s="965"/>
      <c r="F540" s="965"/>
      <c r="G540" s="962"/>
      <c r="H540" s="962"/>
      <c r="I540" s="962"/>
    </row>
    <row r="541" spans="1:9" ht="21" customHeight="1">
      <c r="A541" s="963"/>
      <c r="B541" s="964" t="s">
        <v>6487</v>
      </c>
      <c r="C541" s="963">
        <v>1</v>
      </c>
      <c r="D541" s="963">
        <v>2</v>
      </c>
      <c r="E541" s="965" t="s">
        <v>1586</v>
      </c>
      <c r="F541" s="965" t="s">
        <v>1586</v>
      </c>
      <c r="G541" s="965" t="s">
        <v>1586</v>
      </c>
      <c r="H541" s="965">
        <f>PRODUCT(C541:G541)</f>
        <v>2</v>
      </c>
      <c r="I541" s="962"/>
    </row>
    <row r="542" spans="1:9" ht="21" customHeight="1">
      <c r="A542" s="963"/>
      <c r="B542" s="964" t="s">
        <v>6555</v>
      </c>
      <c r="C542" s="963">
        <v>1</v>
      </c>
      <c r="D542" s="963">
        <v>2</v>
      </c>
      <c r="E542" s="965" t="s">
        <v>1586</v>
      </c>
      <c r="F542" s="965" t="s">
        <v>1586</v>
      </c>
      <c r="G542" s="965" t="s">
        <v>1586</v>
      </c>
      <c r="H542" s="965">
        <f>PRODUCT(C542:G542)</f>
        <v>2</v>
      </c>
      <c r="I542" s="962"/>
    </row>
    <row r="543" spans="1:9" ht="21" customHeight="1">
      <c r="A543" s="963"/>
      <c r="B543" s="964" t="s">
        <v>6523</v>
      </c>
      <c r="C543" s="963">
        <v>1</v>
      </c>
      <c r="D543" s="963">
        <v>2</v>
      </c>
      <c r="E543" s="965" t="s">
        <v>1586</v>
      </c>
      <c r="F543" s="965" t="s">
        <v>1586</v>
      </c>
      <c r="G543" s="965" t="s">
        <v>1586</v>
      </c>
      <c r="H543" s="965">
        <f>PRODUCT(C543:G543)</f>
        <v>2</v>
      </c>
      <c r="I543" s="962"/>
    </row>
    <row r="544" spans="1:9" ht="21" customHeight="1">
      <c r="A544" s="963"/>
      <c r="B544" s="964"/>
      <c r="C544" s="963"/>
      <c r="D544" s="963"/>
      <c r="E544" s="965"/>
      <c r="F544" s="965"/>
      <c r="G544" s="962" t="s">
        <v>2245</v>
      </c>
      <c r="H544" s="962">
        <f>SUM(H541:H543)</f>
        <v>6</v>
      </c>
      <c r="I544" s="962"/>
    </row>
    <row r="545" spans="1:9" ht="21" customHeight="1">
      <c r="A545" s="963"/>
      <c r="B545" s="964"/>
      <c r="C545" s="963"/>
      <c r="D545" s="963"/>
      <c r="E545" s="965"/>
      <c r="F545" s="965"/>
      <c r="G545" s="962" t="s">
        <v>4224</v>
      </c>
      <c r="H545" s="962">
        <f>ROUNDUP(H544,1)</f>
        <v>6</v>
      </c>
      <c r="I545" s="962" t="s">
        <v>1716</v>
      </c>
    </row>
    <row r="546" spans="1:9" ht="39.75" customHeight="1">
      <c r="A546" s="963">
        <f>A540+1</f>
        <v>40</v>
      </c>
      <c r="B546" s="964" t="str">
        <f>[7]building!B939</f>
        <v>Supply and fixing of 12 watts  LED bulb  (qtn)</v>
      </c>
      <c r="C546" s="963"/>
      <c r="D546" s="963"/>
      <c r="E546" s="965"/>
      <c r="F546" s="965"/>
      <c r="G546" s="962"/>
      <c r="H546" s="962"/>
      <c r="I546" s="962"/>
    </row>
    <row r="547" spans="1:9" ht="21" customHeight="1">
      <c r="A547" s="963"/>
      <c r="B547" s="964" t="s">
        <v>6487</v>
      </c>
      <c r="C547" s="963">
        <v>1</v>
      </c>
      <c r="D547" s="963">
        <v>2</v>
      </c>
      <c r="E547" s="965" t="s">
        <v>1586</v>
      </c>
      <c r="F547" s="965" t="s">
        <v>1586</v>
      </c>
      <c r="G547" s="965" t="s">
        <v>1586</v>
      </c>
      <c r="H547" s="965">
        <f>PRODUCT(C547:G547)</f>
        <v>2</v>
      </c>
      <c r="I547" s="962"/>
    </row>
    <row r="548" spans="1:9" ht="21" customHeight="1">
      <c r="A548" s="963"/>
      <c r="B548" s="964" t="s">
        <v>6555</v>
      </c>
      <c r="C548" s="963">
        <v>1</v>
      </c>
      <c r="D548" s="963">
        <v>2</v>
      </c>
      <c r="E548" s="965" t="s">
        <v>1586</v>
      </c>
      <c r="F548" s="965" t="s">
        <v>1586</v>
      </c>
      <c r="G548" s="965" t="s">
        <v>1586</v>
      </c>
      <c r="H548" s="965">
        <f>PRODUCT(C548:G548)</f>
        <v>2</v>
      </c>
      <c r="I548" s="962"/>
    </row>
    <row r="549" spans="1:9" ht="21" customHeight="1">
      <c r="A549" s="963"/>
      <c r="B549" s="964" t="s">
        <v>6523</v>
      </c>
      <c r="C549" s="963">
        <v>1</v>
      </c>
      <c r="D549" s="963">
        <v>2</v>
      </c>
      <c r="E549" s="965" t="s">
        <v>1586</v>
      </c>
      <c r="F549" s="965" t="s">
        <v>1586</v>
      </c>
      <c r="G549" s="965" t="s">
        <v>1586</v>
      </c>
      <c r="H549" s="965">
        <f>PRODUCT(C549:G549)</f>
        <v>2</v>
      </c>
      <c r="I549" s="962"/>
    </row>
    <row r="550" spans="1:9" ht="21" customHeight="1">
      <c r="A550" s="963"/>
      <c r="B550" s="964"/>
      <c r="C550" s="963"/>
      <c r="D550" s="963"/>
      <c r="E550" s="965"/>
      <c r="F550" s="965"/>
      <c r="G550" s="962" t="s">
        <v>2245</v>
      </c>
      <c r="H550" s="962">
        <f>SUM(H547:H549)</f>
        <v>6</v>
      </c>
      <c r="I550" s="962"/>
    </row>
    <row r="551" spans="1:9" ht="21" customHeight="1">
      <c r="A551" s="963"/>
      <c r="B551" s="964"/>
      <c r="C551" s="963"/>
      <c r="D551" s="963"/>
      <c r="E551" s="965"/>
      <c r="F551" s="965"/>
      <c r="G551" s="962" t="s">
        <v>4224</v>
      </c>
      <c r="H551" s="962">
        <f>ROUNDUP(H550,1)</f>
        <v>6</v>
      </c>
      <c r="I551" s="962" t="s">
        <v>1716</v>
      </c>
    </row>
    <row r="552" spans="1:9" ht="55.9" customHeight="1">
      <c r="A552" s="963">
        <f>A546+1</f>
        <v>41</v>
      </c>
      <c r="B552" s="964" t="str">
        <f>[7]building!B463</f>
        <v>Precast cupboard slab 40 mm tkusing standardised concrete mix M25 (annexure)</v>
      </c>
      <c r="C552" s="963"/>
      <c r="D552" s="963"/>
      <c r="E552" s="965"/>
      <c r="F552" s="965"/>
      <c r="G552" s="965"/>
      <c r="H552" s="965"/>
      <c r="I552" s="962"/>
    </row>
    <row r="553" spans="1:9" ht="21" customHeight="1">
      <c r="A553" s="963"/>
      <c r="B553" s="964" t="str">
        <f>'[8]Building (2)'!B477</f>
        <v>a. In Foundation &amp; basement</v>
      </c>
      <c r="C553" s="963"/>
      <c r="D553" s="963"/>
      <c r="E553" s="965"/>
      <c r="F553" s="965"/>
      <c r="G553" s="965"/>
      <c r="H553" s="965"/>
      <c r="I553" s="962"/>
    </row>
    <row r="554" spans="1:9" ht="21" customHeight="1">
      <c r="A554" s="963"/>
      <c r="B554" s="964" t="s">
        <v>6372</v>
      </c>
      <c r="C554" s="963">
        <v>1</v>
      </c>
      <c r="D554" s="963">
        <v>5</v>
      </c>
      <c r="E554" s="965">
        <v>0.75</v>
      </c>
      <c r="F554" s="965">
        <v>0.75</v>
      </c>
      <c r="G554" s="965" t="s">
        <v>1586</v>
      </c>
      <c r="H554" s="965">
        <f>PRODUCT(C554:G554)</f>
        <v>2.81</v>
      </c>
      <c r="I554" s="962"/>
    </row>
    <row r="555" spans="1:9" ht="21" customHeight="1">
      <c r="A555" s="963"/>
      <c r="B555" s="964" t="s">
        <v>6465</v>
      </c>
      <c r="C555" s="963">
        <v>1</v>
      </c>
      <c r="D555" s="963">
        <v>2</v>
      </c>
      <c r="E555" s="965">
        <v>0.75</v>
      </c>
      <c r="F555" s="965">
        <v>0.75</v>
      </c>
      <c r="G555" s="965" t="s">
        <v>1586</v>
      </c>
      <c r="H555" s="965">
        <f>PRODUCT(C555:G555)</f>
        <v>1.1299999999999999</v>
      </c>
      <c r="I555" s="962"/>
    </row>
    <row r="556" spans="1:9" ht="21" customHeight="1">
      <c r="A556" s="963"/>
      <c r="B556" s="964" t="s">
        <v>6467</v>
      </c>
      <c r="C556" s="963">
        <v>1</v>
      </c>
      <c r="D556" s="963">
        <v>2</v>
      </c>
      <c r="E556" s="965">
        <v>0.75</v>
      </c>
      <c r="F556" s="965">
        <v>0.75</v>
      </c>
      <c r="G556" s="965" t="s">
        <v>1586</v>
      </c>
      <c r="H556" s="965">
        <f>PRODUCT(C556:G556)</f>
        <v>1.1299999999999999</v>
      </c>
      <c r="I556" s="962"/>
    </row>
    <row r="557" spans="1:9" ht="21" customHeight="1">
      <c r="A557" s="963"/>
      <c r="B557" s="964"/>
      <c r="C557" s="963"/>
      <c r="D557" s="963"/>
      <c r="E557" s="965"/>
      <c r="F557" s="965"/>
      <c r="G557" s="962" t="s">
        <v>2245</v>
      </c>
      <c r="H557" s="962">
        <f>SUM(H554:H556)</f>
        <v>5.07</v>
      </c>
      <c r="I557" s="962"/>
    </row>
    <row r="558" spans="1:9" ht="21" customHeight="1">
      <c r="A558" s="963"/>
      <c r="B558" s="964"/>
      <c r="C558" s="963"/>
      <c r="D558" s="963"/>
      <c r="E558" s="965"/>
      <c r="F558" s="965"/>
      <c r="G558" s="962" t="s">
        <v>4224</v>
      </c>
      <c r="H558" s="962">
        <f>ROUNDUP(H557,1)</f>
        <v>5.0999999999999996</v>
      </c>
      <c r="I558" s="962" t="s">
        <v>609</v>
      </c>
    </row>
    <row r="559" spans="1:9" ht="55.9" customHeight="1">
      <c r="A559" s="963">
        <f>A552+1</f>
        <v>42</v>
      </c>
      <c r="B559" s="964" t="str">
        <f>'[8]Building (2)'!B659</f>
        <v>Fabrication of Mild steel / RTS grills (without cement slurry) for all sizes of rods.</v>
      </c>
      <c r="C559" s="963"/>
      <c r="D559" s="963"/>
      <c r="E559" s="965"/>
      <c r="F559" s="965"/>
      <c r="G559" s="965"/>
      <c r="H559" s="965"/>
      <c r="I559" s="962"/>
    </row>
    <row r="560" spans="1:9" ht="21" customHeight="1">
      <c r="A560" s="963"/>
      <c r="B560" s="964" t="s">
        <v>6556</v>
      </c>
      <c r="C560" s="963">
        <v>1</v>
      </c>
      <c r="D560" s="963">
        <v>1</v>
      </c>
      <c r="E560" s="965">
        <f>H558</f>
        <v>5.0999999999999996</v>
      </c>
      <c r="F560" s="965" t="s">
        <v>1586</v>
      </c>
      <c r="G560" s="965">
        <v>0.04</v>
      </c>
      <c r="H560" s="965">
        <f>PRODUCT(C560:G560)</f>
        <v>0.2</v>
      </c>
      <c r="I560" s="962"/>
    </row>
    <row r="561" spans="1:9" ht="21" customHeight="1">
      <c r="A561" s="963"/>
      <c r="B561" s="964"/>
      <c r="C561" s="1078" t="s">
        <v>6468</v>
      </c>
      <c r="D561" s="1078"/>
      <c r="E561" s="1078"/>
      <c r="F561" s="1078"/>
      <c r="G561" s="962" t="s">
        <v>2245</v>
      </c>
      <c r="H561" s="962">
        <f>H560:H560</f>
        <v>0.2</v>
      </c>
      <c r="I561" s="962"/>
    </row>
    <row r="562" spans="1:9" ht="21" customHeight="1">
      <c r="A562" s="963"/>
      <c r="B562" s="964"/>
      <c r="C562" s="963"/>
      <c r="D562" s="963"/>
      <c r="E562" s="965"/>
      <c r="F562" s="965"/>
      <c r="G562" s="965"/>
      <c r="H562" s="965">
        <f>SUM(H561*100)</f>
        <v>20</v>
      </c>
      <c r="I562" s="962"/>
    </row>
    <row r="563" spans="1:9" ht="21" customHeight="1">
      <c r="A563" s="963"/>
      <c r="B563" s="964"/>
      <c r="C563" s="963"/>
      <c r="D563" s="963"/>
      <c r="E563" s="965"/>
      <c r="F563" s="965"/>
      <c r="G563" s="962" t="s">
        <v>4224</v>
      </c>
      <c r="H563" s="967">
        <f>H562/1000</f>
        <v>0.02</v>
      </c>
      <c r="I563" s="962" t="s">
        <v>528</v>
      </c>
    </row>
    <row r="564" spans="1:9" ht="45.6" customHeight="1">
      <c r="A564" s="963">
        <f>A559+1</f>
        <v>43</v>
      </c>
      <c r="B564" s="964" t="str">
        <f>'[8]Building (2)'!B455</f>
        <v>Anticorrosive treatment for steel grills</v>
      </c>
      <c r="C564" s="963"/>
      <c r="D564" s="963"/>
      <c r="E564" s="965"/>
      <c r="F564" s="965"/>
      <c r="G564" s="965"/>
      <c r="H564" s="965"/>
      <c r="I564" s="962"/>
    </row>
    <row r="565" spans="1:9" ht="21" customHeight="1">
      <c r="A565" s="963"/>
      <c r="B565" s="964" t="s">
        <v>6557</v>
      </c>
      <c r="C565" s="963">
        <v>1</v>
      </c>
      <c r="D565" s="963">
        <v>1</v>
      </c>
      <c r="E565" s="968">
        <f>H563</f>
        <v>0.02</v>
      </c>
      <c r="F565" s="965" t="s">
        <v>1586</v>
      </c>
      <c r="G565" s="965" t="s">
        <v>1586</v>
      </c>
      <c r="H565" s="968">
        <f>PRODUCT(C565:G565)</f>
        <v>0.02</v>
      </c>
      <c r="I565" s="962"/>
    </row>
    <row r="566" spans="1:9" ht="21" customHeight="1">
      <c r="A566" s="963"/>
      <c r="B566" s="964"/>
      <c r="C566" s="1038"/>
      <c r="D566" s="1038"/>
      <c r="E566" s="1038"/>
      <c r="F566" s="1038"/>
      <c r="G566" s="962" t="s">
        <v>2245</v>
      </c>
      <c r="H566" s="967">
        <f>H565:H565</f>
        <v>0.02</v>
      </c>
      <c r="I566" s="962"/>
    </row>
    <row r="567" spans="1:9" ht="21" customHeight="1">
      <c r="A567" s="963"/>
      <c r="B567" s="964"/>
      <c r="C567" s="963"/>
      <c r="D567" s="963"/>
      <c r="E567" s="965"/>
      <c r="F567" s="965"/>
      <c r="G567" s="962" t="s">
        <v>4224</v>
      </c>
      <c r="H567" s="967">
        <f>H566</f>
        <v>0.02</v>
      </c>
      <c r="I567" s="962" t="s">
        <v>528</v>
      </c>
    </row>
    <row r="568" spans="1:9" ht="58.5" customHeight="1">
      <c r="A568" s="963">
        <f>A564+1</f>
        <v>44</v>
      </c>
      <c r="B568" s="964" t="str">
        <f>'[8]Building (2)'!B5</f>
        <v>Earth work excavation in all soils (including refilling)a. 0 to 2 mt.</v>
      </c>
      <c r="C568" s="963"/>
      <c r="D568" s="963"/>
      <c r="E568" s="965"/>
      <c r="F568" s="965"/>
      <c r="G568" s="965"/>
      <c r="H568" s="965"/>
      <c r="I568" s="962"/>
    </row>
    <row r="569" spans="1:9" ht="21" customHeight="1">
      <c r="A569" s="963"/>
      <c r="B569" s="964" t="s">
        <v>6372</v>
      </c>
      <c r="C569" s="963">
        <v>1</v>
      </c>
      <c r="D569" s="963">
        <v>2</v>
      </c>
      <c r="E569" s="965">
        <v>1.26</v>
      </c>
      <c r="F569" s="965">
        <v>1.26</v>
      </c>
      <c r="G569" s="965">
        <v>0.45</v>
      </c>
      <c r="H569" s="965">
        <f>PRODUCT(C569:G569)</f>
        <v>1.43</v>
      </c>
      <c r="I569" s="962"/>
    </row>
    <row r="570" spans="1:9" ht="20.25" customHeight="1">
      <c r="A570" s="963"/>
      <c r="B570" s="964"/>
      <c r="C570" s="1038"/>
      <c r="D570" s="1038"/>
      <c r="E570" s="1039"/>
      <c r="F570" s="1038"/>
      <c r="G570" s="962" t="s">
        <v>2245</v>
      </c>
      <c r="H570" s="962">
        <f>SUM(H569:H569)</f>
        <v>1.43</v>
      </c>
      <c r="I570" s="962"/>
    </row>
    <row r="571" spans="1:9" ht="21" customHeight="1">
      <c r="A571" s="963"/>
      <c r="B571" s="964"/>
      <c r="C571" s="963"/>
      <c r="D571" s="963"/>
      <c r="E571" s="965"/>
      <c r="F571" s="965"/>
      <c r="G571" s="962" t="s">
        <v>4224</v>
      </c>
      <c r="H571" s="962">
        <f>ROUNDUP(H570,1)</f>
        <v>1.5</v>
      </c>
      <c r="I571" s="962" t="s">
        <v>869</v>
      </c>
    </row>
    <row r="572" spans="1:9" ht="37.9" customHeight="1">
      <c r="A572" s="963">
        <f>A568+1</f>
        <v>45</v>
      </c>
      <c r="B572" s="964" t="str">
        <f>'[8]Building (2)'!B45</f>
        <v>C.C.1:5:10 for Foundation &amp; Basement</v>
      </c>
      <c r="C572" s="963"/>
      <c r="D572" s="963"/>
      <c r="E572" s="965"/>
      <c r="F572" s="965"/>
      <c r="G572" s="965"/>
      <c r="H572" s="965"/>
      <c r="I572" s="962"/>
    </row>
    <row r="573" spans="1:9" ht="21" customHeight="1">
      <c r="A573" s="963"/>
      <c r="B573" s="964" t="s">
        <v>6372</v>
      </c>
      <c r="C573" s="963">
        <v>1</v>
      </c>
      <c r="D573" s="963">
        <v>2</v>
      </c>
      <c r="E573" s="965">
        <v>1.26</v>
      </c>
      <c r="F573" s="965">
        <v>1.26</v>
      </c>
      <c r="G573" s="965">
        <v>0.15</v>
      </c>
      <c r="H573" s="965">
        <f>PRODUCT(C573:G573)</f>
        <v>0.48</v>
      </c>
      <c r="I573" s="962"/>
    </row>
    <row r="574" spans="1:9" ht="21" customHeight="1">
      <c r="A574" s="963"/>
      <c r="B574" s="964"/>
      <c r="C574" s="1038"/>
      <c r="D574" s="1038"/>
      <c r="E574" s="1039"/>
      <c r="F574" s="1038"/>
      <c r="G574" s="962" t="s">
        <v>2245</v>
      </c>
      <c r="H574" s="962">
        <f>SUM(H573:H573)</f>
        <v>0.48</v>
      </c>
      <c r="I574" s="962"/>
    </row>
    <row r="575" spans="1:9" ht="21" customHeight="1">
      <c r="A575" s="963"/>
      <c r="B575" s="964"/>
      <c r="C575" s="963"/>
      <c r="D575" s="963"/>
      <c r="E575" s="965"/>
      <c r="F575" s="965"/>
      <c r="G575" s="962" t="s">
        <v>4224</v>
      </c>
      <c r="H575" s="962">
        <f>ROUNDUP(H574,1)</f>
        <v>0.5</v>
      </c>
      <c r="I575" s="962" t="s">
        <v>869</v>
      </c>
    </row>
    <row r="576" spans="1:9" ht="37.9" customHeight="1">
      <c r="A576" s="963">
        <f>A572+1</f>
        <v>46</v>
      </c>
      <c r="B576" s="964" t="str">
        <f>'[8]Building (2)'!B47</f>
        <v>P.C.C. 1:8:16 using 20 mm broken brick jelly</v>
      </c>
      <c r="C576" s="963"/>
      <c r="D576" s="963"/>
      <c r="E576" s="965"/>
      <c r="F576" s="965"/>
      <c r="G576" s="965"/>
      <c r="H576" s="965"/>
      <c r="I576" s="962"/>
    </row>
    <row r="577" spans="1:9" ht="21" customHeight="1">
      <c r="A577" s="963"/>
      <c r="B577" s="964" t="s">
        <v>6372</v>
      </c>
      <c r="C577" s="963">
        <v>1</v>
      </c>
      <c r="D577" s="963">
        <v>2</v>
      </c>
      <c r="E577" s="965">
        <v>0.6</v>
      </c>
      <c r="F577" s="965">
        <v>0.6</v>
      </c>
      <c r="G577" s="965">
        <v>0.3</v>
      </c>
      <c r="H577" s="965">
        <f>PRODUCT(C577:G577)</f>
        <v>0.22</v>
      </c>
      <c r="I577" s="962"/>
    </row>
    <row r="578" spans="1:9" ht="21" customHeight="1">
      <c r="A578" s="963"/>
      <c r="B578" s="964"/>
      <c r="C578" s="1038"/>
      <c r="D578" s="1038"/>
      <c r="E578" s="1038"/>
      <c r="F578" s="1038"/>
      <c r="G578" s="962" t="s">
        <v>2245</v>
      </c>
      <c r="H578" s="962">
        <f>SUM(H577:H577)</f>
        <v>0.22</v>
      </c>
      <c r="I578" s="962"/>
    </row>
    <row r="579" spans="1:9" ht="21" customHeight="1">
      <c r="A579" s="963"/>
      <c r="B579" s="964"/>
      <c r="C579" s="963"/>
      <c r="D579" s="963"/>
      <c r="E579" s="965"/>
      <c r="F579" s="965"/>
      <c r="G579" s="962" t="s">
        <v>4224</v>
      </c>
      <c r="H579" s="962">
        <f>ROUNDUP(H578,1)</f>
        <v>0.3</v>
      </c>
      <c r="I579" s="962" t="s">
        <v>869</v>
      </c>
    </row>
    <row r="580" spans="1:9" ht="73.150000000000006" customHeight="1">
      <c r="A580" s="963">
        <f>A576+1</f>
        <v>47</v>
      </c>
      <c r="B580" s="964" t="str">
        <f>'[8]Building (2)'!B59</f>
        <v>Brick work in C.M. 1:5 (F&amp; B) using Kiln Burnt Country bricks of size 22 x 11 x 7 cm (8 3/4" x 4 1/4" x 2 3/4")</v>
      </c>
      <c r="C580" s="963"/>
      <c r="D580" s="963"/>
      <c r="E580" s="965"/>
      <c r="F580" s="965"/>
      <c r="G580" s="965"/>
      <c r="H580" s="965"/>
      <c r="I580" s="962"/>
    </row>
    <row r="581" spans="1:9" ht="21" customHeight="1">
      <c r="A581" s="963"/>
      <c r="B581" s="964" t="s">
        <v>6372</v>
      </c>
      <c r="C581" s="963">
        <v>1</v>
      </c>
      <c r="D581" s="963">
        <v>2</v>
      </c>
      <c r="E581" s="965">
        <v>3.32</v>
      </c>
      <c r="F581" s="965">
        <v>0.23</v>
      </c>
      <c r="G581" s="965">
        <v>0.75</v>
      </c>
      <c r="H581" s="965">
        <f>PRODUCT(C581:G581)</f>
        <v>1.1499999999999999</v>
      </c>
      <c r="I581" s="962"/>
    </row>
    <row r="582" spans="1:9" ht="21" customHeight="1">
      <c r="A582" s="963"/>
      <c r="B582" s="964"/>
      <c r="C582" s="1038"/>
      <c r="D582" s="1038"/>
      <c r="E582" s="1038"/>
      <c r="F582" s="1038"/>
      <c r="G582" s="962" t="s">
        <v>2245</v>
      </c>
      <c r="H582" s="962">
        <f>SUM(H581:H581)</f>
        <v>1.1499999999999999</v>
      </c>
      <c r="I582" s="962"/>
    </row>
    <row r="583" spans="1:9" ht="21" customHeight="1">
      <c r="A583" s="963"/>
      <c r="B583" s="964"/>
      <c r="C583" s="963"/>
      <c r="D583" s="963"/>
      <c r="E583" s="965"/>
      <c r="F583" s="965"/>
      <c r="G583" s="962" t="s">
        <v>4224</v>
      </c>
      <c r="H583" s="962">
        <f>ROUNDUP(H582,1)</f>
        <v>1.2</v>
      </c>
      <c r="I583" s="962" t="s">
        <v>869</v>
      </c>
    </row>
    <row r="584" spans="1:9" ht="36.6" customHeight="1">
      <c r="A584" s="963">
        <f>A580+1</f>
        <v>48</v>
      </c>
      <c r="B584" s="964" t="str">
        <f>'[8]Building (2)'!B330</f>
        <v>Floor plastering in C.M. 1:4, 20 mm tk.</v>
      </c>
      <c r="C584" s="963"/>
      <c r="D584" s="963"/>
      <c r="E584" s="965"/>
      <c r="F584" s="965"/>
      <c r="G584" s="965"/>
      <c r="H584" s="965"/>
      <c r="I584" s="962"/>
    </row>
    <row r="585" spans="1:9" ht="21" customHeight="1">
      <c r="A585" s="963"/>
      <c r="B585" s="964" t="s">
        <v>6372</v>
      </c>
      <c r="C585" s="963">
        <v>1</v>
      </c>
      <c r="D585" s="963">
        <v>2</v>
      </c>
      <c r="E585" s="965">
        <v>0.6</v>
      </c>
      <c r="F585" s="965">
        <v>0.6</v>
      </c>
      <c r="G585" s="965" t="s">
        <v>1586</v>
      </c>
      <c r="H585" s="965">
        <f>PRODUCT(C585:G585)</f>
        <v>0.72</v>
      </c>
      <c r="I585" s="962"/>
    </row>
    <row r="586" spans="1:9" ht="21" customHeight="1">
      <c r="A586" s="963"/>
      <c r="B586" s="964"/>
      <c r="C586" s="1038"/>
      <c r="D586" s="1038"/>
      <c r="E586" s="1038"/>
      <c r="F586" s="1038"/>
      <c r="G586" s="962" t="s">
        <v>2245</v>
      </c>
      <c r="H586" s="962">
        <f>SUM(H585:H585)</f>
        <v>0.72</v>
      </c>
      <c r="I586" s="962"/>
    </row>
    <row r="587" spans="1:9" ht="21" customHeight="1">
      <c r="A587" s="963"/>
      <c r="B587" s="964"/>
      <c r="C587" s="963"/>
      <c r="D587" s="963"/>
      <c r="E587" s="965"/>
      <c r="F587" s="965"/>
      <c r="G587" s="962" t="s">
        <v>4224</v>
      </c>
      <c r="H587" s="962">
        <f>ROUNDUP(H586,1)</f>
        <v>0.8</v>
      </c>
      <c r="I587" s="962" t="s">
        <v>609</v>
      </c>
    </row>
    <row r="588" spans="1:9" ht="21" customHeight="1">
      <c r="A588" s="963">
        <f>A584+1</f>
        <v>49</v>
      </c>
      <c r="B588" s="964" t="str">
        <f>'[8]Building (2)'!B342</f>
        <v>Plastering in C.M. 1:4, 12 mm tk.</v>
      </c>
      <c r="C588" s="963"/>
      <c r="D588" s="963"/>
      <c r="E588" s="965"/>
      <c r="F588" s="965"/>
      <c r="G588" s="965"/>
      <c r="H588" s="965"/>
      <c r="I588" s="962"/>
    </row>
    <row r="589" spans="1:9" ht="21" customHeight="1">
      <c r="A589" s="963"/>
      <c r="B589" s="964" t="s">
        <v>6372</v>
      </c>
      <c r="C589" s="963">
        <v>1</v>
      </c>
      <c r="D589" s="963">
        <v>2</v>
      </c>
      <c r="E589" s="965">
        <v>2.4</v>
      </c>
      <c r="F589" s="965" t="s">
        <v>1586</v>
      </c>
      <c r="G589" s="965">
        <v>0.45</v>
      </c>
      <c r="H589" s="965">
        <f>PRODUCT(C589:G589)</f>
        <v>2.16</v>
      </c>
      <c r="I589" s="962"/>
    </row>
    <row r="590" spans="1:9" ht="21" customHeight="1">
      <c r="A590" s="963"/>
      <c r="B590" s="964"/>
      <c r="C590" s="1038"/>
      <c r="D590" s="1038"/>
      <c r="E590" s="1038"/>
      <c r="F590" s="1038"/>
      <c r="G590" s="962" t="s">
        <v>2245</v>
      </c>
      <c r="H590" s="962">
        <f>SUM(H589:H589)</f>
        <v>2.16</v>
      </c>
      <c r="I590" s="962"/>
    </row>
    <row r="591" spans="1:9" ht="21" customHeight="1">
      <c r="A591" s="963"/>
      <c r="B591" s="964"/>
      <c r="C591" s="963"/>
      <c r="D591" s="963"/>
      <c r="E591" s="965"/>
      <c r="F591" s="965"/>
      <c r="G591" s="962" t="s">
        <v>4224</v>
      </c>
      <c r="H591" s="962">
        <f>ROUNDUP(H590,1)</f>
        <v>2.2000000000000002</v>
      </c>
      <c r="I591" s="962" t="s">
        <v>609</v>
      </c>
    </row>
    <row r="592" spans="1:9" ht="93" customHeight="1">
      <c r="A592" s="963">
        <f>A588+1</f>
        <v>50</v>
      </c>
      <c r="B592" s="964" t="str">
        <f>'[8]Building (2)'!B838</f>
        <v>UPVC Non Pressure  pipe of SN8 SDR 34 ( S 16.5) as per IS 15328/2003a. 110 mm UPVC Non Pressure  pipe</v>
      </c>
      <c r="C592" s="963"/>
      <c r="D592" s="963"/>
      <c r="E592" s="965"/>
      <c r="F592" s="965"/>
      <c r="G592" s="965"/>
      <c r="H592" s="965"/>
      <c r="I592" s="962"/>
    </row>
    <row r="593" spans="1:9" ht="21" customHeight="1">
      <c r="A593" s="963"/>
      <c r="B593" s="964" t="s">
        <v>6469</v>
      </c>
      <c r="C593" s="963">
        <v>1</v>
      </c>
      <c r="D593" s="963">
        <v>1</v>
      </c>
      <c r="E593" s="965">
        <v>23</v>
      </c>
      <c r="F593" s="965" t="s">
        <v>1586</v>
      </c>
      <c r="G593" s="965" t="s">
        <v>1586</v>
      </c>
      <c r="H593" s="965">
        <f>PRODUCT(C593:G593)</f>
        <v>23</v>
      </c>
      <c r="I593" s="962"/>
    </row>
    <row r="594" spans="1:9" ht="21" customHeight="1">
      <c r="A594" s="963"/>
      <c r="B594" s="964"/>
      <c r="C594" s="1038"/>
      <c r="D594" s="1038"/>
      <c r="E594" s="1038"/>
      <c r="F594" s="1038"/>
      <c r="G594" s="962" t="s">
        <v>2245</v>
      </c>
      <c r="H594" s="962">
        <f>SUM(H593:H593)</f>
        <v>23</v>
      </c>
      <c r="I594" s="962"/>
    </row>
    <row r="595" spans="1:9" ht="21" customHeight="1">
      <c r="A595" s="963"/>
      <c r="B595" s="964"/>
      <c r="C595" s="963"/>
      <c r="D595" s="963"/>
      <c r="E595" s="965"/>
      <c r="F595" s="965"/>
      <c r="G595" s="962" t="s">
        <v>4224</v>
      </c>
      <c r="H595" s="962">
        <f>ROUNDUP(H594,1)</f>
        <v>23</v>
      </c>
      <c r="I595" s="962" t="s">
        <v>1771</v>
      </c>
    </row>
    <row r="596" spans="1:9" ht="21" customHeight="1">
      <c r="A596" s="963">
        <f>A592+1</f>
        <v>51</v>
      </c>
      <c r="B596" s="964" t="str">
        <f>[7]building!B38</f>
        <v>Filling C.S. sand</v>
      </c>
      <c r="C596" s="963"/>
      <c r="D596" s="963"/>
      <c r="E596" s="965"/>
      <c r="F596" s="965"/>
      <c r="G596" s="965"/>
      <c r="H596" s="965"/>
      <c r="I596" s="962"/>
    </row>
    <row r="597" spans="1:9" ht="21" customHeight="1">
      <c r="A597" s="963"/>
      <c r="B597" s="964" t="s">
        <v>6377</v>
      </c>
      <c r="C597" s="963">
        <v>1</v>
      </c>
      <c r="D597" s="963">
        <v>1</v>
      </c>
      <c r="E597" s="965">
        <v>6.93</v>
      </c>
      <c r="F597" s="965">
        <v>0.79</v>
      </c>
      <c r="G597" s="965">
        <v>0.08</v>
      </c>
      <c r="H597" s="965">
        <f t="shared" ref="H597:H599" si="31">PRODUCT(C597:G597)</f>
        <v>0.44</v>
      </c>
      <c r="I597" s="962"/>
    </row>
    <row r="598" spans="1:9" ht="21" customHeight="1">
      <c r="A598" s="963"/>
      <c r="B598" s="964" t="s">
        <v>6474</v>
      </c>
      <c r="C598" s="963">
        <v>1</v>
      </c>
      <c r="D598" s="963">
        <v>1</v>
      </c>
      <c r="E598" s="965">
        <v>10.199999999999999</v>
      </c>
      <c r="F598" s="965">
        <v>0.79</v>
      </c>
      <c r="G598" s="965">
        <v>0.08</v>
      </c>
      <c r="H598" s="965">
        <f t="shared" si="31"/>
        <v>0.64</v>
      </c>
      <c r="I598" s="962"/>
    </row>
    <row r="599" spans="1:9" ht="21" customHeight="1">
      <c r="A599" s="963"/>
      <c r="B599" s="964" t="s">
        <v>6478</v>
      </c>
      <c r="C599" s="963">
        <v>1</v>
      </c>
      <c r="D599" s="963">
        <v>1</v>
      </c>
      <c r="E599" s="965">
        <v>13.02</v>
      </c>
      <c r="F599" s="965">
        <v>0.49</v>
      </c>
      <c r="G599" s="965">
        <v>0.08</v>
      </c>
      <c r="H599" s="965">
        <f t="shared" si="31"/>
        <v>0.51</v>
      </c>
      <c r="I599" s="962"/>
    </row>
    <row r="600" spans="1:9" ht="21" customHeight="1">
      <c r="A600" s="963"/>
      <c r="B600" s="966" t="s">
        <v>6364</v>
      </c>
      <c r="C600" s="963"/>
      <c r="D600" s="963"/>
      <c r="E600" s="965"/>
      <c r="F600" s="965"/>
      <c r="G600" s="965"/>
      <c r="H600" s="965"/>
      <c r="I600" s="962"/>
    </row>
    <row r="601" spans="1:9" ht="21" customHeight="1">
      <c r="A601" s="963"/>
      <c r="B601" s="964" t="s">
        <v>6477</v>
      </c>
      <c r="C601" s="963">
        <v>-1</v>
      </c>
      <c r="D601" s="963">
        <v>4</v>
      </c>
      <c r="E601" s="965">
        <v>1.06</v>
      </c>
      <c r="F601" s="965">
        <v>0.79</v>
      </c>
      <c r="G601" s="965">
        <v>0.08</v>
      </c>
      <c r="H601" s="965">
        <f>PRODUCT(C601:G601)</f>
        <v>-0.27</v>
      </c>
      <c r="I601" s="962"/>
    </row>
    <row r="602" spans="1:9" ht="21" customHeight="1">
      <c r="A602" s="963"/>
      <c r="B602" s="964" t="s">
        <v>6510</v>
      </c>
      <c r="C602" s="963">
        <v>-1</v>
      </c>
      <c r="D602" s="963">
        <v>1</v>
      </c>
      <c r="E602" s="965">
        <v>3.76</v>
      </c>
      <c r="F602" s="965">
        <v>0.49</v>
      </c>
      <c r="G602" s="965">
        <v>0.08</v>
      </c>
      <c r="H602" s="965">
        <f t="shared" ref="H602" si="32">PRODUCT(C602:G602)</f>
        <v>-0.15</v>
      </c>
      <c r="I602" s="962"/>
    </row>
    <row r="603" spans="1:9" ht="21" customHeight="1">
      <c r="A603" s="963"/>
      <c r="B603" s="964"/>
      <c r="C603" s="1038"/>
      <c r="D603" s="1038"/>
      <c r="E603" s="1038"/>
      <c r="F603" s="1038"/>
      <c r="G603" s="962" t="s">
        <v>2245</v>
      </c>
      <c r="H603" s="962">
        <f>SUM(H597:H602)</f>
        <v>1.17</v>
      </c>
      <c r="I603" s="962"/>
    </row>
    <row r="604" spans="1:9" ht="21" customHeight="1">
      <c r="A604" s="963"/>
      <c r="B604" s="964"/>
      <c r="C604" s="963"/>
      <c r="D604" s="963"/>
      <c r="E604" s="965"/>
      <c r="F604" s="965"/>
      <c r="G604" s="962" t="s">
        <v>4224</v>
      </c>
      <c r="H604" s="962">
        <f>ROUNDUP(H603,1)</f>
        <v>1.2</v>
      </c>
      <c r="I604" s="962" t="s">
        <v>869</v>
      </c>
    </row>
    <row r="605" spans="1:9" ht="21" customHeight="1">
      <c r="A605" s="963">
        <f>A596+1</f>
        <v>52</v>
      </c>
      <c r="B605" s="964" t="str">
        <f>[7]building!B562</f>
        <v xml:space="preserve">Supplying and filling with gravel </v>
      </c>
      <c r="C605" s="963"/>
      <c r="D605" s="963"/>
      <c r="E605" s="965"/>
      <c r="F605" s="965"/>
      <c r="G605" s="965"/>
      <c r="H605" s="965"/>
      <c r="I605" s="962"/>
    </row>
    <row r="606" spans="1:9" ht="21" customHeight="1">
      <c r="A606" s="963"/>
      <c r="B606" s="964" t="s">
        <v>6377</v>
      </c>
      <c r="C606" s="963">
        <v>1</v>
      </c>
      <c r="D606" s="963">
        <v>1</v>
      </c>
      <c r="E606" s="965">
        <v>6.93</v>
      </c>
      <c r="F606" s="965">
        <v>0.79</v>
      </c>
      <c r="G606" s="965">
        <v>0.15</v>
      </c>
      <c r="H606" s="965">
        <f t="shared" ref="H606:H608" si="33">PRODUCT(C606:G606)</f>
        <v>0.82</v>
      </c>
      <c r="I606" s="962"/>
    </row>
    <row r="607" spans="1:9" ht="21" customHeight="1">
      <c r="A607" s="963"/>
      <c r="B607" s="964" t="s">
        <v>6474</v>
      </c>
      <c r="C607" s="963">
        <v>1</v>
      </c>
      <c r="D607" s="963">
        <v>1</v>
      </c>
      <c r="E607" s="965">
        <v>10.199999999999999</v>
      </c>
      <c r="F607" s="965">
        <v>0.79</v>
      </c>
      <c r="G607" s="965">
        <v>0.15</v>
      </c>
      <c r="H607" s="965">
        <f t="shared" si="33"/>
        <v>1.21</v>
      </c>
      <c r="I607" s="962"/>
    </row>
    <row r="608" spans="1:9" ht="21" customHeight="1">
      <c r="A608" s="963"/>
      <c r="B608" s="964" t="s">
        <v>6478</v>
      </c>
      <c r="C608" s="963">
        <v>1</v>
      </c>
      <c r="D608" s="963">
        <v>1</v>
      </c>
      <c r="E608" s="965">
        <v>13.02</v>
      </c>
      <c r="F608" s="965">
        <v>0.49</v>
      </c>
      <c r="G608" s="965">
        <v>0.15</v>
      </c>
      <c r="H608" s="965">
        <f t="shared" si="33"/>
        <v>0.96</v>
      </c>
      <c r="I608" s="962"/>
    </row>
    <row r="609" spans="1:9" ht="21" customHeight="1">
      <c r="A609" s="963"/>
      <c r="B609" s="966" t="s">
        <v>6364</v>
      </c>
      <c r="C609" s="963"/>
      <c r="D609" s="963"/>
      <c r="E609" s="965"/>
      <c r="F609" s="965"/>
      <c r="G609" s="965"/>
      <c r="H609" s="965"/>
      <c r="I609" s="962"/>
    </row>
    <row r="610" spans="1:9" ht="21" customHeight="1">
      <c r="A610" s="963"/>
      <c r="B610" s="964" t="s">
        <v>6477</v>
      </c>
      <c r="C610" s="963">
        <v>-1</v>
      </c>
      <c r="D610" s="963">
        <v>4</v>
      </c>
      <c r="E610" s="965">
        <v>1.06</v>
      </c>
      <c r="F610" s="965">
        <v>0.79</v>
      </c>
      <c r="G610" s="965">
        <v>0.15</v>
      </c>
      <c r="H610" s="965">
        <f>PRODUCT(C610:G610)</f>
        <v>-0.5</v>
      </c>
      <c r="I610" s="962"/>
    </row>
    <row r="611" spans="1:9" ht="21" customHeight="1">
      <c r="A611" s="963"/>
      <c r="B611" s="964" t="s">
        <v>6510</v>
      </c>
      <c r="C611" s="963">
        <v>-1</v>
      </c>
      <c r="D611" s="963">
        <v>1</v>
      </c>
      <c r="E611" s="965">
        <v>3.76</v>
      </c>
      <c r="F611" s="965">
        <v>0.49</v>
      </c>
      <c r="G611" s="965">
        <v>0.15</v>
      </c>
      <c r="H611" s="965">
        <f t="shared" ref="H611" si="34">PRODUCT(C611:G611)</f>
        <v>-0.28000000000000003</v>
      </c>
      <c r="I611" s="962"/>
    </row>
    <row r="612" spans="1:9" ht="21" customHeight="1">
      <c r="A612" s="963"/>
      <c r="B612" s="964"/>
      <c r="C612" s="1038"/>
      <c r="D612" s="1038"/>
      <c r="E612" s="1038"/>
      <c r="F612" s="1038"/>
      <c r="G612" s="962" t="s">
        <v>2245</v>
      </c>
      <c r="H612" s="962">
        <f>SUM(H606:H611)</f>
        <v>2.21</v>
      </c>
      <c r="I612" s="962"/>
    </row>
    <row r="613" spans="1:9" ht="21" customHeight="1">
      <c r="A613" s="963"/>
      <c r="B613" s="964"/>
      <c r="C613" s="963"/>
      <c r="D613" s="963"/>
      <c r="E613" s="965"/>
      <c r="F613" s="965"/>
      <c r="G613" s="962" t="s">
        <v>4224</v>
      </c>
      <c r="H613" s="962">
        <f>ROUNDUP(H612,1)</f>
        <v>2.2999999999999998</v>
      </c>
      <c r="I613" s="962" t="s">
        <v>869</v>
      </c>
    </row>
    <row r="614" spans="1:9" ht="38.25" customHeight="1">
      <c r="A614" s="963">
        <f>A605+1</f>
        <v>53</v>
      </c>
      <c r="B614" s="964" t="str">
        <f>[7]building!B674</f>
        <v>Precast slab 50 mm tk.in C.C. 1:3:6 with fibre</v>
      </c>
      <c r="C614" s="963"/>
      <c r="D614" s="963"/>
      <c r="E614" s="965"/>
      <c r="F614" s="965"/>
      <c r="G614" s="965"/>
      <c r="H614" s="965"/>
      <c r="I614" s="962"/>
    </row>
    <row r="615" spans="1:9" ht="21" customHeight="1">
      <c r="A615" s="963"/>
      <c r="B615" s="964" t="s">
        <v>6474</v>
      </c>
      <c r="C615" s="963">
        <v>1</v>
      </c>
      <c r="D615" s="963">
        <v>1</v>
      </c>
      <c r="E615" s="965">
        <v>10.199999999999999</v>
      </c>
      <c r="F615" s="965">
        <v>0.9</v>
      </c>
      <c r="G615" s="965" t="s">
        <v>1586</v>
      </c>
      <c r="H615" s="965">
        <f t="shared" ref="H615" si="35">PRODUCT(C615:G615)</f>
        <v>9.18</v>
      </c>
      <c r="I615" s="962"/>
    </row>
    <row r="616" spans="1:9" ht="21" customHeight="1">
      <c r="A616" s="963"/>
      <c r="B616" s="966" t="s">
        <v>6364</v>
      </c>
      <c r="C616" s="963"/>
      <c r="D616" s="963"/>
      <c r="E616" s="965"/>
      <c r="F616" s="965"/>
      <c r="G616" s="965"/>
      <c r="H616" s="965"/>
      <c r="I616" s="962"/>
    </row>
    <row r="617" spans="1:9" ht="21" customHeight="1">
      <c r="A617" s="963"/>
      <c r="B617" s="964" t="s">
        <v>6477</v>
      </c>
      <c r="C617" s="963">
        <v>-1</v>
      </c>
      <c r="D617" s="963">
        <v>1</v>
      </c>
      <c r="E617" s="965">
        <v>0.75</v>
      </c>
      <c r="F617" s="965">
        <v>0.9</v>
      </c>
      <c r="G617" s="965" t="s">
        <v>1586</v>
      </c>
      <c r="H617" s="965">
        <f>PRODUCT(C617:G617)</f>
        <v>-0.68</v>
      </c>
      <c r="I617" s="962"/>
    </row>
    <row r="618" spans="1:9" ht="21" customHeight="1">
      <c r="A618" s="963"/>
      <c r="B618" s="964"/>
      <c r="C618" s="1038"/>
      <c r="D618" s="1038"/>
      <c r="E618" s="1038"/>
      <c r="F618" s="1038"/>
      <c r="G618" s="962" t="s">
        <v>2245</v>
      </c>
      <c r="H618" s="962">
        <f>SUM(H615:H617)</f>
        <v>8.5</v>
      </c>
      <c r="I618" s="962"/>
    </row>
    <row r="619" spans="1:9" ht="21" customHeight="1">
      <c r="A619" s="963"/>
      <c r="B619" s="964"/>
      <c r="C619" s="963"/>
      <c r="D619" s="963"/>
      <c r="E619" s="965"/>
      <c r="F619" s="965"/>
      <c r="G619" s="962" t="s">
        <v>4224</v>
      </c>
      <c r="H619" s="962">
        <f>ROUNDUP(H618,1)</f>
        <v>8.5</v>
      </c>
      <c r="I619" s="962" t="s">
        <v>609</v>
      </c>
    </row>
    <row r="620" spans="1:9" ht="75.75" customHeight="1">
      <c r="A620" s="963">
        <f>A614+1</f>
        <v>54</v>
      </c>
      <c r="B620" s="964" t="s">
        <v>6480</v>
      </c>
      <c r="C620" s="963"/>
      <c r="D620" s="963"/>
      <c r="E620" s="965"/>
      <c r="F620" s="965"/>
      <c r="G620" s="965"/>
      <c r="H620" s="965"/>
      <c r="I620" s="962"/>
    </row>
    <row r="621" spans="1:9" ht="21" customHeight="1">
      <c r="A621" s="963"/>
      <c r="B621" s="964" t="s">
        <v>6478</v>
      </c>
      <c r="C621" s="963">
        <v>1</v>
      </c>
      <c r="D621" s="963">
        <v>1</v>
      </c>
      <c r="E621" s="965">
        <v>13.02</v>
      </c>
      <c r="F621" s="965">
        <v>0.6</v>
      </c>
      <c r="G621" s="965" t="s">
        <v>1586</v>
      </c>
      <c r="H621" s="965">
        <f t="shared" ref="H621:H622" si="36">PRODUCT(C621:G621)</f>
        <v>7.81</v>
      </c>
      <c r="I621" s="962"/>
    </row>
    <row r="622" spans="1:9" ht="21" customHeight="1">
      <c r="A622" s="963"/>
      <c r="B622" s="964" t="s">
        <v>6377</v>
      </c>
      <c r="C622" s="963">
        <v>1</v>
      </c>
      <c r="D622" s="963">
        <v>1</v>
      </c>
      <c r="E622" s="965">
        <v>6.93</v>
      </c>
      <c r="F622" s="965">
        <v>0.9</v>
      </c>
      <c r="G622" s="965" t="s">
        <v>1586</v>
      </c>
      <c r="H622" s="965">
        <f t="shared" si="36"/>
        <v>6.24</v>
      </c>
      <c r="I622" s="962"/>
    </row>
    <row r="623" spans="1:9" ht="21" customHeight="1">
      <c r="A623" s="963"/>
      <c r="B623" s="966" t="s">
        <v>6364</v>
      </c>
      <c r="C623" s="963"/>
      <c r="D623" s="963"/>
      <c r="E623" s="965"/>
      <c r="F623" s="965"/>
      <c r="G623" s="965"/>
      <c r="H623" s="965"/>
      <c r="I623" s="962"/>
    </row>
    <row r="624" spans="1:9" ht="21" customHeight="1">
      <c r="A624" s="963"/>
      <c r="B624" s="964" t="s">
        <v>6477</v>
      </c>
      <c r="C624" s="963">
        <v>-1</v>
      </c>
      <c r="D624" s="963">
        <v>3</v>
      </c>
      <c r="E624" s="965">
        <v>0.75</v>
      </c>
      <c r="F624" s="965">
        <v>0.6</v>
      </c>
      <c r="G624" s="965" t="s">
        <v>1586</v>
      </c>
      <c r="H624" s="965">
        <f>PRODUCT(C624:G624)</f>
        <v>-1.35</v>
      </c>
      <c r="I624" s="962"/>
    </row>
    <row r="625" spans="1:9" ht="21" customHeight="1">
      <c r="A625" s="963"/>
      <c r="B625" s="964" t="s">
        <v>6510</v>
      </c>
      <c r="C625" s="963">
        <v>-1</v>
      </c>
      <c r="D625" s="963">
        <v>1</v>
      </c>
      <c r="E625" s="965">
        <v>3.76</v>
      </c>
      <c r="F625" s="965">
        <v>0.6</v>
      </c>
      <c r="G625" s="965" t="s">
        <v>1586</v>
      </c>
      <c r="H625" s="965">
        <f>PRODUCT(C625:G625)</f>
        <v>-2.2599999999999998</v>
      </c>
      <c r="I625" s="962"/>
    </row>
    <row r="626" spans="1:9" ht="21" customHeight="1">
      <c r="A626" s="963"/>
      <c r="B626" s="964"/>
      <c r="C626" s="1038"/>
      <c r="D626" s="1038"/>
      <c r="E626" s="1038"/>
      <c r="F626" s="1038"/>
      <c r="G626" s="962" t="s">
        <v>2245</v>
      </c>
      <c r="H626" s="962">
        <f>SUM(H621:H625)</f>
        <v>10.44</v>
      </c>
      <c r="I626" s="962"/>
    </row>
    <row r="627" spans="1:9" ht="21" customHeight="1">
      <c r="A627" s="963"/>
      <c r="B627" s="964"/>
      <c r="C627" s="963"/>
      <c r="D627" s="963"/>
      <c r="E627" s="965"/>
      <c r="F627" s="965"/>
      <c r="G627" s="962" t="s">
        <v>4224</v>
      </c>
      <c r="H627" s="962">
        <f>ROUNDUP(H626,1)</f>
        <v>10.5</v>
      </c>
      <c r="I627" s="962" t="s">
        <v>869</v>
      </c>
    </row>
    <row r="628" spans="1:9" ht="56.25" customHeight="1">
      <c r="A628" s="963">
        <f>A620+1</f>
        <v>55</v>
      </c>
      <c r="B628" s="964" t="str">
        <f>[7]building!B707</f>
        <v>Rain water harvesting using defunct borewell and providing perforated cover slab</v>
      </c>
      <c r="C628" s="963"/>
      <c r="D628" s="963"/>
      <c r="E628" s="965"/>
      <c r="F628" s="965"/>
      <c r="G628" s="965"/>
      <c r="H628" s="965"/>
      <c r="I628" s="962"/>
    </row>
    <row r="629" spans="1:9" ht="21" customHeight="1">
      <c r="A629" s="963"/>
      <c r="B629" s="964" t="str">
        <f>[7]building!B708</f>
        <v>a). Providing pit (M30)</v>
      </c>
      <c r="C629" s="963"/>
      <c r="D629" s="963"/>
      <c r="E629" s="965"/>
      <c r="F629" s="965"/>
      <c r="G629" s="965"/>
      <c r="H629" s="965"/>
      <c r="I629" s="962"/>
    </row>
    <row r="630" spans="1:9" ht="21" customHeight="1">
      <c r="A630" s="963"/>
      <c r="B630" s="964" t="s">
        <v>6488</v>
      </c>
      <c r="C630" s="963">
        <v>1</v>
      </c>
      <c r="D630" s="963">
        <v>4</v>
      </c>
      <c r="E630" s="965" t="s">
        <v>1586</v>
      </c>
      <c r="F630" s="965" t="s">
        <v>1586</v>
      </c>
      <c r="G630" s="965" t="s">
        <v>1586</v>
      </c>
      <c r="H630" s="965">
        <f t="shared" ref="H630" si="37">PRODUCT(C630:G630)</f>
        <v>4</v>
      </c>
      <c r="I630" s="962"/>
    </row>
    <row r="631" spans="1:9" ht="21" customHeight="1">
      <c r="A631" s="963"/>
      <c r="B631" s="964"/>
      <c r="C631" s="1038"/>
      <c r="D631" s="1038"/>
      <c r="E631" s="1038"/>
      <c r="F631" s="1038"/>
      <c r="G631" s="962" t="s">
        <v>2245</v>
      </c>
      <c r="H631" s="962">
        <f>SUM(H629:H630)</f>
        <v>4</v>
      </c>
      <c r="I631" s="962"/>
    </row>
    <row r="632" spans="1:9" ht="21" customHeight="1">
      <c r="A632" s="963"/>
      <c r="B632" s="964"/>
      <c r="C632" s="963"/>
      <c r="D632" s="963"/>
      <c r="E632" s="965"/>
      <c r="F632" s="965"/>
      <c r="G632" s="962" t="s">
        <v>4224</v>
      </c>
      <c r="H632" s="962">
        <f>ROUNDUP(H631,1)</f>
        <v>4</v>
      </c>
      <c r="I632" s="962" t="s">
        <v>1716</v>
      </c>
    </row>
    <row r="633" spans="1:9" ht="36">
      <c r="A633" s="963">
        <f>A628+1</f>
        <v>56</v>
      </c>
      <c r="B633" s="964" t="str">
        <f>[7]building!B396</f>
        <v>Gully Trap using chamber burnt bricks of size 23x11.4x7.5cm</v>
      </c>
      <c r="C633" s="963"/>
      <c r="D633" s="963"/>
      <c r="E633" s="965"/>
      <c r="F633" s="965"/>
      <c r="G633" s="965"/>
      <c r="H633" s="965"/>
      <c r="I633" s="962"/>
    </row>
    <row r="634" spans="1:9" ht="21" customHeight="1">
      <c r="A634" s="963"/>
      <c r="B634" s="964" t="s">
        <v>6488</v>
      </c>
      <c r="C634" s="963">
        <v>1</v>
      </c>
      <c r="D634" s="963">
        <v>4</v>
      </c>
      <c r="E634" s="965" t="s">
        <v>1586</v>
      </c>
      <c r="F634" s="965" t="s">
        <v>1586</v>
      </c>
      <c r="G634" s="965" t="s">
        <v>1586</v>
      </c>
      <c r="H634" s="965">
        <f t="shared" ref="H634" si="38">PRODUCT(C634:G634)</f>
        <v>4</v>
      </c>
      <c r="I634" s="962"/>
    </row>
    <row r="635" spans="1:9" ht="21" customHeight="1">
      <c r="A635" s="963"/>
      <c r="B635" s="964"/>
      <c r="C635" s="1038"/>
      <c r="D635" s="1038"/>
      <c r="E635" s="1038"/>
      <c r="F635" s="1038"/>
      <c r="G635" s="962" t="s">
        <v>2245</v>
      </c>
      <c r="H635" s="962">
        <f>SUM(H634:H634)</f>
        <v>4</v>
      </c>
      <c r="I635" s="962"/>
    </row>
    <row r="636" spans="1:9" ht="21" customHeight="1">
      <c r="A636" s="963"/>
      <c r="B636" s="964"/>
      <c r="C636" s="963"/>
      <c r="D636" s="963"/>
      <c r="E636" s="965"/>
      <c r="F636" s="965"/>
      <c r="G636" s="962" t="s">
        <v>4224</v>
      </c>
      <c r="H636" s="962">
        <f>ROUNDUP(H635,1)</f>
        <v>4</v>
      </c>
      <c r="I636" s="962" t="s">
        <v>1716</v>
      </c>
    </row>
    <row r="637" spans="1:9" ht="73.5" customHeight="1">
      <c r="A637" s="963">
        <f>A633+1</f>
        <v>57</v>
      </c>
      <c r="B637" s="964" t="str">
        <f>[7]building!B699</f>
        <v>4 x 4  Sq mm copper PVC insulated unsheathed single core cable for 3 phase EB service connection</v>
      </c>
      <c r="C637" s="963"/>
      <c r="D637" s="963"/>
      <c r="E637" s="965"/>
      <c r="F637" s="965"/>
      <c r="G637" s="965"/>
      <c r="H637" s="965"/>
      <c r="I637" s="962"/>
    </row>
    <row r="638" spans="1:9" ht="21" customHeight="1">
      <c r="A638" s="963"/>
      <c r="B638" s="964" t="s">
        <v>6558</v>
      </c>
      <c r="C638" s="963">
        <v>1</v>
      </c>
      <c r="D638" s="963">
        <v>1</v>
      </c>
      <c r="E638" s="965">
        <v>30</v>
      </c>
      <c r="F638" s="965" t="s">
        <v>1586</v>
      </c>
      <c r="G638" s="965" t="s">
        <v>1586</v>
      </c>
      <c r="H638" s="965">
        <f t="shared" ref="H638" si="39">PRODUCT(C638:G638)</f>
        <v>30</v>
      </c>
      <c r="I638" s="962"/>
    </row>
    <row r="639" spans="1:9" ht="21" customHeight="1">
      <c r="A639" s="963"/>
      <c r="B639" s="964"/>
      <c r="C639" s="1038"/>
      <c r="D639" s="1038"/>
      <c r="E639" s="1038"/>
      <c r="F639" s="1038"/>
      <c r="G639" s="962" t="s">
        <v>2245</v>
      </c>
      <c r="H639" s="962">
        <f>SUM(H638:H638)</f>
        <v>30</v>
      </c>
      <c r="I639" s="962"/>
    </row>
    <row r="640" spans="1:9" ht="21" customHeight="1">
      <c r="A640" s="963"/>
      <c r="B640" s="964"/>
      <c r="C640" s="963"/>
      <c r="D640" s="963"/>
      <c r="E640" s="965"/>
      <c r="F640" s="965"/>
      <c r="G640" s="962" t="s">
        <v>4224</v>
      </c>
      <c r="H640" s="962">
        <f>ROUNDUP(H639,1)</f>
        <v>30</v>
      </c>
      <c r="I640" s="962" t="s">
        <v>1771</v>
      </c>
    </row>
    <row r="641" spans="1:9" ht="21" customHeight="1">
      <c r="A641" s="963">
        <f>A637+1</f>
        <v>58</v>
      </c>
      <c r="B641" s="964" t="str">
        <f>[7]building!B442</f>
        <v>Earthing Station IS3043 (Type I)</v>
      </c>
      <c r="C641" s="963"/>
      <c r="D641" s="963"/>
      <c r="E641" s="965"/>
      <c r="F641" s="965"/>
      <c r="G641" s="965"/>
      <c r="H641" s="965"/>
      <c r="I641" s="962"/>
    </row>
    <row r="642" spans="1:9" ht="21" customHeight="1">
      <c r="A642" s="963"/>
      <c r="B642" s="964" t="s">
        <v>6488</v>
      </c>
      <c r="C642" s="963">
        <v>1</v>
      </c>
      <c r="D642" s="963">
        <v>1</v>
      </c>
      <c r="E642" s="965" t="s">
        <v>1586</v>
      </c>
      <c r="F642" s="965" t="s">
        <v>1586</v>
      </c>
      <c r="G642" s="965" t="s">
        <v>1586</v>
      </c>
      <c r="H642" s="965">
        <f t="shared" ref="H642" si="40">PRODUCT(C642:G642)</f>
        <v>1</v>
      </c>
      <c r="I642" s="962"/>
    </row>
    <row r="643" spans="1:9" ht="21" customHeight="1">
      <c r="A643" s="963"/>
      <c r="B643" s="964"/>
      <c r="C643" s="1038"/>
      <c r="D643" s="1038"/>
      <c r="E643" s="1038"/>
      <c r="F643" s="1038"/>
      <c r="G643" s="962" t="s">
        <v>2245</v>
      </c>
      <c r="H643" s="962">
        <f>SUM(H642:H642)</f>
        <v>1</v>
      </c>
      <c r="I643" s="962"/>
    </row>
    <row r="644" spans="1:9" ht="21" customHeight="1">
      <c r="A644" s="963"/>
      <c r="B644" s="964"/>
      <c r="C644" s="963"/>
      <c r="D644" s="963"/>
      <c r="E644" s="965"/>
      <c r="F644" s="965"/>
      <c r="G644" s="962" t="s">
        <v>4224</v>
      </c>
      <c r="H644" s="962">
        <f>ROUNDUP(H643,1)</f>
        <v>1</v>
      </c>
      <c r="I644" s="962" t="s">
        <v>1716</v>
      </c>
    </row>
    <row r="645" spans="1:9" ht="21" customHeight="1">
      <c r="A645" s="963">
        <f>A641+1</f>
        <v>59</v>
      </c>
      <c r="B645" s="964" t="str">
        <f>[7]building!B436</f>
        <v>8 SWG wire</v>
      </c>
      <c r="C645" s="963"/>
      <c r="D645" s="963"/>
      <c r="E645" s="965"/>
      <c r="F645" s="965"/>
      <c r="G645" s="965"/>
      <c r="H645" s="965"/>
      <c r="I645" s="962"/>
    </row>
    <row r="646" spans="1:9" ht="21" customHeight="1">
      <c r="A646" s="963"/>
      <c r="B646" s="964" t="s">
        <v>6488</v>
      </c>
      <c r="C646" s="963">
        <v>1</v>
      </c>
      <c r="D646" s="963">
        <v>1</v>
      </c>
      <c r="E646" s="965">
        <v>8</v>
      </c>
      <c r="F646" s="965" t="s">
        <v>1586</v>
      </c>
      <c r="G646" s="965" t="s">
        <v>1586</v>
      </c>
      <c r="H646" s="965">
        <f t="shared" ref="H646" si="41">PRODUCT(C646:G646)</f>
        <v>8</v>
      </c>
      <c r="I646" s="962"/>
    </row>
    <row r="647" spans="1:9" ht="21" customHeight="1">
      <c r="A647" s="963"/>
      <c r="B647" s="964"/>
      <c r="C647" s="1038"/>
      <c r="D647" s="1038"/>
      <c r="E647" s="1038"/>
      <c r="F647" s="1038"/>
      <c r="G647" s="962" t="s">
        <v>2245</v>
      </c>
      <c r="H647" s="962">
        <f>SUM(H646:H646)</f>
        <v>8</v>
      </c>
      <c r="I647" s="962"/>
    </row>
    <row r="648" spans="1:9" ht="21" customHeight="1">
      <c r="A648" s="963"/>
      <c r="B648" s="964"/>
      <c r="C648" s="963"/>
      <c r="D648" s="963"/>
      <c r="E648" s="965"/>
      <c r="F648" s="965"/>
      <c r="G648" s="962" t="s">
        <v>4224</v>
      </c>
      <c r="H648" s="962">
        <f>ROUNDUP(H647,1)</f>
        <v>8</v>
      </c>
      <c r="I648" s="962" t="s">
        <v>1771</v>
      </c>
    </row>
    <row r="649" spans="1:9" ht="37.5" customHeight="1">
      <c r="A649" s="963">
        <f>A645+1</f>
        <v>60</v>
      </c>
      <c r="B649" s="964" t="str">
        <f>[7]building!B639</f>
        <v>Supply and Fixing Soild UPVC door Shutter with frame</v>
      </c>
      <c r="C649" s="963"/>
      <c r="D649" s="963"/>
      <c r="E649" s="965"/>
      <c r="F649" s="965"/>
      <c r="G649" s="965"/>
      <c r="H649" s="965"/>
      <c r="I649" s="962"/>
    </row>
    <row r="650" spans="1:9" ht="21" customHeight="1">
      <c r="A650" s="963"/>
      <c r="B650" s="964" t="s">
        <v>6455</v>
      </c>
      <c r="C650" s="963">
        <v>1</v>
      </c>
      <c r="D650" s="963">
        <v>3</v>
      </c>
      <c r="E650" s="965">
        <v>0.75</v>
      </c>
      <c r="F650" s="965" t="s">
        <v>1586</v>
      </c>
      <c r="G650" s="965">
        <v>2.1</v>
      </c>
      <c r="H650" s="965">
        <f t="shared" ref="H650" si="42">PRODUCT(C650:G650)</f>
        <v>4.7300000000000004</v>
      </c>
      <c r="I650" s="962"/>
    </row>
    <row r="651" spans="1:9" ht="21" customHeight="1">
      <c r="A651" s="963"/>
      <c r="B651" s="964"/>
      <c r="C651" s="1038"/>
      <c r="D651" s="1038"/>
      <c r="E651" s="1038"/>
      <c r="F651" s="1038"/>
      <c r="G651" s="962" t="s">
        <v>2245</v>
      </c>
      <c r="H651" s="962">
        <f>SUM(H650:H650)</f>
        <v>4.7300000000000004</v>
      </c>
      <c r="I651" s="962"/>
    </row>
    <row r="652" spans="1:9" ht="21" customHeight="1">
      <c r="A652" s="963"/>
      <c r="B652" s="964"/>
      <c r="C652" s="963"/>
      <c r="D652" s="963"/>
      <c r="E652" s="965"/>
      <c r="F652" s="965"/>
      <c r="G652" s="962" t="s">
        <v>4224</v>
      </c>
      <c r="H652" s="962">
        <f>ROUNDUP(H651,1)</f>
        <v>4.8</v>
      </c>
      <c r="I652" s="962" t="s">
        <v>609</v>
      </c>
    </row>
    <row r="653" spans="1:9" ht="144">
      <c r="A653" s="963">
        <f>A649+1</f>
        <v>61</v>
      </c>
      <c r="B653" s="964" t="str">
        <f>[7]building!B918</f>
        <v>Wiring with 1.5 sqmm PVC insulated single core multi strand fire retardant flexible copper cable with ISI mark confirming IS: 694:1990 for 5 amps 5 pin  plug socket point @ Switch Board Itself.(Open wiring)</v>
      </c>
      <c r="C653" s="963"/>
      <c r="D653" s="963"/>
      <c r="E653" s="965"/>
      <c r="F653" s="965"/>
      <c r="G653" s="965"/>
      <c r="H653" s="965"/>
      <c r="I653" s="962"/>
    </row>
    <row r="654" spans="1:9" ht="21" customHeight="1">
      <c r="A654" s="963"/>
      <c r="B654" s="964" t="s">
        <v>6488</v>
      </c>
      <c r="C654" s="963">
        <v>1</v>
      </c>
      <c r="D654" s="963">
        <v>5</v>
      </c>
      <c r="E654" s="965" t="s">
        <v>1586</v>
      </c>
      <c r="F654" s="965" t="s">
        <v>1586</v>
      </c>
      <c r="G654" s="965" t="s">
        <v>1586</v>
      </c>
      <c r="H654" s="965">
        <f t="shared" ref="H654" si="43">PRODUCT(C654:G654)</f>
        <v>5</v>
      </c>
      <c r="I654" s="962"/>
    </row>
    <row r="655" spans="1:9" ht="21" customHeight="1">
      <c r="A655" s="963"/>
      <c r="B655" s="964"/>
      <c r="C655" s="1038"/>
      <c r="D655" s="1038"/>
      <c r="E655" s="1038"/>
      <c r="F655" s="1038"/>
      <c r="G655" s="962" t="s">
        <v>2245</v>
      </c>
      <c r="H655" s="962">
        <f>SUM(H654:H654)</f>
        <v>5</v>
      </c>
      <c r="I655" s="962"/>
    </row>
    <row r="656" spans="1:9" ht="21" customHeight="1">
      <c r="A656" s="963"/>
      <c r="B656" s="964"/>
      <c r="C656" s="963"/>
      <c r="D656" s="963"/>
      <c r="E656" s="965"/>
      <c r="F656" s="965"/>
      <c r="G656" s="962" t="s">
        <v>4224</v>
      </c>
      <c r="H656" s="962">
        <f>ROUNDUP(H655,1)</f>
        <v>5</v>
      </c>
      <c r="I656" s="962" t="s">
        <v>1716</v>
      </c>
    </row>
    <row r="657" spans="1:9" ht="72">
      <c r="A657" s="963">
        <f>A653+1</f>
        <v>62</v>
      </c>
      <c r="B657" s="964" t="s">
        <v>6485</v>
      </c>
      <c r="C657" s="963"/>
      <c r="D657" s="963"/>
      <c r="E657" s="965"/>
      <c r="F657" s="965"/>
      <c r="G657" s="965"/>
      <c r="H657" s="965"/>
      <c r="I657" s="962"/>
    </row>
    <row r="658" spans="1:9" ht="21" customHeight="1">
      <c r="A658" s="963"/>
      <c r="B658" s="964" t="s">
        <v>6474</v>
      </c>
      <c r="C658" s="963">
        <v>1</v>
      </c>
      <c r="D658" s="963">
        <v>1</v>
      </c>
      <c r="E658" s="965">
        <v>10.199999999999999</v>
      </c>
      <c r="F658" s="965">
        <v>0.9</v>
      </c>
      <c r="G658" s="965" t="s">
        <v>1586</v>
      </c>
      <c r="H658" s="965">
        <f t="shared" ref="H658" si="44">PRODUCT(C658:G658)</f>
        <v>9.18</v>
      </c>
      <c r="I658" s="962"/>
    </row>
    <row r="659" spans="1:9" ht="21" customHeight="1">
      <c r="A659" s="963"/>
      <c r="B659" s="966" t="s">
        <v>6364</v>
      </c>
      <c r="C659" s="963"/>
      <c r="D659" s="963"/>
      <c r="E659" s="965"/>
      <c r="F659" s="965"/>
      <c r="G659" s="965"/>
      <c r="H659" s="965"/>
      <c r="I659" s="962"/>
    </row>
    <row r="660" spans="1:9" ht="21" customHeight="1">
      <c r="A660" s="963"/>
      <c r="B660" s="964" t="s">
        <v>6477</v>
      </c>
      <c r="C660" s="963">
        <v>-1</v>
      </c>
      <c r="D660" s="963">
        <v>1</v>
      </c>
      <c r="E660" s="965">
        <v>0.75</v>
      </c>
      <c r="F660" s="965">
        <v>0.9</v>
      </c>
      <c r="G660" s="965" t="s">
        <v>1586</v>
      </c>
      <c r="H660" s="965">
        <f>PRODUCT(C660:G660)</f>
        <v>-0.68</v>
      </c>
      <c r="I660" s="962"/>
    </row>
    <row r="661" spans="1:9" ht="21" customHeight="1">
      <c r="A661" s="963"/>
      <c r="B661" s="964"/>
      <c r="C661" s="1038"/>
      <c r="D661" s="1038"/>
      <c r="E661" s="1038"/>
      <c r="F661" s="1038"/>
      <c r="G661" s="962" t="s">
        <v>2245</v>
      </c>
      <c r="H661" s="962">
        <f>SUM(H658:H660)</f>
        <v>8.5</v>
      </c>
      <c r="I661" s="962"/>
    </row>
    <row r="662" spans="1:9" ht="21" customHeight="1">
      <c r="A662" s="963"/>
      <c r="B662" s="964"/>
      <c r="C662" s="963"/>
      <c r="D662" s="963"/>
      <c r="E662" s="965"/>
      <c r="F662" s="965"/>
      <c r="G662" s="962" t="s">
        <v>4224</v>
      </c>
      <c r="H662" s="962">
        <f>ROUNDUP(H661,1)</f>
        <v>8.5</v>
      </c>
      <c r="I662" s="962" t="s">
        <v>609</v>
      </c>
    </row>
    <row r="663" spans="1:9" ht="36.75" customHeight="1">
      <c r="A663" s="963">
        <f>A657+1</f>
        <v>63</v>
      </c>
      <c r="B663" s="964" t="str">
        <f>[7]building!B1480</f>
        <v>Supplying and delivery of Three phase ELCB/RCCB</v>
      </c>
      <c r="C663" s="963"/>
      <c r="D663" s="963"/>
      <c r="E663" s="965"/>
      <c r="F663" s="965"/>
      <c r="G663" s="965"/>
      <c r="H663" s="965"/>
      <c r="I663" s="962"/>
    </row>
    <row r="664" spans="1:9" ht="21" customHeight="1">
      <c r="A664" s="963"/>
      <c r="B664" s="964" t="s">
        <v>6488</v>
      </c>
      <c r="C664" s="963">
        <v>1</v>
      </c>
      <c r="D664" s="963">
        <v>1</v>
      </c>
      <c r="E664" s="965" t="s">
        <v>1586</v>
      </c>
      <c r="F664" s="965" t="s">
        <v>1586</v>
      </c>
      <c r="G664" s="965" t="s">
        <v>1586</v>
      </c>
      <c r="H664" s="965">
        <f t="shared" ref="H664" si="45">PRODUCT(C664:G664)</f>
        <v>1</v>
      </c>
      <c r="I664" s="962"/>
    </row>
    <row r="665" spans="1:9" ht="21" customHeight="1">
      <c r="A665" s="963"/>
      <c r="B665" s="964"/>
      <c r="C665" s="1038"/>
      <c r="D665" s="1038"/>
      <c r="E665" s="1038"/>
      <c r="F665" s="1038"/>
      <c r="G665" s="962" t="s">
        <v>2245</v>
      </c>
      <c r="H665" s="962">
        <f>SUM(H664:H664)</f>
        <v>1</v>
      </c>
      <c r="I665" s="962"/>
    </row>
    <row r="666" spans="1:9" ht="21" customHeight="1">
      <c r="A666" s="963"/>
      <c r="B666" s="964"/>
      <c r="C666" s="963"/>
      <c r="D666" s="963"/>
      <c r="E666" s="965"/>
      <c r="F666" s="965"/>
      <c r="G666" s="962" t="s">
        <v>4224</v>
      </c>
      <c r="H666" s="962">
        <f>ROUNDUP(H665,1)</f>
        <v>1</v>
      </c>
      <c r="I666" s="962" t="s">
        <v>1716</v>
      </c>
    </row>
    <row r="667" spans="1:9" ht="126.75" customHeight="1">
      <c r="A667" s="963">
        <f>A663+1</f>
        <v>64</v>
      </c>
      <c r="B667" s="964" t="s">
        <v>6562</v>
      </c>
      <c r="C667" s="963"/>
      <c r="D667" s="963"/>
      <c r="E667" s="965"/>
      <c r="F667" s="965"/>
      <c r="G667" s="965"/>
      <c r="H667" s="965"/>
      <c r="I667" s="962"/>
    </row>
    <row r="668" spans="1:9" ht="21" customHeight="1">
      <c r="A668" s="963"/>
      <c r="B668" s="964" t="s">
        <v>6356</v>
      </c>
      <c r="C668" s="963">
        <v>1</v>
      </c>
      <c r="D668" s="963">
        <v>3</v>
      </c>
      <c r="E668" s="965" t="s">
        <v>1586</v>
      </c>
      <c r="F668" s="965" t="s">
        <v>1586</v>
      </c>
      <c r="G668" s="965" t="s">
        <v>1586</v>
      </c>
      <c r="H668" s="965">
        <f t="shared" ref="H668" si="46">PRODUCT(C668:G668)</f>
        <v>3</v>
      </c>
      <c r="I668" s="962"/>
    </row>
    <row r="669" spans="1:9" ht="21" customHeight="1">
      <c r="A669" s="963"/>
      <c r="B669" s="964"/>
      <c r="C669" s="1038"/>
      <c r="D669" s="1038"/>
      <c r="E669" s="1038"/>
      <c r="F669" s="1038"/>
      <c r="G669" s="962" t="s">
        <v>2245</v>
      </c>
      <c r="H669" s="962">
        <f>SUM(H668:H668)</f>
        <v>3</v>
      </c>
      <c r="I669" s="962"/>
    </row>
    <row r="670" spans="1:9" ht="21" customHeight="1">
      <c r="A670" s="963"/>
      <c r="B670" s="964"/>
      <c r="C670" s="963"/>
      <c r="D670" s="963"/>
      <c r="E670" s="965"/>
      <c r="F670" s="965"/>
      <c r="G670" s="962" t="s">
        <v>4224</v>
      </c>
      <c r="H670" s="962">
        <f>ROUNDUP(H669,1)</f>
        <v>3</v>
      </c>
      <c r="I670" s="962" t="s">
        <v>1716</v>
      </c>
    </row>
  </sheetData>
  <mergeCells count="11">
    <mergeCell ref="C561:F561"/>
    <mergeCell ref="A1:I1"/>
    <mergeCell ref="A2:I2"/>
    <mergeCell ref="A3:I3"/>
    <mergeCell ref="A4:I4"/>
    <mergeCell ref="A5:A6"/>
    <mergeCell ref="B5:B6"/>
    <mergeCell ref="C5:D6"/>
    <mergeCell ref="E5:G5"/>
    <mergeCell ref="H5:H6"/>
    <mergeCell ref="I5:I6"/>
  </mergeCells>
  <printOptions horizontalCentered="1"/>
  <pageMargins left="0.7" right="0.7" top="0.75" bottom="0.75" header="0.3" footer="0.3"/>
  <pageSetup paperSize="9" scale="78"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C2095" transitionEvaluation="1">
    <tabColor rgb="FF00B050"/>
  </sheetPr>
  <dimension ref="A1:IS8558"/>
  <sheetViews>
    <sheetView view="pageBreakPreview" topLeftCell="C2095" zoomScale="98" zoomScaleNormal="75" zoomScaleSheetLayoutView="98" workbookViewId="0">
      <selection activeCell="H3355" sqref="H3355"/>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hidden="1" customWidth="1"/>
    <col min="28" max="28" width="15.5546875" style="252" hidden="1"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7.44140625" style="252"/>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6091</v>
      </c>
      <c r="E1" s="296" t="s">
        <v>975</v>
      </c>
      <c r="H1" s="276" t="s">
        <v>248</v>
      </c>
      <c r="O1" s="296" t="s">
        <v>248</v>
      </c>
      <c r="T1" s="253"/>
      <c r="U1" s="357" t="s">
        <v>2054</v>
      </c>
      <c r="V1" s="357"/>
      <c r="W1" s="253" t="s">
        <v>975</v>
      </c>
      <c r="X1" s="253"/>
      <c r="Y1" s="253"/>
      <c r="Z1" s="253"/>
      <c r="AA1" s="253"/>
      <c r="AB1" s="253"/>
      <c r="AC1" s="253"/>
      <c r="AD1" s="253"/>
      <c r="AE1" s="253"/>
    </row>
    <row r="2" spans="1:37" ht="24" customHeight="1">
      <c r="B2" s="358" t="s">
        <v>2055</v>
      </c>
      <c r="E2" s="296" t="s">
        <v>975</v>
      </c>
      <c r="H2" s="253" t="s">
        <v>652</v>
      </c>
      <c r="O2" s="253" t="s">
        <v>652</v>
      </c>
      <c r="U2" s="1086" t="s">
        <v>327</v>
      </c>
      <c r="V2" s="1085"/>
      <c r="W2" s="1085"/>
      <c r="X2" s="1085"/>
    </row>
    <row r="3" spans="1:37" ht="24" customHeight="1">
      <c r="A3" s="296" t="s">
        <v>1585</v>
      </c>
      <c r="B3" s="359" t="s">
        <v>6493</v>
      </c>
      <c r="C3" s="296" t="s">
        <v>6561</v>
      </c>
      <c r="E3" s="296" t="s">
        <v>975</v>
      </c>
      <c r="F3" s="360" t="s">
        <v>1585</v>
      </c>
      <c r="G3" s="252" t="s">
        <v>975</v>
      </c>
      <c r="H3" s="274" t="str">
        <f>B3</f>
        <v>PECHIPARAI</v>
      </c>
      <c r="J3" s="276" t="str">
        <f>C3</f>
        <v>2023-24</v>
      </c>
      <c r="M3" s="296" t="s">
        <v>1585</v>
      </c>
      <c r="N3" s="296" t="s">
        <v>975</v>
      </c>
      <c r="O3" s="252" t="str">
        <f>B3</f>
        <v>PECHIPARAI</v>
      </c>
      <c r="Q3" s="252" t="str">
        <f>C3</f>
        <v>2023-24</v>
      </c>
      <c r="T3" s="523" t="s">
        <v>1585</v>
      </c>
      <c r="U3" s="461" t="str">
        <f>O3</f>
        <v>PECHIPARAI</v>
      </c>
      <c r="V3" s="522"/>
      <c r="W3" s="479" t="str">
        <f>C3</f>
        <v>2023-24</v>
      </c>
      <c r="X3" s="522"/>
      <c r="Y3" s="522"/>
      <c r="Z3" s="522"/>
      <c r="AA3" s="523"/>
      <c r="AB3" s="522"/>
      <c r="AC3" s="522"/>
      <c r="AD3" s="522"/>
      <c r="AE3" s="522"/>
    </row>
    <row r="4" spans="1:37"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523"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524"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530" t="s">
        <v>55</v>
      </c>
      <c r="V6" s="530" t="s">
        <v>2243</v>
      </c>
      <c r="W6" s="530" t="s">
        <v>2244</v>
      </c>
      <c r="X6" s="530" t="s">
        <v>2245</v>
      </c>
      <c r="Y6" s="530" t="s">
        <v>2246</v>
      </c>
      <c r="Z6" s="530" t="s">
        <v>2247</v>
      </c>
      <c r="AA6" s="1022"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522"/>
      <c r="V7" s="522"/>
      <c r="W7" s="530"/>
      <c r="X7" s="530" t="s">
        <v>2254</v>
      </c>
      <c r="Y7" s="530" t="s">
        <v>2249</v>
      </c>
      <c r="Z7" s="530" t="s">
        <v>2255</v>
      </c>
      <c r="AA7" s="1022" t="s">
        <v>976</v>
      </c>
      <c r="AB7" s="523" t="s">
        <v>2256</v>
      </c>
      <c r="AC7" s="523" t="s">
        <v>2257</v>
      </c>
      <c r="AD7" s="522"/>
      <c r="AE7" s="1023"/>
    </row>
    <row r="8" spans="1:37" ht="24" customHeight="1">
      <c r="B8" s="296" t="s">
        <v>2258</v>
      </c>
      <c r="H8" s="358" t="s">
        <v>1586</v>
      </c>
      <c r="O8" s="358" t="s">
        <v>1586</v>
      </c>
      <c r="T8" s="524" t="s">
        <v>1586</v>
      </c>
      <c r="U8" s="524" t="s">
        <v>1586</v>
      </c>
      <c r="V8" s="524" t="s">
        <v>1586</v>
      </c>
      <c r="W8" s="524" t="s">
        <v>1586</v>
      </c>
      <c r="X8" s="524" t="s">
        <v>1586</v>
      </c>
      <c r="Y8" s="524" t="s">
        <v>1586</v>
      </c>
      <c r="Z8" s="524" t="s">
        <v>1586</v>
      </c>
      <c r="AA8" s="1024" t="s">
        <v>1083</v>
      </c>
      <c r="AB8" s="524" t="s">
        <v>1586</v>
      </c>
      <c r="AC8" s="524" t="s">
        <v>1586</v>
      </c>
      <c r="AD8" s="524" t="s">
        <v>1586</v>
      </c>
      <c r="AE8" s="524" t="s">
        <v>1586</v>
      </c>
      <c r="AG8" s="361" t="s">
        <v>5981</v>
      </c>
      <c r="AH8" s="361" t="s">
        <v>922</v>
      </c>
      <c r="AI8" s="361" t="s">
        <v>923</v>
      </c>
      <c r="AJ8" s="361" t="s">
        <v>924</v>
      </c>
      <c r="AK8" s="361" t="s">
        <v>1853</v>
      </c>
    </row>
    <row r="9" spans="1:37"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523" t="s">
        <v>5814</v>
      </c>
      <c r="V9" s="523" t="s">
        <v>866</v>
      </c>
      <c r="W9" s="530" t="s">
        <v>6494</v>
      </c>
      <c r="X9" s="522">
        <f>'lead  charge'!D12</f>
        <v>18</v>
      </c>
      <c r="Y9" s="608">
        <v>449.4</v>
      </c>
      <c r="Z9" s="1025">
        <f>'lead  charge'!E12</f>
        <v>196.18</v>
      </c>
      <c r="AA9" s="530"/>
      <c r="AB9" s="523">
        <v>0</v>
      </c>
      <c r="AC9" s="523">
        <f>SUM(Y9+Z9+AA9+AB9)</f>
        <v>645.58000000000004</v>
      </c>
      <c r="AD9" s="523" t="s">
        <v>6028</v>
      </c>
      <c r="AE9" s="522">
        <f>AF9</f>
        <v>999</v>
      </c>
      <c r="AF9" s="362">
        <v>999</v>
      </c>
      <c r="AG9" s="252">
        <f>AF9*1.1</f>
        <v>1098.9000000000001</v>
      </c>
      <c r="AH9" s="252">
        <f>AF9*1.2</f>
        <v>1198.8</v>
      </c>
      <c r="AI9" s="252">
        <f>AF9*1.5</f>
        <v>1498.5</v>
      </c>
      <c r="AJ9" s="252">
        <f>AF9*1.05</f>
        <v>1048.95</v>
      </c>
      <c r="AK9" s="252">
        <f>AF9*1.25</f>
        <v>1248.75</v>
      </c>
    </row>
    <row r="10" spans="1:37" ht="24" customHeight="1">
      <c r="A10" s="363">
        <v>1</v>
      </c>
      <c r="B10" s="296" t="s">
        <v>867</v>
      </c>
      <c r="C10" s="364">
        <f>AE9</f>
        <v>999</v>
      </c>
      <c r="D10" s="365" t="s">
        <v>868</v>
      </c>
      <c r="F10" s="252">
        <v>1</v>
      </c>
      <c r="G10" s="252" t="s">
        <v>869</v>
      </c>
      <c r="H10" s="296" t="s">
        <v>870</v>
      </c>
      <c r="I10" s="252">
        <f>(C78)</f>
        <v>1464.46</v>
      </c>
      <c r="J10" s="296" t="s">
        <v>869</v>
      </c>
      <c r="K10" s="252">
        <f>(F10*I10)</f>
        <v>1464.46</v>
      </c>
      <c r="M10" s="252">
        <v>1</v>
      </c>
      <c r="N10" s="296" t="s">
        <v>869</v>
      </c>
      <c r="O10" s="296" t="s">
        <v>870</v>
      </c>
      <c r="P10" s="252">
        <f>(C78)</f>
        <v>1464.46</v>
      </c>
      <c r="Q10" s="296" t="s">
        <v>869</v>
      </c>
      <c r="R10" s="252">
        <f>(M10*P10)</f>
        <v>1464.46</v>
      </c>
      <c r="T10" s="530" t="s">
        <v>871</v>
      </c>
      <c r="U10" s="523" t="s">
        <v>5815</v>
      </c>
      <c r="V10" s="523" t="s">
        <v>866</v>
      </c>
      <c r="W10" s="530" t="str">
        <f t="shared" ref="W10:W15" si="0">W9</f>
        <v>Andoor</v>
      </c>
      <c r="X10" s="522">
        <f>'lead  charge'!D12</f>
        <v>18</v>
      </c>
      <c r="Y10" s="608">
        <v>648.4</v>
      </c>
      <c r="Z10" s="1025">
        <f>Z9</f>
        <v>196.18</v>
      </c>
      <c r="AA10" s="530"/>
      <c r="AB10" s="523">
        <v>0</v>
      </c>
      <c r="AC10" s="523">
        <f t="shared" ref="AC10:AC36" si="1">SUM(Y10+Z10+AA10+AB10)</f>
        <v>844.58</v>
      </c>
      <c r="AD10" s="523" t="s">
        <v>6029</v>
      </c>
      <c r="AE10" s="522">
        <f t="shared" ref="AE10:AE73" si="2">AF10</f>
        <v>932</v>
      </c>
      <c r="AF10" s="362">
        <v>932</v>
      </c>
      <c r="AG10" s="252">
        <f t="shared" ref="AG10:AG73" si="3">AF10*1.1</f>
        <v>1025.2</v>
      </c>
      <c r="AH10" s="252">
        <f t="shared" ref="AH10:AH73" si="4">AF10*1.2</f>
        <v>1118.4000000000001</v>
      </c>
      <c r="AI10" s="252">
        <f t="shared" ref="AI10:AI73" si="5">AF10*1.5</f>
        <v>1398</v>
      </c>
      <c r="AJ10" s="252">
        <f t="shared" ref="AJ10:AJ73" si="6">AF10*1.05</f>
        <v>978.6</v>
      </c>
      <c r="AK10" s="252">
        <f t="shared" ref="AK10:AK73" si="7">AF10*1.25</f>
        <v>1165</v>
      </c>
    </row>
    <row r="11" spans="1:37" ht="24" customHeight="1">
      <c r="A11" s="363">
        <f t="shared" ref="A11:A35" si="8">(A10+1)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523" t="s">
        <v>5816</v>
      </c>
      <c r="V11" s="523" t="s">
        <v>866</v>
      </c>
      <c r="W11" s="530" t="str">
        <f t="shared" si="0"/>
        <v>Andoor</v>
      </c>
      <c r="X11" s="522">
        <f>'lead  charge'!D10:D10</f>
        <v>18</v>
      </c>
      <c r="Y11" s="608">
        <v>773.67</v>
      </c>
      <c r="Z11" s="1025">
        <f>'lead  charge'!E10</f>
        <v>196.18</v>
      </c>
      <c r="AA11" s="530"/>
      <c r="AB11" s="523">
        <v>0</v>
      </c>
      <c r="AC11" s="523">
        <f t="shared" si="1"/>
        <v>969.85</v>
      </c>
      <c r="AD11" s="523" t="s">
        <v>6032</v>
      </c>
      <c r="AE11" s="522">
        <f t="shared" si="2"/>
        <v>651</v>
      </c>
      <c r="AF11" s="362">
        <v>651</v>
      </c>
      <c r="AG11" s="252">
        <f t="shared" si="3"/>
        <v>716.1</v>
      </c>
      <c r="AH11" s="252">
        <f t="shared" si="4"/>
        <v>781.2</v>
      </c>
      <c r="AI11" s="252">
        <f t="shared" si="5"/>
        <v>976.5</v>
      </c>
      <c r="AJ11" s="252">
        <f t="shared" si="6"/>
        <v>683.55</v>
      </c>
      <c r="AK11" s="252">
        <f t="shared" si="7"/>
        <v>813.75</v>
      </c>
    </row>
    <row r="12" spans="1:37" ht="24" customHeight="1">
      <c r="A12" s="363">
        <f t="shared" si="8"/>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523" t="s">
        <v>1509</v>
      </c>
      <c r="V12" s="523" t="s">
        <v>866</v>
      </c>
      <c r="W12" s="530" t="str">
        <f t="shared" si="0"/>
        <v>Andoor</v>
      </c>
      <c r="X12" s="522">
        <f>X11</f>
        <v>18</v>
      </c>
      <c r="Y12" s="608">
        <v>1016</v>
      </c>
      <c r="Z12" s="1025">
        <f>Z11</f>
        <v>196.18</v>
      </c>
      <c r="AA12" s="530"/>
      <c r="AB12" s="523">
        <v>0</v>
      </c>
      <c r="AC12" s="523">
        <f t="shared" si="1"/>
        <v>1212.18</v>
      </c>
      <c r="AD12" s="523" t="s">
        <v>6033</v>
      </c>
      <c r="AE12" s="522">
        <f t="shared" si="2"/>
        <v>534</v>
      </c>
      <c r="AF12" s="362">
        <v>534</v>
      </c>
      <c r="AG12" s="252">
        <f t="shared" si="3"/>
        <v>587.4</v>
      </c>
      <c r="AH12" s="252">
        <f t="shared" si="4"/>
        <v>640.79999999999995</v>
      </c>
      <c r="AI12" s="252">
        <f t="shared" si="5"/>
        <v>801</v>
      </c>
      <c r="AJ12" s="252">
        <f t="shared" si="6"/>
        <v>560.70000000000005</v>
      </c>
      <c r="AK12" s="252">
        <f t="shared" si="7"/>
        <v>667.5</v>
      </c>
    </row>
    <row r="13" spans="1:37" ht="24" customHeight="1">
      <c r="A13" s="363">
        <f t="shared" si="8"/>
        <v>4</v>
      </c>
      <c r="B13" s="296" t="s">
        <v>1511</v>
      </c>
      <c r="C13" s="364">
        <f>AE12</f>
        <v>534</v>
      </c>
      <c r="D13" s="365" t="s">
        <v>868</v>
      </c>
      <c r="K13" s="358" t="s">
        <v>1586</v>
      </c>
      <c r="R13" s="358" t="s">
        <v>1586</v>
      </c>
      <c r="T13" s="530" t="s">
        <v>1512</v>
      </c>
      <c r="U13" s="523" t="s">
        <v>1513</v>
      </c>
      <c r="V13" s="523" t="s">
        <v>866</v>
      </c>
      <c r="W13" s="530" t="str">
        <f t="shared" si="0"/>
        <v>Andoor</v>
      </c>
      <c r="X13" s="522">
        <f>X11</f>
        <v>18</v>
      </c>
      <c r="Y13" s="608">
        <v>1382</v>
      </c>
      <c r="Z13" s="1025">
        <f>Z12</f>
        <v>196.18</v>
      </c>
      <c r="AA13" s="530"/>
      <c r="AB13" s="523">
        <v>0</v>
      </c>
      <c r="AC13" s="523">
        <f t="shared" si="1"/>
        <v>1578.18</v>
      </c>
      <c r="AD13" s="523" t="s">
        <v>6030</v>
      </c>
      <c r="AE13" s="522">
        <f t="shared" si="2"/>
        <v>797</v>
      </c>
      <c r="AF13" s="362">
        <v>797</v>
      </c>
      <c r="AG13" s="252">
        <f t="shared" si="3"/>
        <v>876.7</v>
      </c>
      <c r="AH13" s="252">
        <f t="shared" si="4"/>
        <v>956.4</v>
      </c>
      <c r="AI13" s="252">
        <f t="shared" si="5"/>
        <v>1195.5</v>
      </c>
      <c r="AJ13" s="252">
        <f t="shared" si="6"/>
        <v>836.85</v>
      </c>
      <c r="AK13" s="252">
        <f t="shared" si="7"/>
        <v>996.25</v>
      </c>
    </row>
    <row r="14" spans="1:37" ht="24" customHeight="1">
      <c r="A14" s="363">
        <f t="shared" si="8"/>
        <v>5</v>
      </c>
      <c r="B14" s="296" t="s">
        <v>1515</v>
      </c>
      <c r="C14" s="364">
        <f>AE13</f>
        <v>797</v>
      </c>
      <c r="D14" s="364">
        <f>AE14</f>
        <v>772</v>
      </c>
      <c r="H14" s="296" t="s">
        <v>1516</v>
      </c>
      <c r="K14" s="274">
        <f>SUM(K9:K12)</f>
        <v>7378.86</v>
      </c>
      <c r="N14" s="252">
        <f>SUM(K9:K12)</f>
        <v>7378.86</v>
      </c>
      <c r="O14" s="296" t="s">
        <v>1516</v>
      </c>
      <c r="R14" s="252">
        <f>SUM(R9:R12)</f>
        <v>2241.56</v>
      </c>
      <c r="T14" s="530" t="s">
        <v>2008</v>
      </c>
      <c r="U14" s="523" t="s">
        <v>112</v>
      </c>
      <c r="V14" s="523" t="s">
        <v>866</v>
      </c>
      <c r="W14" s="530" t="str">
        <f t="shared" si="0"/>
        <v>Andoor</v>
      </c>
      <c r="X14" s="522">
        <f>X11</f>
        <v>18</v>
      </c>
      <c r="Y14" s="608">
        <v>1489</v>
      </c>
      <c r="Z14" s="1025">
        <f>Z13</f>
        <v>196.18</v>
      </c>
      <c r="AA14" s="530"/>
      <c r="AB14" s="523">
        <v>0</v>
      </c>
      <c r="AC14" s="523">
        <f t="shared" si="1"/>
        <v>1685.18</v>
      </c>
      <c r="AD14" s="523" t="s">
        <v>6034</v>
      </c>
      <c r="AE14" s="522">
        <f t="shared" si="2"/>
        <v>772</v>
      </c>
      <c r="AF14" s="362">
        <v>772</v>
      </c>
      <c r="AG14" s="252">
        <f t="shared" si="3"/>
        <v>849.2</v>
      </c>
      <c r="AH14" s="252">
        <f t="shared" si="4"/>
        <v>926.4</v>
      </c>
      <c r="AI14" s="252">
        <f t="shared" si="5"/>
        <v>1158</v>
      </c>
      <c r="AJ14" s="252">
        <f t="shared" si="6"/>
        <v>810.6</v>
      </c>
      <c r="AK14" s="252">
        <f t="shared" si="7"/>
        <v>965</v>
      </c>
    </row>
    <row r="15" spans="1:37" ht="24" customHeight="1">
      <c r="A15" s="363">
        <f t="shared" si="8"/>
        <v>6</v>
      </c>
      <c r="B15" s="296" t="s">
        <v>114</v>
      </c>
      <c r="C15" s="364">
        <f>AE15</f>
        <v>866</v>
      </c>
      <c r="D15" s="365" t="s">
        <v>868</v>
      </c>
      <c r="K15" s="358" t="s">
        <v>1586</v>
      </c>
      <c r="R15" s="358" t="s">
        <v>1586</v>
      </c>
      <c r="T15" s="530" t="s">
        <v>115</v>
      </c>
      <c r="U15" s="523" t="s">
        <v>116</v>
      </c>
      <c r="V15" s="523" t="s">
        <v>866</v>
      </c>
      <c r="W15" s="530" t="str">
        <f t="shared" si="0"/>
        <v>Andoor</v>
      </c>
      <c r="X15" s="522">
        <f>X11</f>
        <v>18</v>
      </c>
      <c r="Y15" s="608">
        <v>1069.8</v>
      </c>
      <c r="Z15" s="1025">
        <f>Z14</f>
        <v>196.18</v>
      </c>
      <c r="AA15" s="530"/>
      <c r="AB15" s="523">
        <v>0</v>
      </c>
      <c r="AC15" s="523">
        <f t="shared" si="1"/>
        <v>1265.98</v>
      </c>
      <c r="AD15" s="523" t="s">
        <v>6031</v>
      </c>
      <c r="AE15" s="522">
        <f t="shared" si="2"/>
        <v>866</v>
      </c>
      <c r="AF15" s="362">
        <v>866</v>
      </c>
      <c r="AG15" s="252">
        <f t="shared" si="3"/>
        <v>952.6</v>
      </c>
      <c r="AH15" s="252">
        <f t="shared" si="4"/>
        <v>1039.2</v>
      </c>
      <c r="AI15" s="252">
        <f t="shared" si="5"/>
        <v>1299</v>
      </c>
      <c r="AJ15" s="252">
        <f t="shared" si="6"/>
        <v>909.3</v>
      </c>
      <c r="AK15" s="252">
        <f t="shared" si="7"/>
        <v>1082.5</v>
      </c>
    </row>
    <row r="16" spans="1:37" ht="24" customHeight="1">
      <c r="A16" s="363">
        <f t="shared" si="8"/>
        <v>7</v>
      </c>
      <c r="B16" s="296" t="s">
        <v>118</v>
      </c>
      <c r="C16" s="364">
        <f>AE19</f>
        <v>976</v>
      </c>
      <c r="D16" s="364">
        <f>AE20</f>
        <v>932</v>
      </c>
      <c r="G16" s="252" t="s">
        <v>2251</v>
      </c>
      <c r="H16" s="296" t="s">
        <v>119</v>
      </c>
      <c r="N16" s="296" t="s">
        <v>2251</v>
      </c>
      <c r="O16" s="296" t="s">
        <v>120</v>
      </c>
      <c r="T16" s="530" t="s">
        <v>121</v>
      </c>
      <c r="U16" s="523" t="s">
        <v>4565</v>
      </c>
      <c r="V16" s="523" t="s">
        <v>866</v>
      </c>
      <c r="W16" s="530" t="s">
        <v>6472</v>
      </c>
      <c r="X16" s="522">
        <f>'lead  charge'!D11</f>
        <v>11</v>
      </c>
      <c r="Y16" s="1026">
        <v>1338</v>
      </c>
      <c r="Z16" s="1025">
        <f>'lead  charge'!E11</f>
        <v>126.46</v>
      </c>
      <c r="AA16" s="530"/>
      <c r="AB16" s="523">
        <v>0</v>
      </c>
      <c r="AC16" s="523">
        <f t="shared" si="1"/>
        <v>1464.46</v>
      </c>
      <c r="AD16" s="523" t="s">
        <v>6035</v>
      </c>
      <c r="AE16" s="522">
        <f t="shared" si="2"/>
        <v>839</v>
      </c>
      <c r="AF16" s="362">
        <v>839</v>
      </c>
      <c r="AG16" s="252">
        <f t="shared" si="3"/>
        <v>922.9</v>
      </c>
      <c r="AH16" s="252">
        <f t="shared" si="4"/>
        <v>1006.8</v>
      </c>
      <c r="AI16" s="252">
        <f t="shared" si="5"/>
        <v>1258.5</v>
      </c>
      <c r="AJ16" s="252">
        <f t="shared" si="6"/>
        <v>880.95</v>
      </c>
      <c r="AK16" s="252">
        <f t="shared" si="7"/>
        <v>1048.75</v>
      </c>
    </row>
    <row r="17" spans="1:37" ht="24" customHeight="1">
      <c r="A17" s="363">
        <f t="shared" si="8"/>
        <v>8</v>
      </c>
      <c r="B17" s="296" t="s">
        <v>4018</v>
      </c>
      <c r="C17" s="364">
        <f>AE17</f>
        <v>881</v>
      </c>
      <c r="D17" s="364">
        <f>AE18</f>
        <v>856</v>
      </c>
      <c r="H17" s="358" t="s">
        <v>1586</v>
      </c>
      <c r="O17" s="296" t="s">
        <v>1032</v>
      </c>
      <c r="T17" s="530" t="s">
        <v>1033</v>
      </c>
      <c r="U17" s="523" t="s">
        <v>5817</v>
      </c>
      <c r="V17" s="523" t="s">
        <v>866</v>
      </c>
      <c r="W17" s="530" t="str">
        <f>W16</f>
        <v>Kattachal</v>
      </c>
      <c r="X17" s="522">
        <f>X16</f>
        <v>11</v>
      </c>
      <c r="Y17" s="1026">
        <f>Y16</f>
        <v>1338</v>
      </c>
      <c r="Z17" s="1025">
        <f>Z16</f>
        <v>126.46</v>
      </c>
      <c r="AA17" s="530"/>
      <c r="AB17" s="523">
        <v>0</v>
      </c>
      <c r="AC17" s="523">
        <f t="shared" si="1"/>
        <v>1464.46</v>
      </c>
      <c r="AD17" s="523" t="s">
        <v>6036</v>
      </c>
      <c r="AE17" s="522">
        <f t="shared" si="2"/>
        <v>881</v>
      </c>
      <c r="AF17" s="362">
        <v>881</v>
      </c>
      <c r="AG17" s="252">
        <f t="shared" si="3"/>
        <v>969.1</v>
      </c>
      <c r="AH17" s="252">
        <f t="shared" si="4"/>
        <v>1057.2</v>
      </c>
      <c r="AI17" s="252">
        <f t="shared" si="5"/>
        <v>1321.5</v>
      </c>
      <c r="AJ17" s="252">
        <f t="shared" si="6"/>
        <v>925.05</v>
      </c>
      <c r="AK17" s="252">
        <f t="shared" si="7"/>
        <v>1101.25</v>
      </c>
    </row>
    <row r="18" spans="1:37" ht="24" customHeight="1">
      <c r="A18" s="363">
        <f t="shared" si="8"/>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523" t="s">
        <v>5818</v>
      </c>
      <c r="V18" s="523" t="s">
        <v>1446</v>
      </c>
      <c r="W18" s="530" t="s">
        <v>6495</v>
      </c>
      <c r="X18" s="522">
        <f>'lead  charge'!G10</f>
        <v>19</v>
      </c>
      <c r="Y18" s="608">
        <v>5709</v>
      </c>
      <c r="Z18" s="1025">
        <f>'lead  charge'!H10</f>
        <v>173.89</v>
      </c>
      <c r="AA18" s="530"/>
      <c r="AB18" s="523">
        <v>0</v>
      </c>
      <c r="AC18" s="523">
        <f t="shared" si="1"/>
        <v>5882.89</v>
      </c>
      <c r="AD18" s="523" t="s">
        <v>6037</v>
      </c>
      <c r="AE18" s="522">
        <f t="shared" si="2"/>
        <v>856</v>
      </c>
      <c r="AF18" s="362">
        <v>856</v>
      </c>
      <c r="AG18" s="252">
        <f t="shared" si="3"/>
        <v>941.6</v>
      </c>
      <c r="AH18" s="252">
        <f t="shared" si="4"/>
        <v>1027.2</v>
      </c>
      <c r="AI18" s="252">
        <f t="shared" si="5"/>
        <v>1284</v>
      </c>
      <c r="AJ18" s="252">
        <f t="shared" si="6"/>
        <v>898.8</v>
      </c>
      <c r="AK18" s="252">
        <f t="shared" si="7"/>
        <v>1070</v>
      </c>
    </row>
    <row r="19" spans="1:37" ht="24" customHeight="1">
      <c r="A19" s="363">
        <f t="shared" si="8"/>
        <v>10</v>
      </c>
      <c r="B19" s="296" t="s">
        <v>4573</v>
      </c>
      <c r="C19" s="252">
        <f t="shared" ref="C19:C24" si="9">AE41</f>
        <v>78.900000000000006</v>
      </c>
      <c r="D19" s="365" t="s">
        <v>869</v>
      </c>
      <c r="F19" s="252">
        <v>1</v>
      </c>
      <c r="G19" s="252" t="s">
        <v>869</v>
      </c>
      <c r="H19" s="296" t="s">
        <v>870</v>
      </c>
      <c r="I19" s="252">
        <f>I36</f>
        <v>1464.46</v>
      </c>
      <c r="J19" s="296" t="s">
        <v>869</v>
      </c>
      <c r="K19" s="252">
        <f>(F19*I19)</f>
        <v>1464.46</v>
      </c>
      <c r="O19" s="296" t="s">
        <v>71</v>
      </c>
      <c r="T19" s="530" t="s">
        <v>72</v>
      </c>
      <c r="U19" s="523" t="s">
        <v>5819</v>
      </c>
      <c r="V19" s="523" t="s">
        <v>869</v>
      </c>
      <c r="W19" s="530" t="str">
        <f>W18</f>
        <v>Themanoor</v>
      </c>
      <c r="X19" s="522">
        <f>'lead  charge'!P10</f>
        <v>19</v>
      </c>
      <c r="Y19" s="608">
        <v>705</v>
      </c>
      <c r="Z19" s="1025">
        <f>'lead  charge'!Q10</f>
        <v>141.46</v>
      </c>
      <c r="AA19" s="530"/>
      <c r="AB19" s="523">
        <v>0</v>
      </c>
      <c r="AC19" s="523">
        <f t="shared" si="1"/>
        <v>846.46</v>
      </c>
      <c r="AD19" s="523" t="s">
        <v>6038</v>
      </c>
      <c r="AE19" s="522">
        <f t="shared" si="2"/>
        <v>976</v>
      </c>
      <c r="AF19" s="362">
        <v>976</v>
      </c>
      <c r="AG19" s="252">
        <f t="shared" si="3"/>
        <v>1073.5999999999999</v>
      </c>
      <c r="AH19" s="252">
        <f t="shared" si="4"/>
        <v>1171.2</v>
      </c>
      <c r="AI19" s="252">
        <f t="shared" si="5"/>
        <v>1464</v>
      </c>
      <c r="AJ19" s="252">
        <f t="shared" si="6"/>
        <v>1024.8</v>
      </c>
      <c r="AK19" s="252">
        <f t="shared" si="7"/>
        <v>1220</v>
      </c>
    </row>
    <row r="20" spans="1:37" ht="24" customHeight="1">
      <c r="A20" s="363">
        <f t="shared" si="8"/>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523" t="s">
        <v>1972</v>
      </c>
      <c r="V20" s="523" t="s">
        <v>869</v>
      </c>
      <c r="W20" s="530" t="str">
        <f>W18</f>
        <v>Themanoor</v>
      </c>
      <c r="X20" s="522">
        <f>X19</f>
        <v>19</v>
      </c>
      <c r="Y20" s="608">
        <v>786</v>
      </c>
      <c r="Z20" s="1025">
        <f>Z19</f>
        <v>141.46</v>
      </c>
      <c r="AA20" s="530"/>
      <c r="AB20" s="523">
        <v>0</v>
      </c>
      <c r="AC20" s="523">
        <f t="shared" si="1"/>
        <v>927.46</v>
      </c>
      <c r="AD20" s="523" t="s">
        <v>6039</v>
      </c>
      <c r="AE20" s="522">
        <f t="shared" si="2"/>
        <v>932</v>
      </c>
      <c r="AF20" s="362">
        <v>932</v>
      </c>
      <c r="AG20" s="252">
        <f t="shared" si="3"/>
        <v>1025.2</v>
      </c>
      <c r="AH20" s="252">
        <f t="shared" si="4"/>
        <v>1118.4000000000001</v>
      </c>
      <c r="AI20" s="252">
        <f t="shared" si="5"/>
        <v>1398</v>
      </c>
      <c r="AJ20" s="252">
        <f t="shared" si="6"/>
        <v>978.6</v>
      </c>
      <c r="AK20" s="252">
        <f t="shared" si="7"/>
        <v>1165</v>
      </c>
    </row>
    <row r="21" spans="1:37" ht="24" customHeight="1">
      <c r="A21" s="363">
        <f t="shared" si="8"/>
        <v>12</v>
      </c>
      <c r="B21" s="296" t="s">
        <v>2262</v>
      </c>
      <c r="C21" s="252">
        <f t="shared" si="9"/>
        <v>159.19999999999999</v>
      </c>
      <c r="D21" s="365" t="s">
        <v>869</v>
      </c>
      <c r="G21" s="252" t="s">
        <v>449</v>
      </c>
      <c r="H21" s="296" t="s">
        <v>450</v>
      </c>
      <c r="I21" s="296" t="s">
        <v>975</v>
      </c>
      <c r="J21" s="296" t="s">
        <v>449</v>
      </c>
      <c r="K21" s="252">
        <v>0</v>
      </c>
      <c r="O21" s="358" t="s">
        <v>1586</v>
      </c>
      <c r="T21" s="530" t="s">
        <v>2263</v>
      </c>
      <c r="U21" s="523" t="s">
        <v>5820</v>
      </c>
      <c r="V21" s="523" t="s">
        <v>1446</v>
      </c>
      <c r="W21" s="530" t="s">
        <v>2265</v>
      </c>
      <c r="X21" s="522">
        <f>'lead  charge'!J12</f>
        <v>0</v>
      </c>
      <c r="Y21" s="608">
        <v>16106</v>
      </c>
      <c r="Z21" s="1025">
        <f>'lead  charge'!K11</f>
        <v>0</v>
      </c>
      <c r="AA21" s="530"/>
      <c r="AB21" s="523">
        <v>0</v>
      </c>
      <c r="AC21" s="523">
        <f t="shared" si="1"/>
        <v>16106</v>
      </c>
      <c r="AD21" s="523" t="s">
        <v>6040</v>
      </c>
      <c r="AE21" s="522">
        <f t="shared" si="2"/>
        <v>766</v>
      </c>
      <c r="AF21" s="362">
        <v>766</v>
      </c>
      <c r="AG21" s="252">
        <f t="shared" si="3"/>
        <v>842.6</v>
      </c>
      <c r="AH21" s="252">
        <f t="shared" si="4"/>
        <v>919.2</v>
      </c>
      <c r="AI21" s="252">
        <f t="shared" si="5"/>
        <v>1149</v>
      </c>
      <c r="AJ21" s="252">
        <f t="shared" si="6"/>
        <v>804.3</v>
      </c>
      <c r="AK21" s="252">
        <f t="shared" si="7"/>
        <v>957.5</v>
      </c>
    </row>
    <row r="22" spans="1:37" ht="24" customHeight="1">
      <c r="A22" s="363">
        <f t="shared" si="8"/>
        <v>13</v>
      </c>
      <c r="B22" s="296" t="s">
        <v>4574</v>
      </c>
      <c r="C22" s="252">
        <f t="shared" si="9"/>
        <v>119.85</v>
      </c>
      <c r="D22" s="365" t="s">
        <v>869</v>
      </c>
      <c r="K22" s="358" t="s">
        <v>1586</v>
      </c>
      <c r="M22" s="252">
        <v>1</v>
      </c>
      <c r="N22" s="296" t="s">
        <v>869</v>
      </c>
      <c r="O22" s="296" t="s">
        <v>2002</v>
      </c>
      <c r="P22" s="252">
        <f>C79</f>
        <v>1464.46</v>
      </c>
      <c r="Q22" s="296" t="s">
        <v>869</v>
      </c>
      <c r="R22" s="252">
        <f>(M22*P22)</f>
        <v>1464.46</v>
      </c>
      <c r="T22" s="530" t="s">
        <v>2003</v>
      </c>
      <c r="U22" s="523" t="s">
        <v>5821</v>
      </c>
      <c r="V22" s="523" t="s">
        <v>866</v>
      </c>
      <c r="W22" s="530" t="s">
        <v>2265</v>
      </c>
      <c r="X22" s="522"/>
      <c r="Y22" s="608">
        <v>1348</v>
      </c>
      <c r="Z22" s="1025"/>
      <c r="AA22" s="530"/>
      <c r="AB22" s="523">
        <v>0</v>
      </c>
      <c r="AC22" s="523">
        <f t="shared" si="1"/>
        <v>1348</v>
      </c>
      <c r="AD22" s="523" t="s">
        <v>2005</v>
      </c>
      <c r="AE22" s="522">
        <f t="shared" si="2"/>
        <v>738</v>
      </c>
      <c r="AF22" s="362">
        <v>738</v>
      </c>
      <c r="AG22" s="252">
        <f t="shared" si="3"/>
        <v>811.8</v>
      </c>
      <c r="AH22" s="252">
        <f t="shared" si="4"/>
        <v>885.6</v>
      </c>
      <c r="AI22" s="252">
        <f t="shared" si="5"/>
        <v>1107</v>
      </c>
      <c r="AJ22" s="252">
        <f t="shared" si="6"/>
        <v>774.9</v>
      </c>
      <c r="AK22" s="252">
        <f t="shared" si="7"/>
        <v>922.5</v>
      </c>
    </row>
    <row r="23" spans="1:37" ht="24" customHeight="1">
      <c r="A23" s="363">
        <f t="shared" si="8"/>
        <v>14</v>
      </c>
      <c r="B23" s="296" t="s">
        <v>285</v>
      </c>
      <c r="C23" s="252">
        <f t="shared" si="9"/>
        <v>236.1</v>
      </c>
      <c r="D23" s="365" t="s">
        <v>869</v>
      </c>
      <c r="H23" s="296" t="s">
        <v>1516</v>
      </c>
      <c r="K23" s="274">
        <f>SUM(K18:K21)</f>
        <v>5929.26</v>
      </c>
      <c r="M23" s="252">
        <v>1</v>
      </c>
      <c r="N23" s="296" t="s">
        <v>869</v>
      </c>
      <c r="O23" s="296" t="s">
        <v>286</v>
      </c>
      <c r="P23" s="252">
        <f>C85</f>
        <v>993</v>
      </c>
      <c r="Q23" s="296" t="s">
        <v>869</v>
      </c>
      <c r="R23" s="252">
        <f>(M23*P23)</f>
        <v>993</v>
      </c>
      <c r="T23" s="530" t="s">
        <v>828</v>
      </c>
      <c r="U23" s="523" t="s">
        <v>4566</v>
      </c>
      <c r="V23" s="523" t="s">
        <v>866</v>
      </c>
      <c r="W23" s="530" t="str">
        <f>W22</f>
        <v>Local</v>
      </c>
      <c r="X23" s="522">
        <f>'lead  charge'!P11</f>
        <v>0</v>
      </c>
      <c r="Y23" s="608">
        <v>993</v>
      </c>
      <c r="Z23" s="1025">
        <f>'lead  charge'!Q11</f>
        <v>0</v>
      </c>
      <c r="AA23" s="530"/>
      <c r="AB23" s="523">
        <v>0</v>
      </c>
      <c r="AC23" s="523">
        <f t="shared" si="1"/>
        <v>993</v>
      </c>
      <c r="AD23" s="523" t="s">
        <v>830</v>
      </c>
      <c r="AE23" s="522">
        <f t="shared" si="2"/>
        <v>769</v>
      </c>
      <c r="AF23" s="362">
        <v>769</v>
      </c>
      <c r="AG23" s="252">
        <f t="shared" si="3"/>
        <v>845.9</v>
      </c>
      <c r="AH23" s="252">
        <f t="shared" si="4"/>
        <v>922.8</v>
      </c>
      <c r="AI23" s="252">
        <f t="shared" si="5"/>
        <v>1153.5</v>
      </c>
      <c r="AJ23" s="252">
        <f t="shared" si="6"/>
        <v>807.45</v>
      </c>
      <c r="AK23" s="252">
        <f t="shared" si="7"/>
        <v>961.25</v>
      </c>
    </row>
    <row r="24" spans="1:37" ht="24" customHeight="1">
      <c r="A24" s="363">
        <f t="shared" si="8"/>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523" t="s">
        <v>4567</v>
      </c>
      <c r="V24" s="523" t="s">
        <v>866</v>
      </c>
      <c r="W24" s="530" t="s">
        <v>1794</v>
      </c>
      <c r="X24" s="522">
        <f>X25</f>
        <v>0</v>
      </c>
      <c r="Y24" s="608">
        <v>34300</v>
      </c>
      <c r="Z24" s="1025">
        <f>Z25</f>
        <v>0</v>
      </c>
      <c r="AA24" s="530"/>
      <c r="AB24" s="523">
        <v>0</v>
      </c>
      <c r="AC24" s="523">
        <f t="shared" si="1"/>
        <v>34300</v>
      </c>
      <c r="AD24" s="523" t="s">
        <v>6412</v>
      </c>
      <c r="AE24" s="522">
        <f t="shared" si="2"/>
        <v>116</v>
      </c>
      <c r="AF24" s="362">
        <v>116</v>
      </c>
      <c r="AG24" s="252">
        <f t="shared" si="3"/>
        <v>127.6</v>
      </c>
      <c r="AH24" s="252">
        <f t="shared" si="4"/>
        <v>139.19999999999999</v>
      </c>
      <c r="AI24" s="252">
        <f t="shared" si="5"/>
        <v>174</v>
      </c>
      <c r="AJ24" s="252">
        <f t="shared" si="6"/>
        <v>121.8</v>
      </c>
      <c r="AK24" s="252">
        <f t="shared" si="7"/>
        <v>145</v>
      </c>
    </row>
    <row r="25" spans="1:37" ht="24" customHeight="1">
      <c r="A25" s="363">
        <f t="shared" si="8"/>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523" t="s">
        <v>1356</v>
      </c>
      <c r="V25" s="523" t="s">
        <v>866</v>
      </c>
      <c r="W25" s="530" t="s">
        <v>1794</v>
      </c>
      <c r="X25" s="522">
        <f>'lead  charge'!P12</f>
        <v>0</v>
      </c>
      <c r="Y25" s="608">
        <v>39400</v>
      </c>
      <c r="Z25" s="1025">
        <f>'lead  charge'!Q12</f>
        <v>0</v>
      </c>
      <c r="AA25" s="530"/>
      <c r="AB25" s="523">
        <v>0</v>
      </c>
      <c r="AC25" s="523">
        <f>SUM(Y25+Z25+AA25+AB25)</f>
        <v>39400</v>
      </c>
      <c r="AD25" s="523" t="s">
        <v>6413</v>
      </c>
      <c r="AE25" s="522">
        <f t="shared" si="2"/>
        <v>94.2</v>
      </c>
      <c r="AF25" s="362">
        <v>94.2</v>
      </c>
      <c r="AG25" s="252">
        <f t="shared" si="3"/>
        <v>103.62</v>
      </c>
      <c r="AH25" s="252">
        <f t="shared" si="4"/>
        <v>113.04</v>
      </c>
      <c r="AI25" s="252">
        <f t="shared" si="5"/>
        <v>141.30000000000001</v>
      </c>
      <c r="AJ25" s="252">
        <f t="shared" si="6"/>
        <v>98.91</v>
      </c>
      <c r="AK25" s="252">
        <f t="shared" si="7"/>
        <v>117.75</v>
      </c>
    </row>
    <row r="26" spans="1:37" ht="24" customHeight="1">
      <c r="A26" s="363">
        <f t="shared" si="8"/>
        <v>17</v>
      </c>
      <c r="B26" s="296" t="s">
        <v>4021</v>
      </c>
      <c r="C26" s="364">
        <f>AE28</f>
        <v>38.950000000000003</v>
      </c>
      <c r="D26" s="365" t="s">
        <v>2043</v>
      </c>
      <c r="H26" s="358" t="s">
        <v>1586</v>
      </c>
      <c r="N26" s="296" t="s">
        <v>449</v>
      </c>
      <c r="O26" s="296" t="s">
        <v>450</v>
      </c>
      <c r="P26" s="296" t="s">
        <v>975</v>
      </c>
      <c r="Q26" s="296" t="s">
        <v>449</v>
      </c>
      <c r="R26" s="252">
        <v>0</v>
      </c>
      <c r="T26" s="530" t="s">
        <v>2044</v>
      </c>
      <c r="U26" s="523" t="s">
        <v>4568</v>
      </c>
      <c r="V26" s="523" t="s">
        <v>866</v>
      </c>
      <c r="W26" s="530" t="s">
        <v>1794</v>
      </c>
      <c r="X26" s="522">
        <f>X25</f>
        <v>0</v>
      </c>
      <c r="Y26" s="608">
        <v>111600</v>
      </c>
      <c r="Z26" s="1025">
        <f>'lead  charge'!Q12</f>
        <v>0</v>
      </c>
      <c r="AA26" s="530"/>
      <c r="AB26" s="523">
        <v>0</v>
      </c>
      <c r="AC26" s="523">
        <f>SUM(Y26+Z26+AA26+AB26)</f>
        <v>111600</v>
      </c>
      <c r="AD26" s="523" t="s">
        <v>5256</v>
      </c>
      <c r="AE26" s="522">
        <f t="shared" si="2"/>
        <v>69.8</v>
      </c>
      <c r="AF26" s="362">
        <v>69.8</v>
      </c>
      <c r="AG26" s="252">
        <f t="shared" si="3"/>
        <v>76.78</v>
      </c>
      <c r="AH26" s="252">
        <f t="shared" si="4"/>
        <v>83.76</v>
      </c>
      <c r="AI26" s="252">
        <f t="shared" si="5"/>
        <v>104.7</v>
      </c>
      <c r="AJ26" s="252">
        <f t="shared" si="6"/>
        <v>73.290000000000006</v>
      </c>
      <c r="AK26" s="252">
        <f t="shared" si="7"/>
        <v>87.25</v>
      </c>
    </row>
    <row r="27" spans="1:37" ht="24" customHeight="1">
      <c r="A27" s="363">
        <f t="shared" si="8"/>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523" t="s">
        <v>4569</v>
      </c>
      <c r="V27" s="523" t="s">
        <v>866</v>
      </c>
      <c r="W27" s="530" t="s">
        <v>1794</v>
      </c>
      <c r="X27" s="522">
        <f>X26</f>
        <v>0</v>
      </c>
      <c r="Y27" s="608">
        <v>99400</v>
      </c>
      <c r="Z27" s="1025">
        <f>Z26</f>
        <v>0</v>
      </c>
      <c r="AA27" s="530"/>
      <c r="AB27" s="523">
        <v>0</v>
      </c>
      <c r="AC27" s="523">
        <f>SUM(Y27+Z27+AA27+AB27)</f>
        <v>99400</v>
      </c>
      <c r="AD27" s="523" t="s">
        <v>6414</v>
      </c>
      <c r="AE27" s="522">
        <f t="shared" si="2"/>
        <v>34.200000000000003</v>
      </c>
      <c r="AF27" s="362">
        <v>34.200000000000003</v>
      </c>
      <c r="AG27" s="252">
        <f t="shared" si="3"/>
        <v>37.619999999999997</v>
      </c>
      <c r="AH27" s="252">
        <f t="shared" si="4"/>
        <v>41.04</v>
      </c>
      <c r="AI27" s="252">
        <f t="shared" si="5"/>
        <v>51.3</v>
      </c>
      <c r="AJ27" s="252">
        <f t="shared" si="6"/>
        <v>35.909999999999997</v>
      </c>
      <c r="AK27" s="252">
        <f t="shared" si="7"/>
        <v>42.75</v>
      </c>
    </row>
    <row r="28" spans="1:37" ht="24" customHeight="1">
      <c r="A28" s="363">
        <f t="shared" si="8"/>
        <v>19</v>
      </c>
      <c r="B28" s="296" t="s">
        <v>5257</v>
      </c>
      <c r="C28" s="366">
        <f>E27</f>
        <v>86.4</v>
      </c>
      <c r="D28" s="365" t="s">
        <v>449</v>
      </c>
      <c r="E28" s="252">
        <v>254.4</v>
      </c>
      <c r="F28" s="252">
        <v>1</v>
      </c>
      <c r="G28" s="252" t="s">
        <v>869</v>
      </c>
      <c r="H28" s="296" t="s">
        <v>870</v>
      </c>
      <c r="I28" s="252">
        <f>(C78)</f>
        <v>1464.46</v>
      </c>
      <c r="J28" s="296" t="s">
        <v>869</v>
      </c>
      <c r="K28" s="252">
        <f>(F28*I28)</f>
        <v>1464.46</v>
      </c>
      <c r="O28" s="296" t="s">
        <v>168</v>
      </c>
      <c r="R28" s="252">
        <f>SUM(R22:R26)</f>
        <v>2682.76</v>
      </c>
      <c r="T28" s="530" t="s">
        <v>885</v>
      </c>
      <c r="U28" s="523" t="s">
        <v>4570</v>
      </c>
      <c r="V28" s="523" t="s">
        <v>866</v>
      </c>
      <c r="W28" s="530" t="s">
        <v>1794</v>
      </c>
      <c r="X28" s="522">
        <f>X27</f>
        <v>0</v>
      </c>
      <c r="Y28" s="608">
        <v>95000</v>
      </c>
      <c r="Z28" s="1025">
        <f>Z27</f>
        <v>0</v>
      </c>
      <c r="AA28" s="530"/>
      <c r="AB28" s="523">
        <v>0</v>
      </c>
      <c r="AC28" s="523">
        <f>SUM(Y28+Z28+AA28+AB28)</f>
        <v>95000</v>
      </c>
      <c r="AD28" s="523" t="s">
        <v>5258</v>
      </c>
      <c r="AE28" s="522">
        <f t="shared" si="2"/>
        <v>38.950000000000003</v>
      </c>
      <c r="AF28" s="362">
        <v>38.950000000000003</v>
      </c>
      <c r="AG28" s="252">
        <f t="shared" si="3"/>
        <v>42.85</v>
      </c>
      <c r="AH28" s="252">
        <f t="shared" si="4"/>
        <v>46.74</v>
      </c>
      <c r="AI28" s="252">
        <f t="shared" si="5"/>
        <v>58.43</v>
      </c>
      <c r="AJ28" s="252">
        <f t="shared" si="6"/>
        <v>40.9</v>
      </c>
      <c r="AK28" s="252">
        <f t="shared" si="7"/>
        <v>48.69</v>
      </c>
    </row>
    <row r="29" spans="1:37" ht="24" customHeight="1">
      <c r="A29" s="363">
        <f t="shared" si="8"/>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523" t="s">
        <v>5822</v>
      </c>
      <c r="V29" s="523" t="s">
        <v>1446</v>
      </c>
      <c r="W29" s="530" t="str">
        <f>W18</f>
        <v>Themanoor</v>
      </c>
      <c r="X29" s="522">
        <f>X18</f>
        <v>19</v>
      </c>
      <c r="Y29" s="608">
        <v>4299</v>
      </c>
      <c r="Z29" s="1025">
        <f>'lead  charge'!H10</f>
        <v>173.89</v>
      </c>
      <c r="AA29" s="530"/>
      <c r="AB29" s="523">
        <v>0</v>
      </c>
      <c r="AC29" s="523">
        <f>SUM(Y29+Z29+AA29+AB29)</f>
        <v>4472.8900000000003</v>
      </c>
      <c r="AD29" s="523" t="s">
        <v>5259</v>
      </c>
      <c r="AE29" s="522">
        <f t="shared" si="2"/>
        <v>112.05</v>
      </c>
      <c r="AF29" s="362">
        <v>112.05</v>
      </c>
      <c r="AG29" s="252">
        <f t="shared" si="3"/>
        <v>123.26</v>
      </c>
      <c r="AH29" s="252">
        <f t="shared" si="4"/>
        <v>134.46</v>
      </c>
      <c r="AI29" s="252">
        <f t="shared" si="5"/>
        <v>168.08</v>
      </c>
      <c r="AJ29" s="252">
        <f t="shared" si="6"/>
        <v>117.65</v>
      </c>
      <c r="AK29" s="252">
        <f t="shared" si="7"/>
        <v>140.06</v>
      </c>
    </row>
    <row r="30" spans="1:37" ht="24" customHeight="1">
      <c r="A30" s="363">
        <f t="shared" si="8"/>
        <v>21</v>
      </c>
      <c r="B30" s="296" t="s">
        <v>4024</v>
      </c>
      <c r="C30" s="364">
        <f>AE33</f>
        <v>13690</v>
      </c>
      <c r="D30" s="288">
        <f>AE31</f>
        <v>1281</v>
      </c>
      <c r="G30" s="252" t="s">
        <v>449</v>
      </c>
      <c r="H30" s="296" t="s">
        <v>450</v>
      </c>
      <c r="I30" s="296" t="s">
        <v>975</v>
      </c>
      <c r="J30" s="296" t="s">
        <v>449</v>
      </c>
      <c r="K30" s="252">
        <v>0</v>
      </c>
      <c r="O30" s="296" t="s">
        <v>773</v>
      </c>
      <c r="R30" s="252">
        <f>(R28/1.5)</f>
        <v>1788.51</v>
      </c>
      <c r="T30" s="530" t="s">
        <v>2168</v>
      </c>
      <c r="U30" s="523" t="s">
        <v>4571</v>
      </c>
      <c r="V30" s="523" t="s">
        <v>1446</v>
      </c>
      <c r="W30" s="530" t="s">
        <v>1794</v>
      </c>
      <c r="X30" s="522"/>
      <c r="Y30" s="608">
        <v>11907</v>
      </c>
      <c r="Z30" s="1025"/>
      <c r="AA30" s="530"/>
      <c r="AB30" s="523">
        <v>0</v>
      </c>
      <c r="AC30" s="523">
        <f t="shared" si="1"/>
        <v>11907</v>
      </c>
      <c r="AD30" s="523" t="s">
        <v>6415</v>
      </c>
      <c r="AE30" s="522">
        <f t="shared" si="2"/>
        <v>1537</v>
      </c>
      <c r="AF30" s="362">
        <v>1537</v>
      </c>
      <c r="AG30" s="252">
        <f t="shared" si="3"/>
        <v>1690.7</v>
      </c>
      <c r="AH30" s="252">
        <f t="shared" si="4"/>
        <v>1844.4</v>
      </c>
      <c r="AI30" s="252">
        <f t="shared" si="5"/>
        <v>2305.5</v>
      </c>
      <c r="AJ30" s="252">
        <f t="shared" si="6"/>
        <v>1613.85</v>
      </c>
      <c r="AK30" s="252">
        <f t="shared" si="7"/>
        <v>1921.25</v>
      </c>
    </row>
    <row r="31" spans="1:37" ht="24" customHeight="1">
      <c r="A31" s="363">
        <f t="shared" si="8"/>
        <v>22</v>
      </c>
      <c r="B31" s="296" t="s">
        <v>4025</v>
      </c>
      <c r="C31" s="364">
        <f>AE30</f>
        <v>1537</v>
      </c>
      <c r="D31" s="288">
        <f>AE32</f>
        <v>1436</v>
      </c>
      <c r="K31" s="358" t="s">
        <v>1586</v>
      </c>
      <c r="O31" s="296" t="s">
        <v>249</v>
      </c>
      <c r="R31" s="358" t="s">
        <v>2055</v>
      </c>
      <c r="T31" s="530" t="s">
        <v>18</v>
      </c>
      <c r="U31" s="523" t="s">
        <v>19</v>
      </c>
      <c r="V31" s="523" t="s">
        <v>861</v>
      </c>
      <c r="W31" s="530" t="s">
        <v>1794</v>
      </c>
      <c r="X31" s="522">
        <f>'lead  charge'!D14</f>
        <v>0</v>
      </c>
      <c r="Y31" s="608">
        <v>6040</v>
      </c>
      <c r="Z31" s="1025">
        <f>'lead  charge'!E14</f>
        <v>0</v>
      </c>
      <c r="AA31" s="530"/>
      <c r="AB31" s="523"/>
      <c r="AC31" s="523">
        <f>SUM(Y31+Z31+AA31+AB31)</f>
        <v>6040</v>
      </c>
      <c r="AD31" s="523" t="s">
        <v>6416</v>
      </c>
      <c r="AE31" s="522">
        <f t="shared" si="2"/>
        <v>1281</v>
      </c>
      <c r="AF31" s="362">
        <v>1281</v>
      </c>
      <c r="AG31" s="252">
        <f t="shared" si="3"/>
        <v>1409.1</v>
      </c>
      <c r="AH31" s="252">
        <f t="shared" si="4"/>
        <v>1537.2</v>
      </c>
      <c r="AI31" s="252">
        <f t="shared" si="5"/>
        <v>1921.5</v>
      </c>
      <c r="AJ31" s="252">
        <f t="shared" si="6"/>
        <v>1345.05</v>
      </c>
      <c r="AK31" s="252">
        <f t="shared" si="7"/>
        <v>1601.25</v>
      </c>
    </row>
    <row r="32" spans="1:37" ht="24" customHeight="1">
      <c r="A32" s="363">
        <f t="shared" si="8"/>
        <v>23</v>
      </c>
      <c r="B32" s="296" t="s">
        <v>1797</v>
      </c>
      <c r="C32" s="368">
        <v>2.5</v>
      </c>
      <c r="D32" s="364">
        <f>AE34</f>
        <v>1197</v>
      </c>
      <c r="H32" s="296" t="s">
        <v>1516</v>
      </c>
      <c r="K32" s="274">
        <f>SUM(K27:K30)</f>
        <v>4479.66</v>
      </c>
      <c r="T32" s="530" t="s">
        <v>1798</v>
      </c>
      <c r="U32" s="523" t="s">
        <v>1799</v>
      </c>
      <c r="V32" s="523" t="s">
        <v>861</v>
      </c>
      <c r="W32" s="530" t="s">
        <v>2265</v>
      </c>
      <c r="X32" s="522">
        <f>'lead  charge'!D15</f>
        <v>0</v>
      </c>
      <c r="Y32" s="608">
        <v>58000</v>
      </c>
      <c r="Z32" s="1025">
        <f>Z31</f>
        <v>0</v>
      </c>
      <c r="AA32" s="530"/>
      <c r="AB32" s="523">
        <v>0</v>
      </c>
      <c r="AC32" s="523">
        <f>SUM(Y32+Z32+AA32+AB32)</f>
        <v>58000</v>
      </c>
      <c r="AD32" s="523" t="s">
        <v>6417</v>
      </c>
      <c r="AE32" s="522">
        <f t="shared" si="2"/>
        <v>1436</v>
      </c>
      <c r="AF32" s="362">
        <v>1436</v>
      </c>
      <c r="AG32" s="252">
        <f t="shared" si="3"/>
        <v>1579.6</v>
      </c>
      <c r="AH32" s="252">
        <f t="shared" si="4"/>
        <v>1723.2</v>
      </c>
      <c r="AI32" s="252">
        <f t="shared" si="5"/>
        <v>2154</v>
      </c>
      <c r="AJ32" s="252">
        <f t="shared" si="6"/>
        <v>1507.8</v>
      </c>
      <c r="AK32" s="252">
        <f t="shared" si="7"/>
        <v>1795</v>
      </c>
    </row>
    <row r="33" spans="1:37" ht="24" customHeight="1">
      <c r="A33" s="363">
        <f t="shared" si="8"/>
        <v>24</v>
      </c>
      <c r="B33" s="296" t="s">
        <v>444</v>
      </c>
      <c r="C33" s="368">
        <v>3.64</v>
      </c>
      <c r="D33" s="364">
        <f>AE35</f>
        <v>1072</v>
      </c>
      <c r="K33" s="358" t="s">
        <v>1586</v>
      </c>
      <c r="T33" s="1027" t="s">
        <v>445</v>
      </c>
      <c r="U33" s="523" t="s">
        <v>1418</v>
      </c>
      <c r="V33" s="523" t="s">
        <v>861</v>
      </c>
      <c r="W33" s="530" t="s">
        <v>2265</v>
      </c>
      <c r="X33" s="522">
        <f>X32</f>
        <v>0</v>
      </c>
      <c r="Y33" s="608">
        <v>58000</v>
      </c>
      <c r="Z33" s="1025">
        <f>Z32</f>
        <v>0</v>
      </c>
      <c r="AA33" s="530"/>
      <c r="AB33" s="523">
        <v>0</v>
      </c>
      <c r="AC33" s="523">
        <f t="shared" si="1"/>
        <v>58000</v>
      </c>
      <c r="AD33" s="523" t="s">
        <v>6418</v>
      </c>
      <c r="AE33" s="522">
        <f t="shared" si="2"/>
        <v>13690</v>
      </c>
      <c r="AF33" s="362">
        <v>13690</v>
      </c>
      <c r="AG33" s="252">
        <f t="shared" si="3"/>
        <v>15059</v>
      </c>
      <c r="AH33" s="252">
        <f t="shared" si="4"/>
        <v>16428</v>
      </c>
      <c r="AI33" s="252">
        <f t="shared" si="5"/>
        <v>20535</v>
      </c>
      <c r="AJ33" s="252">
        <f t="shared" si="6"/>
        <v>14374.5</v>
      </c>
      <c r="AK33" s="252">
        <f t="shared" si="7"/>
        <v>17112.5</v>
      </c>
    </row>
    <row r="34" spans="1:37" ht="24" customHeight="1">
      <c r="A34" s="363">
        <f t="shared" si="8"/>
        <v>25</v>
      </c>
      <c r="B34" s="296" t="s">
        <v>5823</v>
      </c>
      <c r="C34" s="362">
        <f>53*1000</f>
        <v>53000</v>
      </c>
      <c r="D34" s="370">
        <f>C34</f>
        <v>53000</v>
      </c>
      <c r="G34" s="252" t="s">
        <v>2251</v>
      </c>
      <c r="H34" s="296" t="s">
        <v>1307</v>
      </c>
      <c r="T34" s="1027" t="s">
        <v>1420</v>
      </c>
      <c r="U34" s="523" t="s">
        <v>1421</v>
      </c>
      <c r="V34" s="523" t="s">
        <v>1446</v>
      </c>
      <c r="W34" s="530" t="str">
        <f>W18</f>
        <v>Themanoor</v>
      </c>
      <c r="X34" s="522">
        <f>X29</f>
        <v>19</v>
      </c>
      <c r="Y34" s="608">
        <f>Y29</f>
        <v>4299</v>
      </c>
      <c r="Z34" s="1025">
        <f>Z29</f>
        <v>173.89</v>
      </c>
      <c r="AA34" s="530"/>
      <c r="AB34" s="523">
        <v>0</v>
      </c>
      <c r="AC34" s="523">
        <f t="shared" si="1"/>
        <v>4472.8900000000003</v>
      </c>
      <c r="AD34" s="523" t="s">
        <v>6419</v>
      </c>
      <c r="AE34" s="522">
        <f t="shared" si="2"/>
        <v>1197</v>
      </c>
      <c r="AF34" s="362">
        <v>1197</v>
      </c>
      <c r="AG34" s="252">
        <f t="shared" si="3"/>
        <v>1316.7</v>
      </c>
      <c r="AH34" s="252">
        <f t="shared" si="4"/>
        <v>1436.4</v>
      </c>
      <c r="AI34" s="252">
        <f t="shared" si="5"/>
        <v>1795.5</v>
      </c>
      <c r="AJ34" s="252">
        <f t="shared" si="6"/>
        <v>1256.8499999999999</v>
      </c>
      <c r="AK34" s="252">
        <f t="shared" si="7"/>
        <v>1496.25</v>
      </c>
    </row>
    <row r="35" spans="1:37" ht="24" customHeight="1">
      <c r="A35" s="363">
        <f t="shared" si="8"/>
        <v>26</v>
      </c>
      <c r="B35" s="296" t="s">
        <v>208</v>
      </c>
      <c r="C35" s="364">
        <f>AC38</f>
        <v>222.7</v>
      </c>
      <c r="D35" s="364"/>
      <c r="F35" s="252">
        <v>0.36</v>
      </c>
      <c r="G35" s="252" t="s">
        <v>861</v>
      </c>
      <c r="H35" s="296" t="s">
        <v>862</v>
      </c>
      <c r="I35" s="252">
        <f>C67</f>
        <v>6040</v>
      </c>
      <c r="J35" s="296" t="s">
        <v>861</v>
      </c>
      <c r="K35" s="252">
        <f>(F35*I35)</f>
        <v>2174.4</v>
      </c>
      <c r="T35" s="530" t="s">
        <v>1422</v>
      </c>
      <c r="U35" s="1028" t="s">
        <v>5824</v>
      </c>
      <c r="V35" s="1028" t="s">
        <v>866</v>
      </c>
      <c r="W35" s="1029" t="str">
        <f>W11</f>
        <v>Andoor</v>
      </c>
      <c r="X35" s="1030">
        <f>X11</f>
        <v>18</v>
      </c>
      <c r="Y35" s="1031">
        <v>961</v>
      </c>
      <c r="Z35" s="1025">
        <f>Z11</f>
        <v>196.18</v>
      </c>
      <c r="AA35" s="530"/>
      <c r="AB35" s="523"/>
      <c r="AC35" s="523">
        <f t="shared" si="1"/>
        <v>1157.18</v>
      </c>
      <c r="AD35" s="523" t="s">
        <v>6420</v>
      </c>
      <c r="AE35" s="522">
        <f t="shared" si="2"/>
        <v>1072</v>
      </c>
      <c r="AF35" s="362">
        <v>1072</v>
      </c>
      <c r="AG35" s="252">
        <f t="shared" si="3"/>
        <v>1179.2</v>
      </c>
      <c r="AH35" s="252">
        <f t="shared" si="4"/>
        <v>1286.4000000000001</v>
      </c>
      <c r="AI35" s="252">
        <f t="shared" si="5"/>
        <v>1608</v>
      </c>
      <c r="AJ35" s="252">
        <f t="shared" si="6"/>
        <v>1125.5999999999999</v>
      </c>
      <c r="AK35" s="252">
        <f t="shared" si="7"/>
        <v>1340</v>
      </c>
    </row>
    <row r="36" spans="1:37" ht="24" customHeight="1">
      <c r="A36" s="364" t="s">
        <v>975</v>
      </c>
      <c r="B36" s="296" t="s">
        <v>5260</v>
      </c>
      <c r="C36" s="252">
        <f>AE59</f>
        <v>10.55</v>
      </c>
      <c r="D36" s="364"/>
      <c r="F36" s="252">
        <v>1</v>
      </c>
      <c r="G36" s="252" t="s">
        <v>869</v>
      </c>
      <c r="H36" s="296" t="s">
        <v>870</v>
      </c>
      <c r="I36" s="252">
        <f>AC16</f>
        <v>1464.46</v>
      </c>
      <c r="J36" s="296" t="s">
        <v>869</v>
      </c>
      <c r="K36" s="252">
        <f>(F36*I36)</f>
        <v>1464.46</v>
      </c>
      <c r="T36" s="530" t="s">
        <v>225</v>
      </c>
      <c r="U36" s="1028" t="s">
        <v>398</v>
      </c>
      <c r="V36" s="1028" t="s">
        <v>866</v>
      </c>
      <c r="W36" s="1029" t="str">
        <f>W12</f>
        <v>Andoor</v>
      </c>
      <c r="X36" s="1030">
        <f>X11</f>
        <v>18</v>
      </c>
      <c r="Y36" s="1031">
        <f>ROUND((1114+1051)/2,2)</f>
        <v>1082.5</v>
      </c>
      <c r="Z36" s="1025">
        <f>Z11</f>
        <v>196.18</v>
      </c>
      <c r="AA36" s="530"/>
      <c r="AB36" s="523">
        <v>0</v>
      </c>
      <c r="AC36" s="523">
        <f t="shared" si="1"/>
        <v>1278.68</v>
      </c>
      <c r="AD36" s="523" t="s">
        <v>5261</v>
      </c>
      <c r="AE36" s="522">
        <f t="shared" si="2"/>
        <v>166.9</v>
      </c>
      <c r="AF36" s="362">
        <v>166.9</v>
      </c>
      <c r="AG36" s="252">
        <f t="shared" si="3"/>
        <v>183.59</v>
      </c>
      <c r="AH36" s="252">
        <f t="shared" si="4"/>
        <v>200.28</v>
      </c>
      <c r="AI36" s="252">
        <f t="shared" si="5"/>
        <v>250.35</v>
      </c>
      <c r="AJ36" s="252">
        <f t="shared" si="6"/>
        <v>175.25</v>
      </c>
      <c r="AK36" s="252">
        <f t="shared" si="7"/>
        <v>208.63</v>
      </c>
    </row>
    <row r="37" spans="1:37" ht="24" customHeight="1">
      <c r="A37" s="364"/>
      <c r="B37" s="296" t="s">
        <v>5262</v>
      </c>
      <c r="C37" s="252">
        <f>AE60</f>
        <v>55.35</v>
      </c>
      <c r="D37" s="364"/>
      <c r="F37" s="252">
        <v>1</v>
      </c>
      <c r="G37" s="252" t="s">
        <v>869</v>
      </c>
      <c r="H37" s="296" t="s">
        <v>874</v>
      </c>
      <c r="I37" s="252">
        <f>C18</f>
        <v>116</v>
      </c>
      <c r="J37" s="296" t="s">
        <v>869</v>
      </c>
      <c r="K37" s="252">
        <f>(F37*I37)</f>
        <v>116</v>
      </c>
      <c r="T37" s="530" t="s">
        <v>1673</v>
      </c>
      <c r="U37" s="1028" t="s">
        <v>416</v>
      </c>
      <c r="V37" s="1028" t="s">
        <v>866</v>
      </c>
      <c r="W37" s="1029" t="str">
        <f>W13</f>
        <v>Andoor</v>
      </c>
      <c r="X37" s="1030">
        <f>X36</f>
        <v>18</v>
      </c>
      <c r="Y37" s="1031">
        <f>ROUND((665.8+812+1092+1092)/4,2)</f>
        <v>915.45</v>
      </c>
      <c r="Z37" s="1025">
        <f>Z11</f>
        <v>196.18</v>
      </c>
      <c r="AA37" s="530"/>
      <c r="AB37" s="523">
        <v>0</v>
      </c>
      <c r="AC37" s="523">
        <f>SUM(Y37+Z37+AA37+AB37)</f>
        <v>1111.6300000000001</v>
      </c>
      <c r="AD37" s="523" t="s">
        <v>6421</v>
      </c>
      <c r="AE37" s="522">
        <f t="shared" si="2"/>
        <v>839</v>
      </c>
      <c r="AF37" s="362">
        <v>839</v>
      </c>
      <c r="AG37" s="252">
        <f t="shared" si="3"/>
        <v>922.9</v>
      </c>
      <c r="AH37" s="252">
        <f t="shared" si="4"/>
        <v>1006.8</v>
      </c>
      <c r="AI37" s="252">
        <f t="shared" si="5"/>
        <v>1258.5</v>
      </c>
      <c r="AJ37" s="252">
        <f t="shared" si="6"/>
        <v>880.95</v>
      </c>
      <c r="AK37" s="252">
        <f t="shared" si="7"/>
        <v>1048.75</v>
      </c>
    </row>
    <row r="38" spans="1:37" ht="24" customHeight="1">
      <c r="A38" s="363">
        <f>(A35+1)</f>
        <v>27</v>
      </c>
      <c r="B38" s="296" t="s">
        <v>1674</v>
      </c>
      <c r="C38" s="372">
        <v>40</v>
      </c>
      <c r="D38" s="365" t="s">
        <v>868</v>
      </c>
      <c r="G38" s="252" t="s">
        <v>449</v>
      </c>
      <c r="H38" s="296" t="s">
        <v>450</v>
      </c>
      <c r="I38" s="296" t="s">
        <v>975</v>
      </c>
      <c r="J38" s="296" t="s">
        <v>449</v>
      </c>
      <c r="K38" s="252">
        <v>0</v>
      </c>
      <c r="T38" s="530" t="s">
        <v>207</v>
      </c>
      <c r="U38" s="523" t="s">
        <v>5825</v>
      </c>
      <c r="V38" s="523" t="s">
        <v>866</v>
      </c>
      <c r="W38" s="530" t="s">
        <v>2265</v>
      </c>
      <c r="X38" s="522">
        <f>'lead  charge'!D13</f>
        <v>0</v>
      </c>
      <c r="Y38" s="1032">
        <v>222.7</v>
      </c>
      <c r="Z38" s="1025">
        <f>'lead  charge'!E13</f>
        <v>0</v>
      </c>
      <c r="AA38" s="530"/>
      <c r="AB38" s="523">
        <v>0</v>
      </c>
      <c r="AC38" s="523">
        <f>SUM(Y38+Z38+AA38+AB38)</f>
        <v>222.7</v>
      </c>
      <c r="AD38" s="523" t="s">
        <v>6422</v>
      </c>
      <c r="AE38" s="522">
        <f t="shared" si="2"/>
        <v>866</v>
      </c>
      <c r="AF38" s="362">
        <v>866</v>
      </c>
      <c r="AG38" s="252">
        <f t="shared" si="3"/>
        <v>952.6</v>
      </c>
      <c r="AH38" s="252">
        <f t="shared" si="4"/>
        <v>1039.2</v>
      </c>
      <c r="AI38" s="252">
        <f t="shared" si="5"/>
        <v>1299</v>
      </c>
      <c r="AJ38" s="252">
        <f t="shared" si="6"/>
        <v>909.3</v>
      </c>
      <c r="AK38" s="252">
        <f t="shared" si="7"/>
        <v>1082.5</v>
      </c>
    </row>
    <row r="39" spans="1:37" ht="24" customHeight="1">
      <c r="A39" s="363">
        <f t="shared" ref="A39:A58" si="10">(A38+1)</f>
        <v>28</v>
      </c>
      <c r="B39" s="296" t="s">
        <v>209</v>
      </c>
      <c r="C39" s="372">
        <v>41</v>
      </c>
      <c r="D39" s="364">
        <v>500</v>
      </c>
      <c r="K39" s="358" t="s">
        <v>1586</v>
      </c>
      <c r="T39" s="530">
        <v>31</v>
      </c>
      <c r="U39" s="523" t="s">
        <v>5826</v>
      </c>
      <c r="V39" s="523" t="s">
        <v>866</v>
      </c>
      <c r="W39" s="530" t="s">
        <v>2265</v>
      </c>
      <c r="X39" s="522">
        <f>'lead  charge'!D16</f>
        <v>0</v>
      </c>
      <c r="Y39" s="1032">
        <v>166.5</v>
      </c>
      <c r="Z39" s="1025">
        <f>'lead  charge'!E16</f>
        <v>0</v>
      </c>
      <c r="AA39" s="530"/>
      <c r="AB39" s="523">
        <v>0</v>
      </c>
      <c r="AC39" s="523">
        <f>SUM(Y39+Z39+AA39+AB39)</f>
        <v>166.5</v>
      </c>
      <c r="AD39" s="523" t="s">
        <v>6423</v>
      </c>
      <c r="AE39" s="522">
        <f t="shared" si="2"/>
        <v>74.849999999999994</v>
      </c>
      <c r="AF39" s="362">
        <v>74.849999999999994</v>
      </c>
      <c r="AG39" s="252">
        <f t="shared" si="3"/>
        <v>82.34</v>
      </c>
      <c r="AH39" s="252">
        <f t="shared" si="4"/>
        <v>89.82</v>
      </c>
      <c r="AI39" s="252">
        <f t="shared" si="5"/>
        <v>112.28</v>
      </c>
      <c r="AJ39" s="252">
        <f t="shared" si="6"/>
        <v>78.59</v>
      </c>
      <c r="AK39" s="252">
        <f t="shared" si="7"/>
        <v>93.56</v>
      </c>
    </row>
    <row r="40" spans="1:37" ht="24" customHeight="1">
      <c r="A40" s="363">
        <f t="shared" si="10"/>
        <v>29</v>
      </c>
      <c r="B40" s="296" t="s">
        <v>1013</v>
      </c>
      <c r="C40" s="372">
        <v>28</v>
      </c>
      <c r="D40" s="314">
        <v>116.2</v>
      </c>
      <c r="H40" s="296" t="s">
        <v>1516</v>
      </c>
      <c r="K40" s="274">
        <f>SUM(K35:K38)</f>
        <v>3754.86</v>
      </c>
      <c r="T40" s="524"/>
      <c r="U40" s="522"/>
      <c r="V40" s="522"/>
      <c r="W40" s="530" t="s">
        <v>1586</v>
      </c>
      <c r="X40" s="522"/>
      <c r="Y40" s="522"/>
      <c r="Z40" s="1025"/>
      <c r="AA40" s="522"/>
      <c r="AB40" s="522"/>
      <c r="AC40" s="522"/>
      <c r="AD40" s="522"/>
      <c r="AE40" s="522">
        <f t="shared" si="2"/>
        <v>0</v>
      </c>
      <c r="AG40" s="252">
        <f t="shared" si="3"/>
        <v>0</v>
      </c>
      <c r="AH40" s="252">
        <f t="shared" si="4"/>
        <v>0</v>
      </c>
      <c r="AI40" s="252">
        <f t="shared" si="5"/>
        <v>0</v>
      </c>
      <c r="AJ40" s="252">
        <f t="shared" si="6"/>
        <v>0</v>
      </c>
      <c r="AK40" s="252">
        <f t="shared" si="7"/>
        <v>0</v>
      </c>
    </row>
    <row r="41" spans="1:37" ht="24" customHeight="1">
      <c r="A41" s="363">
        <f t="shared" si="10"/>
        <v>30</v>
      </c>
      <c r="B41" s="296" t="s">
        <v>1769</v>
      </c>
      <c r="C41" s="364">
        <f>AE22</f>
        <v>738</v>
      </c>
      <c r="D41" s="365" t="s">
        <v>769</v>
      </c>
      <c r="K41" s="358" t="s">
        <v>1586</v>
      </c>
      <c r="T41" s="522"/>
      <c r="U41" s="523" t="s">
        <v>5827</v>
      </c>
      <c r="V41" s="523" t="s">
        <v>1446</v>
      </c>
      <c r="W41" s="530"/>
      <c r="X41" s="522">
        <f>'lead  charge'!M10</f>
        <v>0</v>
      </c>
      <c r="Y41" s="608">
        <v>6595</v>
      </c>
      <c r="Z41" s="1025">
        <f>'lead  charge'!N10</f>
        <v>0</v>
      </c>
      <c r="AA41" s="530">
        <v>0</v>
      </c>
      <c r="AB41" s="523">
        <v>0</v>
      </c>
      <c r="AC41" s="523">
        <f t="shared" ref="AC41:AC47" si="11">SUM(Y41+Z41+AA41+AB41)</f>
        <v>6595</v>
      </c>
      <c r="AD41" s="1033" t="s">
        <v>5263</v>
      </c>
      <c r="AE41" s="522">
        <f t="shared" si="2"/>
        <v>78.900000000000006</v>
      </c>
      <c r="AF41" s="362">
        <v>78.900000000000006</v>
      </c>
      <c r="AG41" s="252">
        <f t="shared" si="3"/>
        <v>86.79</v>
      </c>
      <c r="AH41" s="252">
        <f t="shared" si="4"/>
        <v>94.68</v>
      </c>
      <c r="AI41" s="252">
        <f t="shared" si="5"/>
        <v>118.35</v>
      </c>
      <c r="AJ41" s="252">
        <f t="shared" si="6"/>
        <v>82.85</v>
      </c>
      <c r="AK41" s="252">
        <f t="shared" si="7"/>
        <v>98.63</v>
      </c>
    </row>
    <row r="42" spans="1:37" ht="24" customHeight="1">
      <c r="A42" s="363">
        <f t="shared" si="10"/>
        <v>31</v>
      </c>
      <c r="B42" s="296" t="s">
        <v>1770</v>
      </c>
      <c r="C42" s="372">
        <v>5</v>
      </c>
      <c r="D42" s="374" t="s">
        <v>1771</v>
      </c>
      <c r="G42" s="252" t="s">
        <v>2251</v>
      </c>
      <c r="H42" s="296" t="s">
        <v>1625</v>
      </c>
      <c r="T42" s="522"/>
      <c r="U42" s="523" t="s">
        <v>5828</v>
      </c>
      <c r="V42" s="523" t="s">
        <v>1446</v>
      </c>
      <c r="W42" s="530">
        <f>W41</f>
        <v>0</v>
      </c>
      <c r="X42" s="522">
        <f>X41</f>
        <v>0</v>
      </c>
      <c r="Y42" s="608">
        <v>6795</v>
      </c>
      <c r="Z42" s="1025">
        <f>Z41</f>
        <v>0</v>
      </c>
      <c r="AA42" s="530">
        <v>0</v>
      </c>
      <c r="AB42" s="523">
        <v>0</v>
      </c>
      <c r="AC42" s="523">
        <f t="shared" si="11"/>
        <v>6795</v>
      </c>
      <c r="AD42" s="1033" t="s">
        <v>374</v>
      </c>
      <c r="AE42" s="522">
        <f t="shared" si="2"/>
        <v>159.19999999999999</v>
      </c>
      <c r="AF42" s="362">
        <v>159.19999999999999</v>
      </c>
      <c r="AG42" s="252">
        <f t="shared" si="3"/>
        <v>175.12</v>
      </c>
      <c r="AH42" s="252">
        <f t="shared" si="4"/>
        <v>191.04</v>
      </c>
      <c r="AI42" s="252">
        <f t="shared" si="5"/>
        <v>238.8</v>
      </c>
      <c r="AJ42" s="252">
        <f t="shared" si="6"/>
        <v>167.16</v>
      </c>
      <c r="AK42" s="252">
        <f t="shared" si="7"/>
        <v>199</v>
      </c>
    </row>
    <row r="43" spans="1:37" ht="24" customHeight="1">
      <c r="A43" s="363">
        <f t="shared" si="10"/>
        <v>32</v>
      </c>
      <c r="B43" s="296" t="s">
        <v>5264</v>
      </c>
      <c r="C43" s="362">
        <v>9.35</v>
      </c>
      <c r="D43" s="374" t="s">
        <v>769</v>
      </c>
      <c r="H43" s="358" t="s">
        <v>1586</v>
      </c>
      <c r="T43" s="522"/>
      <c r="U43" s="523" t="s">
        <v>6041</v>
      </c>
      <c r="V43" s="523" t="s">
        <v>2151</v>
      </c>
      <c r="W43" s="530" t="str">
        <f>W11</f>
        <v>Andoor</v>
      </c>
      <c r="X43" s="522">
        <f>'lead  charge'!P13</f>
        <v>18</v>
      </c>
      <c r="Y43" s="608">
        <v>123.7</v>
      </c>
      <c r="Z43" s="1025">
        <f>'lead  charge'!Q13</f>
        <v>134.62</v>
      </c>
      <c r="AA43" s="530">
        <v>0</v>
      </c>
      <c r="AB43" s="523">
        <v>0</v>
      </c>
      <c r="AC43" s="523">
        <f t="shared" si="11"/>
        <v>258.32</v>
      </c>
      <c r="AD43" s="1033" t="s">
        <v>2262</v>
      </c>
      <c r="AE43" s="522">
        <f t="shared" si="2"/>
        <v>159.19999999999999</v>
      </c>
      <c r="AF43" s="362">
        <f>AF42</f>
        <v>159.19999999999999</v>
      </c>
      <c r="AG43" s="252">
        <f t="shared" si="3"/>
        <v>175.12</v>
      </c>
      <c r="AH43" s="252">
        <f t="shared" si="4"/>
        <v>191.04</v>
      </c>
      <c r="AI43" s="252">
        <f t="shared" si="5"/>
        <v>238.8</v>
      </c>
      <c r="AJ43" s="252">
        <f t="shared" si="6"/>
        <v>167.16</v>
      </c>
      <c r="AK43" s="252">
        <f t="shared" si="7"/>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523" t="s">
        <v>4572</v>
      </c>
      <c r="V44" s="523" t="s">
        <v>2151</v>
      </c>
      <c r="W44" s="530" t="str">
        <f>W43</f>
        <v>Andoor</v>
      </c>
      <c r="X44" s="522">
        <f>X11</f>
        <v>18</v>
      </c>
      <c r="Y44" s="608">
        <f>ROUND((687+1016)/2,2)</f>
        <v>851.5</v>
      </c>
      <c r="Z44" s="1025">
        <f>Z11</f>
        <v>196.18</v>
      </c>
      <c r="AA44" s="530">
        <v>0</v>
      </c>
      <c r="AB44" s="523">
        <v>0</v>
      </c>
      <c r="AC44" s="523">
        <f t="shared" si="11"/>
        <v>1047.68</v>
      </c>
      <c r="AD44" s="1033" t="s">
        <v>5265</v>
      </c>
      <c r="AE44" s="522">
        <f t="shared" si="2"/>
        <v>119.85</v>
      </c>
      <c r="AF44" s="362">
        <v>119.85</v>
      </c>
      <c r="AG44" s="252">
        <f t="shared" si="3"/>
        <v>131.84</v>
      </c>
      <c r="AH44" s="252">
        <f t="shared" si="4"/>
        <v>143.82</v>
      </c>
      <c r="AI44" s="252">
        <f t="shared" si="5"/>
        <v>179.78</v>
      </c>
      <c r="AJ44" s="252">
        <f t="shared" si="6"/>
        <v>125.84</v>
      </c>
      <c r="AK44" s="252">
        <f t="shared" si="7"/>
        <v>149.81</v>
      </c>
    </row>
    <row r="45" spans="1:37" ht="24" customHeight="1">
      <c r="A45" s="363">
        <f t="shared" si="10"/>
        <v>34</v>
      </c>
      <c r="B45" s="296" t="s">
        <v>1912</v>
      </c>
      <c r="C45" s="362">
        <v>11.2</v>
      </c>
      <c r="D45" s="374" t="s">
        <v>769</v>
      </c>
      <c r="F45" s="252">
        <v>1</v>
      </c>
      <c r="G45" s="252" t="s">
        <v>869</v>
      </c>
      <c r="H45" s="296" t="s">
        <v>870</v>
      </c>
      <c r="I45" s="252">
        <f>I36</f>
        <v>1464.46</v>
      </c>
      <c r="J45" s="296" t="s">
        <v>869</v>
      </c>
      <c r="K45" s="252">
        <f>(F45*I45)</f>
        <v>1464.46</v>
      </c>
      <c r="T45" s="522"/>
      <c r="U45" s="523" t="s">
        <v>6042</v>
      </c>
      <c r="V45" s="522"/>
      <c r="W45" s="530">
        <f>W41</f>
        <v>0</v>
      </c>
      <c r="X45" s="522">
        <f>'lead  charge'!M10</f>
        <v>0</v>
      </c>
      <c r="Y45" s="608">
        <v>6595</v>
      </c>
      <c r="Z45" s="1025">
        <f>Z41</f>
        <v>0</v>
      </c>
      <c r="AA45" s="522"/>
      <c r="AB45" s="522"/>
      <c r="AC45" s="523">
        <f t="shared" si="11"/>
        <v>6595</v>
      </c>
      <c r="AD45" s="1033" t="s">
        <v>285</v>
      </c>
      <c r="AE45" s="522">
        <f t="shared" si="2"/>
        <v>236.1</v>
      </c>
      <c r="AF45" s="362">
        <v>236.1</v>
      </c>
      <c r="AG45" s="252">
        <f t="shared" si="3"/>
        <v>259.70999999999998</v>
      </c>
      <c r="AH45" s="252">
        <f t="shared" si="4"/>
        <v>283.32</v>
      </c>
      <c r="AI45" s="252">
        <f t="shared" si="5"/>
        <v>354.15</v>
      </c>
      <c r="AJ45" s="252">
        <f t="shared" si="6"/>
        <v>247.91</v>
      </c>
      <c r="AK45" s="252">
        <f t="shared" si="7"/>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523" t="s">
        <v>4564</v>
      </c>
      <c r="V46" s="523" t="s">
        <v>866</v>
      </c>
      <c r="W46" s="530" t="str">
        <f>W17</f>
        <v>Kattachal</v>
      </c>
      <c r="X46" s="522">
        <f>'lead  charge'!D11</f>
        <v>11</v>
      </c>
      <c r="Y46" s="1026">
        <v>1338</v>
      </c>
      <c r="Z46" s="1025">
        <f>'lead  charge'!E11</f>
        <v>126.46</v>
      </c>
      <c r="AA46" s="530"/>
      <c r="AB46" s="523">
        <v>0</v>
      </c>
      <c r="AC46" s="523">
        <f t="shared" si="11"/>
        <v>1464.46</v>
      </c>
      <c r="AD46" s="1033" t="s">
        <v>831</v>
      </c>
      <c r="AE46" s="522">
        <f t="shared" si="2"/>
        <v>236.1</v>
      </c>
      <c r="AF46" s="362">
        <f>AF45</f>
        <v>236.1</v>
      </c>
      <c r="AG46" s="252">
        <f t="shared" si="3"/>
        <v>259.70999999999998</v>
      </c>
      <c r="AH46" s="252">
        <f t="shared" si="4"/>
        <v>283.32</v>
      </c>
      <c r="AI46" s="252">
        <f t="shared" si="5"/>
        <v>354.15</v>
      </c>
      <c r="AJ46" s="252">
        <f t="shared" si="6"/>
        <v>247.91</v>
      </c>
      <c r="AK46" s="252">
        <f t="shared" si="7"/>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523" t="s">
        <v>4345</v>
      </c>
      <c r="V47" s="523" t="s">
        <v>866</v>
      </c>
      <c r="W47" s="530" t="str">
        <f>W46</f>
        <v>Kattachal</v>
      </c>
      <c r="X47" s="522">
        <f>X46</f>
        <v>11</v>
      </c>
      <c r="Y47" s="1026">
        <f>Y46</f>
        <v>1338</v>
      </c>
      <c r="Z47" s="1025">
        <f>Z46</f>
        <v>126.46</v>
      </c>
      <c r="AA47" s="530"/>
      <c r="AB47" s="523">
        <v>0</v>
      </c>
      <c r="AC47" s="523">
        <f t="shared" si="11"/>
        <v>1464.46</v>
      </c>
      <c r="AD47" s="1034"/>
      <c r="AE47" s="522">
        <f t="shared" si="2"/>
        <v>0</v>
      </c>
      <c r="AG47" s="252">
        <f t="shared" si="3"/>
        <v>0</v>
      </c>
      <c r="AH47" s="252">
        <f t="shared" si="4"/>
        <v>0</v>
      </c>
      <c r="AI47" s="252">
        <f t="shared" si="5"/>
        <v>0</v>
      </c>
      <c r="AJ47" s="252">
        <f t="shared" si="6"/>
        <v>0</v>
      </c>
      <c r="AK47" s="252">
        <f t="shared" si="7"/>
        <v>0</v>
      </c>
    </row>
    <row r="48" spans="1:37" ht="24" customHeight="1">
      <c r="A48" s="363">
        <f t="shared" si="10"/>
        <v>37</v>
      </c>
      <c r="B48" s="296" t="s">
        <v>1256</v>
      </c>
      <c r="C48" s="362">
        <v>23.5</v>
      </c>
      <c r="D48" s="362">
        <v>47.35</v>
      </c>
      <c r="K48" s="358" t="s">
        <v>1586</v>
      </c>
      <c r="O48" s="296" t="s">
        <v>643</v>
      </c>
      <c r="T48" s="524" t="s">
        <v>1586</v>
      </c>
      <c r="U48" s="524" t="s">
        <v>1586</v>
      </c>
      <c r="V48" s="524" t="s">
        <v>1586</v>
      </c>
      <c r="W48" s="524" t="s">
        <v>1586</v>
      </c>
      <c r="X48" s="524" t="s">
        <v>1586</v>
      </c>
      <c r="Y48" s="524" t="s">
        <v>1586</v>
      </c>
      <c r="Z48" s="524" t="s">
        <v>1586</v>
      </c>
      <c r="AA48" s="524" t="s">
        <v>1586</v>
      </c>
      <c r="AB48" s="524" t="s">
        <v>1586</v>
      </c>
      <c r="AC48" s="524" t="s">
        <v>1586</v>
      </c>
      <c r="AD48" s="524" t="s">
        <v>1586</v>
      </c>
      <c r="AE48" s="522" t="str">
        <f t="shared" si="2"/>
        <v>-</v>
      </c>
      <c r="AF48" s="358" t="s">
        <v>1586</v>
      </c>
      <c r="AG48" s="252">
        <f t="shared" si="3"/>
        <v>0</v>
      </c>
      <c r="AH48" s="252">
        <f t="shared" si="4"/>
        <v>0</v>
      </c>
      <c r="AI48" s="252">
        <f t="shared" si="5"/>
        <v>0</v>
      </c>
      <c r="AJ48" s="252">
        <f t="shared" si="6"/>
        <v>0</v>
      </c>
      <c r="AK48" s="252">
        <f t="shared" si="7"/>
        <v>0</v>
      </c>
    </row>
    <row r="49" spans="1:45" ht="24" customHeight="1">
      <c r="A49" s="363">
        <f t="shared" si="10"/>
        <v>38</v>
      </c>
      <c r="B49" s="296" t="s">
        <v>1706</v>
      </c>
      <c r="C49" s="362">
        <v>25.5</v>
      </c>
      <c r="D49" s="362">
        <v>33.200000000000003</v>
      </c>
      <c r="H49" s="296" t="s">
        <v>1516</v>
      </c>
      <c r="K49" s="274">
        <f>SUM(K44:K47)</f>
        <v>3319.98</v>
      </c>
      <c r="O49" s="358" t="s">
        <v>1586</v>
      </c>
      <c r="T49" s="522"/>
      <c r="U49" s="522"/>
      <c r="V49" s="522"/>
      <c r="W49" s="530"/>
      <c r="X49" s="522"/>
      <c r="Y49" s="522"/>
      <c r="Z49" s="1025"/>
      <c r="AA49" s="522"/>
      <c r="AB49" s="522"/>
      <c r="AC49" s="522"/>
      <c r="AD49" s="1033" t="s">
        <v>5266</v>
      </c>
      <c r="AE49" s="522">
        <f t="shared" si="2"/>
        <v>4.2</v>
      </c>
      <c r="AF49" s="362">
        <v>4.2</v>
      </c>
      <c r="AG49" s="252">
        <f t="shared" si="3"/>
        <v>4.62</v>
      </c>
      <c r="AH49" s="252">
        <f t="shared" si="4"/>
        <v>5.04</v>
      </c>
      <c r="AI49" s="252">
        <f t="shared" si="5"/>
        <v>6.3</v>
      </c>
      <c r="AJ49" s="252">
        <f t="shared" si="6"/>
        <v>4.41</v>
      </c>
      <c r="AK49" s="252">
        <f t="shared" si="7"/>
        <v>5.25</v>
      </c>
    </row>
    <row r="50" spans="1:45" ht="24" customHeight="1">
      <c r="A50" s="363">
        <f t="shared" si="10"/>
        <v>39</v>
      </c>
      <c r="B50" s="296" t="s">
        <v>4026</v>
      </c>
      <c r="C50" s="362">
        <v>13.35</v>
      </c>
      <c r="D50" s="374" t="s">
        <v>769</v>
      </c>
      <c r="K50" s="358" t="s">
        <v>1586</v>
      </c>
      <c r="M50" s="252">
        <v>9</v>
      </c>
      <c r="N50" s="296" t="s">
        <v>869</v>
      </c>
      <c r="O50" s="296" t="s">
        <v>643</v>
      </c>
      <c r="P50" s="252">
        <f>(C81)</f>
        <v>846.46</v>
      </c>
      <c r="Q50" s="296" t="s">
        <v>869</v>
      </c>
      <c r="R50" s="252">
        <f>(M50*P50)</f>
        <v>7618.14</v>
      </c>
      <c r="T50" s="522"/>
      <c r="U50" s="522" t="s">
        <v>6425</v>
      </c>
      <c r="V50" s="522"/>
      <c r="W50" s="530"/>
      <c r="X50" s="522"/>
      <c r="Y50" s="522"/>
      <c r="Z50" s="1025"/>
      <c r="AA50" s="522"/>
      <c r="AB50" s="522"/>
      <c r="AC50" s="522"/>
      <c r="AD50" s="1033" t="s">
        <v>5829</v>
      </c>
      <c r="AE50" s="522">
        <f t="shared" si="2"/>
        <v>5.25</v>
      </c>
      <c r="AF50" s="362">
        <v>5.25</v>
      </c>
      <c r="AG50" s="252">
        <f t="shared" si="3"/>
        <v>5.78</v>
      </c>
      <c r="AH50" s="252">
        <f t="shared" si="4"/>
        <v>6.3</v>
      </c>
      <c r="AI50" s="252">
        <f t="shared" si="5"/>
        <v>7.88</v>
      </c>
      <c r="AJ50" s="252">
        <f t="shared" si="6"/>
        <v>5.51</v>
      </c>
      <c r="AK50" s="252">
        <f t="shared" si="7"/>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2667.66</v>
      </c>
      <c r="Q51" s="296" t="s">
        <v>869</v>
      </c>
      <c r="R51" s="252">
        <f>(M51*P51)</f>
        <v>12004.47</v>
      </c>
      <c r="T51" s="522"/>
      <c r="U51" s="522" t="s">
        <v>6496</v>
      </c>
      <c r="V51" s="522"/>
      <c r="W51" s="530"/>
      <c r="X51" s="522"/>
      <c r="Y51" s="522"/>
      <c r="Z51" s="1025"/>
      <c r="AA51" s="522"/>
      <c r="AB51" s="522"/>
      <c r="AC51" s="522"/>
      <c r="AD51" s="1033" t="s">
        <v>5267</v>
      </c>
      <c r="AE51" s="522">
        <f t="shared" si="2"/>
        <v>0</v>
      </c>
      <c r="AF51" s="362"/>
      <c r="AG51" s="252">
        <f t="shared" si="3"/>
        <v>0</v>
      </c>
      <c r="AH51" s="252">
        <f t="shared" si="4"/>
        <v>0</v>
      </c>
      <c r="AI51" s="252">
        <f t="shared" si="5"/>
        <v>0</v>
      </c>
      <c r="AJ51" s="252">
        <f t="shared" si="6"/>
        <v>0</v>
      </c>
      <c r="AK51" s="252">
        <f t="shared" si="7"/>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522"/>
      <c r="V52" s="522"/>
      <c r="W52" s="530"/>
      <c r="X52" s="522"/>
      <c r="Y52" s="522"/>
      <c r="Z52" s="1025"/>
      <c r="AA52" s="522"/>
      <c r="AB52" s="522"/>
      <c r="AC52" s="522"/>
      <c r="AD52" s="1033" t="s">
        <v>5830</v>
      </c>
      <c r="AE52" s="522">
        <f t="shared" si="2"/>
        <v>214.1</v>
      </c>
      <c r="AF52" s="362">
        <v>214.1</v>
      </c>
      <c r="AG52" s="252">
        <f t="shared" si="3"/>
        <v>235.51</v>
      </c>
      <c r="AH52" s="252">
        <f t="shared" si="4"/>
        <v>256.92</v>
      </c>
      <c r="AI52" s="252">
        <f t="shared" si="5"/>
        <v>321.14999999999998</v>
      </c>
      <c r="AJ52" s="252">
        <f t="shared" si="6"/>
        <v>224.81</v>
      </c>
      <c r="AK52" s="252">
        <f t="shared" si="7"/>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522"/>
      <c r="V53" s="522"/>
      <c r="W53" s="530"/>
      <c r="X53" s="522"/>
      <c r="Y53" s="522"/>
      <c r="Z53" s="1025"/>
      <c r="AA53" s="522"/>
      <c r="AB53" s="522"/>
      <c r="AC53" s="522"/>
      <c r="AD53" s="1033" t="s">
        <v>5831</v>
      </c>
      <c r="AE53" s="522">
        <f t="shared" si="2"/>
        <v>330.2</v>
      </c>
      <c r="AF53" s="362">
        <v>330.2</v>
      </c>
      <c r="AG53" s="252">
        <f t="shared" si="3"/>
        <v>363.22</v>
      </c>
      <c r="AH53" s="252">
        <f t="shared" si="4"/>
        <v>396.24</v>
      </c>
      <c r="AI53" s="252">
        <f t="shared" si="5"/>
        <v>495.3</v>
      </c>
      <c r="AJ53" s="252">
        <f t="shared" si="6"/>
        <v>346.71</v>
      </c>
      <c r="AK53" s="252">
        <f t="shared" si="7"/>
        <v>412.75</v>
      </c>
    </row>
    <row r="54" spans="1:45" ht="24" customHeight="1">
      <c r="A54" s="363">
        <f t="shared" si="10"/>
        <v>43</v>
      </c>
      <c r="B54" s="296" t="s">
        <v>319</v>
      </c>
      <c r="C54" s="362">
        <v>42.65</v>
      </c>
      <c r="D54" s="362">
        <v>72.150000000000006</v>
      </c>
      <c r="F54" s="252">
        <v>1</v>
      </c>
      <c r="G54" s="252" t="s">
        <v>869</v>
      </c>
      <c r="H54" s="296" t="s">
        <v>870</v>
      </c>
      <c r="I54" s="252">
        <f>(C78)</f>
        <v>1464.46</v>
      </c>
      <c r="J54" s="296" t="s">
        <v>869</v>
      </c>
      <c r="K54" s="252">
        <f>(F54*I54)</f>
        <v>1464.46</v>
      </c>
      <c r="M54" s="252">
        <v>14.1</v>
      </c>
      <c r="N54" s="296" t="s">
        <v>868</v>
      </c>
      <c r="O54" s="296" t="s">
        <v>320</v>
      </c>
      <c r="P54" s="252">
        <f>(C13)</f>
        <v>534</v>
      </c>
      <c r="Q54" s="296" t="s">
        <v>868</v>
      </c>
      <c r="R54" s="252">
        <f>(M54*P54)</f>
        <v>7529.4</v>
      </c>
      <c r="T54" s="522"/>
      <c r="U54" s="522"/>
      <c r="V54" s="522"/>
      <c r="W54" s="530"/>
      <c r="X54" s="522"/>
      <c r="Y54" s="522"/>
      <c r="Z54" s="1025"/>
      <c r="AA54" s="522"/>
      <c r="AB54" s="522"/>
      <c r="AC54" s="522"/>
      <c r="AD54" s="1033" t="s">
        <v>5832</v>
      </c>
      <c r="AE54" s="522">
        <f t="shared" si="2"/>
        <v>9.1</v>
      </c>
      <c r="AF54" s="362">
        <v>9.1</v>
      </c>
      <c r="AG54" s="252">
        <f t="shared" si="3"/>
        <v>10.01</v>
      </c>
      <c r="AH54" s="252">
        <f t="shared" si="4"/>
        <v>10.92</v>
      </c>
      <c r="AI54" s="252">
        <f t="shared" si="5"/>
        <v>13.65</v>
      </c>
      <c r="AJ54" s="252">
        <f t="shared" si="6"/>
        <v>9.56</v>
      </c>
      <c r="AK54" s="252">
        <f t="shared" si="7"/>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522"/>
      <c r="V55" s="522"/>
      <c r="W55" s="530"/>
      <c r="X55" s="522"/>
      <c r="Y55" s="522"/>
      <c r="Z55" s="1025"/>
      <c r="AA55" s="522"/>
      <c r="AB55" s="522"/>
      <c r="AC55" s="522"/>
      <c r="AD55" s="1033" t="s">
        <v>5833</v>
      </c>
      <c r="AE55" s="522">
        <f t="shared" si="2"/>
        <v>9.85</v>
      </c>
      <c r="AF55" s="362">
        <v>9.85</v>
      </c>
      <c r="AG55" s="252">
        <f t="shared" si="3"/>
        <v>10.84</v>
      </c>
      <c r="AH55" s="252">
        <f t="shared" si="4"/>
        <v>11.82</v>
      </c>
      <c r="AI55" s="252">
        <f t="shared" si="5"/>
        <v>14.78</v>
      </c>
      <c r="AJ55" s="252">
        <f t="shared" si="6"/>
        <v>10.34</v>
      </c>
      <c r="AK55" s="252">
        <f t="shared" si="7"/>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522"/>
      <c r="V56" s="522"/>
      <c r="W56" s="530"/>
      <c r="X56" s="522"/>
      <c r="Y56" s="522"/>
      <c r="Z56" s="522"/>
      <c r="AA56" s="522"/>
      <c r="AB56" s="522"/>
      <c r="AC56" s="522"/>
      <c r="AD56" s="1033" t="s">
        <v>5834</v>
      </c>
      <c r="AE56" s="522">
        <f t="shared" si="2"/>
        <v>10.199999999999999</v>
      </c>
      <c r="AF56" s="362">
        <v>10.199999999999999</v>
      </c>
      <c r="AG56" s="252">
        <f t="shared" si="3"/>
        <v>11.22</v>
      </c>
      <c r="AH56" s="252">
        <f t="shared" si="4"/>
        <v>12.24</v>
      </c>
      <c r="AI56" s="252">
        <f t="shared" si="5"/>
        <v>15.3</v>
      </c>
      <c r="AJ56" s="252">
        <f t="shared" si="6"/>
        <v>10.71</v>
      </c>
      <c r="AK56" s="252">
        <f t="shared" si="7"/>
        <v>12.75</v>
      </c>
    </row>
    <row r="57" spans="1:45" ht="24" customHeight="1">
      <c r="A57" s="363">
        <f t="shared" si="10"/>
        <v>46</v>
      </c>
      <c r="B57" s="296" t="s">
        <v>5268</v>
      </c>
      <c r="C57" s="362">
        <f>228.6/8</f>
        <v>28.58</v>
      </c>
      <c r="D57" s="365" t="s">
        <v>449</v>
      </c>
      <c r="K57" s="358" t="s">
        <v>1586</v>
      </c>
      <c r="O57" s="296" t="s">
        <v>614</v>
      </c>
      <c r="R57" s="252">
        <f>SUM(R50:R55)</f>
        <v>40352.31</v>
      </c>
      <c r="T57" s="522"/>
      <c r="U57" s="522"/>
      <c r="V57" s="522"/>
      <c r="W57" s="530"/>
      <c r="X57" s="522"/>
      <c r="Y57" s="522"/>
      <c r="Z57" s="522"/>
      <c r="AA57" s="522"/>
      <c r="AB57" s="522"/>
      <c r="AC57" s="522"/>
      <c r="AD57" s="1033" t="s">
        <v>6043</v>
      </c>
      <c r="AE57" s="522">
        <f t="shared" si="2"/>
        <v>1547</v>
      </c>
      <c r="AF57" s="362">
        <v>1547</v>
      </c>
      <c r="AG57" s="252">
        <f t="shared" si="3"/>
        <v>1701.7</v>
      </c>
      <c r="AH57" s="252">
        <f t="shared" si="4"/>
        <v>1856.4</v>
      </c>
      <c r="AI57" s="252">
        <f t="shared" si="5"/>
        <v>2320.5</v>
      </c>
      <c r="AJ57" s="252">
        <f t="shared" si="6"/>
        <v>1624.35</v>
      </c>
      <c r="AK57" s="252">
        <f t="shared" si="7"/>
        <v>1933.75</v>
      </c>
    </row>
    <row r="58" spans="1:45" ht="24" customHeight="1">
      <c r="A58" s="363">
        <f t="shared" si="10"/>
        <v>47</v>
      </c>
      <c r="B58" s="296" t="s">
        <v>5835</v>
      </c>
      <c r="C58" s="362">
        <v>11.9</v>
      </c>
      <c r="D58" s="365" t="s">
        <v>5836</v>
      </c>
      <c r="H58" s="296" t="s">
        <v>1516</v>
      </c>
      <c r="K58" s="274">
        <f>SUM(K53:K56)</f>
        <v>3030.06</v>
      </c>
      <c r="R58" s="358" t="s">
        <v>1586</v>
      </c>
      <c r="T58" s="522"/>
      <c r="U58" s="522"/>
      <c r="V58" s="522"/>
      <c r="W58" s="530"/>
      <c r="X58" s="522"/>
      <c r="Y58" s="522"/>
      <c r="Z58" s="522"/>
      <c r="AA58" s="522"/>
      <c r="AB58" s="522"/>
      <c r="AC58" s="522"/>
      <c r="AD58" s="523" t="s">
        <v>6424</v>
      </c>
      <c r="AE58" s="522">
        <f t="shared" si="2"/>
        <v>1436</v>
      </c>
      <c r="AF58" s="362">
        <v>1436</v>
      </c>
      <c r="AG58" s="252">
        <f t="shared" si="3"/>
        <v>1579.6</v>
      </c>
      <c r="AH58" s="252">
        <f t="shared" si="4"/>
        <v>1723.2</v>
      </c>
      <c r="AI58" s="252">
        <f t="shared" si="5"/>
        <v>2154</v>
      </c>
      <c r="AJ58" s="252">
        <f t="shared" si="6"/>
        <v>1507.8</v>
      </c>
      <c r="AK58" s="252">
        <f t="shared" si="7"/>
        <v>1795</v>
      </c>
    </row>
    <row r="59" spans="1:45" ht="24" customHeight="1">
      <c r="A59" s="364"/>
      <c r="C59" s="364"/>
      <c r="D59" s="364"/>
      <c r="F59" s="296" t="s">
        <v>975</v>
      </c>
      <c r="T59" s="522"/>
      <c r="U59" s="522"/>
      <c r="V59" s="522"/>
      <c r="W59" s="530"/>
      <c r="X59" s="522"/>
      <c r="Y59" s="522"/>
      <c r="Z59" s="522"/>
      <c r="AA59" s="522"/>
      <c r="AB59" s="522"/>
      <c r="AC59" s="522"/>
      <c r="AD59" s="523" t="s">
        <v>5260</v>
      </c>
      <c r="AE59" s="522">
        <f t="shared" si="2"/>
        <v>10.55</v>
      </c>
      <c r="AF59" s="370">
        <v>10.55</v>
      </c>
      <c r="AG59" s="252">
        <f t="shared" si="3"/>
        <v>11.61</v>
      </c>
      <c r="AH59" s="252">
        <f t="shared" si="4"/>
        <v>12.66</v>
      </c>
      <c r="AI59" s="252">
        <f t="shared" si="5"/>
        <v>15.83</v>
      </c>
      <c r="AJ59" s="252">
        <f t="shared" si="6"/>
        <v>11.08</v>
      </c>
      <c r="AK59" s="252">
        <f t="shared" si="7"/>
        <v>13.19</v>
      </c>
      <c r="AP59" s="274" t="s">
        <v>4343</v>
      </c>
    </row>
    <row r="60" spans="1:45" ht="24" customHeight="1">
      <c r="A60" s="363">
        <f>(A58+1)</f>
        <v>48</v>
      </c>
      <c r="B60" s="296" t="s">
        <v>5269</v>
      </c>
      <c r="C60" s="362">
        <v>32</v>
      </c>
      <c r="D60" s="296" t="s">
        <v>2077</v>
      </c>
      <c r="K60" s="358" t="s">
        <v>1586</v>
      </c>
      <c r="O60" s="296" t="s">
        <v>773</v>
      </c>
      <c r="R60" s="252">
        <f>(R57/10)</f>
        <v>4035.23</v>
      </c>
      <c r="T60" s="522"/>
      <c r="U60" s="522"/>
      <c r="V60" s="522"/>
      <c r="W60" s="530"/>
      <c r="X60" s="522"/>
      <c r="Y60" s="522"/>
      <c r="Z60" s="522"/>
      <c r="AA60" s="522"/>
      <c r="AB60" s="522"/>
      <c r="AC60" s="522"/>
      <c r="AD60" s="523" t="s">
        <v>5262</v>
      </c>
      <c r="AE60" s="522">
        <f t="shared" si="2"/>
        <v>55.35</v>
      </c>
      <c r="AF60" s="370">
        <v>55.35</v>
      </c>
      <c r="AG60" s="252">
        <f t="shared" si="3"/>
        <v>60.89</v>
      </c>
      <c r="AH60" s="252">
        <f t="shared" si="4"/>
        <v>66.42</v>
      </c>
      <c r="AI60" s="252">
        <f t="shared" si="5"/>
        <v>83.03</v>
      </c>
      <c r="AJ60" s="252">
        <f t="shared" si="6"/>
        <v>58.12</v>
      </c>
      <c r="AK60" s="252">
        <f t="shared" si="7"/>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522"/>
      <c r="V61" s="522"/>
      <c r="W61" s="530"/>
      <c r="X61" s="522"/>
      <c r="Y61" s="522"/>
      <c r="Z61" s="522"/>
      <c r="AA61" s="522"/>
      <c r="AB61" s="522"/>
      <c r="AC61" s="522"/>
      <c r="AD61" s="522"/>
      <c r="AE61" s="522">
        <f t="shared" si="2"/>
        <v>0</v>
      </c>
      <c r="AG61" s="252">
        <f t="shared" si="3"/>
        <v>0</v>
      </c>
      <c r="AH61" s="252">
        <f t="shared" si="4"/>
        <v>0</v>
      </c>
      <c r="AI61" s="252">
        <f t="shared" si="5"/>
        <v>0</v>
      </c>
      <c r="AJ61" s="252">
        <f t="shared" si="6"/>
        <v>0</v>
      </c>
      <c r="AK61" s="252">
        <f t="shared" si="7"/>
        <v>0</v>
      </c>
      <c r="AP61" s="296" t="s">
        <v>3745</v>
      </c>
      <c r="AR61" s="296"/>
    </row>
    <row r="62" spans="1:45" ht="24" customHeight="1">
      <c r="A62" s="363">
        <f t="shared" si="12"/>
        <v>50</v>
      </c>
      <c r="B62" s="296" t="s">
        <v>5271</v>
      </c>
      <c r="C62" s="362">
        <v>708</v>
      </c>
      <c r="D62" s="296" t="s">
        <v>868</v>
      </c>
      <c r="H62" s="358" t="s">
        <v>1586</v>
      </c>
      <c r="N62" s="296" t="s">
        <v>2251</v>
      </c>
      <c r="O62" s="296" t="s">
        <v>1357</v>
      </c>
      <c r="T62" s="522"/>
      <c r="U62" s="522"/>
      <c r="V62" s="522"/>
      <c r="W62" s="530"/>
      <c r="X62" s="522"/>
      <c r="Y62" s="522"/>
      <c r="Z62" s="522"/>
      <c r="AA62" s="522"/>
      <c r="AB62" s="522"/>
      <c r="AC62" s="522"/>
      <c r="AD62" s="1035" t="s">
        <v>5954</v>
      </c>
      <c r="AE62" s="522">
        <f t="shared" si="2"/>
        <v>6380</v>
      </c>
      <c r="AF62" s="252">
        <v>6380</v>
      </c>
      <c r="AG62" s="252">
        <f t="shared" si="3"/>
        <v>7018</v>
      </c>
      <c r="AH62" s="252">
        <f t="shared" si="4"/>
        <v>7656</v>
      </c>
      <c r="AI62" s="252">
        <f t="shared" si="5"/>
        <v>9570</v>
      </c>
      <c r="AJ62" s="252">
        <f t="shared" si="6"/>
        <v>6699</v>
      </c>
      <c r="AK62" s="252">
        <f t="shared" si="7"/>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522"/>
      <c r="V63" s="522"/>
      <c r="W63" s="530"/>
      <c r="X63" s="522"/>
      <c r="Y63" s="522"/>
      <c r="Z63" s="522"/>
      <c r="AA63" s="522"/>
      <c r="AB63" s="1036"/>
      <c r="AC63" s="522"/>
      <c r="AD63" s="1037" t="s">
        <v>5955</v>
      </c>
      <c r="AE63" s="522">
        <f t="shared" si="2"/>
        <v>11.45</v>
      </c>
      <c r="AF63" s="252">
        <v>11.45</v>
      </c>
      <c r="AG63" s="252">
        <f t="shared" si="3"/>
        <v>12.6</v>
      </c>
      <c r="AH63" s="252">
        <f t="shared" si="4"/>
        <v>13.74</v>
      </c>
      <c r="AI63" s="252">
        <f t="shared" si="5"/>
        <v>17.18</v>
      </c>
      <c r="AJ63" s="252">
        <f t="shared" si="6"/>
        <v>12.02</v>
      </c>
      <c r="AK63" s="252">
        <f t="shared" si="7"/>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1464.46</v>
      </c>
      <c r="J64" s="296" t="s">
        <v>869</v>
      </c>
      <c r="K64" s="252">
        <f>(F64*I64)</f>
        <v>1464.46</v>
      </c>
      <c r="O64" s="358" t="s">
        <v>1586</v>
      </c>
      <c r="T64" s="522"/>
      <c r="U64" s="522"/>
      <c r="V64" s="522"/>
      <c r="W64" s="530"/>
      <c r="X64" s="522"/>
      <c r="Y64" s="522"/>
      <c r="Z64" s="522"/>
      <c r="AA64" s="522"/>
      <c r="AB64" s="522"/>
      <c r="AC64" s="522"/>
      <c r="AD64" s="1037" t="s">
        <v>5956</v>
      </c>
      <c r="AE64" s="522">
        <f t="shared" si="2"/>
        <v>44.25</v>
      </c>
      <c r="AF64" s="362">
        <v>44.25</v>
      </c>
      <c r="AG64" s="252">
        <f t="shared" si="3"/>
        <v>48.68</v>
      </c>
      <c r="AH64" s="252">
        <f t="shared" si="4"/>
        <v>53.1</v>
      </c>
      <c r="AI64" s="252">
        <f t="shared" si="5"/>
        <v>66.38</v>
      </c>
      <c r="AJ64" s="252">
        <f t="shared" si="6"/>
        <v>46.46</v>
      </c>
      <c r="AK64" s="252">
        <f t="shared" si="7"/>
        <v>55.31</v>
      </c>
      <c r="AN64" s="356">
        <v>0.70799999999999996</v>
      </c>
      <c r="AO64" s="252" t="s">
        <v>869</v>
      </c>
      <c r="AP64" s="296" t="s">
        <v>1625</v>
      </c>
      <c r="AQ64" s="252">
        <f>K49</f>
        <v>3319.98</v>
      </c>
      <c r="AR64" s="296" t="s">
        <v>869</v>
      </c>
      <c r="AS64" s="252">
        <f>(AN64*AQ64)</f>
        <v>2350.5500000000002</v>
      </c>
    </row>
    <row r="65" spans="1:45" s="288" customFormat="1" ht="24" customHeight="1">
      <c r="A65" s="379">
        <f t="shared" si="12"/>
        <v>53</v>
      </c>
      <c r="B65" s="371" t="s">
        <v>5837</v>
      </c>
      <c r="C65" s="380">
        <v>391.1</v>
      </c>
      <c r="D65" s="371" t="s">
        <v>1359</v>
      </c>
      <c r="F65" s="288">
        <v>1</v>
      </c>
      <c r="G65" s="288" t="s">
        <v>869</v>
      </c>
      <c r="H65" s="371" t="s">
        <v>874</v>
      </c>
      <c r="I65" s="288">
        <f>(C18)</f>
        <v>116</v>
      </c>
      <c r="J65" s="371" t="s">
        <v>869</v>
      </c>
      <c r="K65" s="288">
        <f>(F65*I65)</f>
        <v>116</v>
      </c>
      <c r="M65" s="288">
        <v>9</v>
      </c>
      <c r="N65" s="371" t="s">
        <v>869</v>
      </c>
      <c r="O65" s="371" t="s">
        <v>1487</v>
      </c>
      <c r="P65" s="288">
        <f>(C73)</f>
        <v>1685.18</v>
      </c>
      <c r="Q65" s="371" t="s">
        <v>869</v>
      </c>
      <c r="R65" s="288">
        <f>(M65*P65)</f>
        <v>15166.62</v>
      </c>
      <c r="S65" s="381"/>
      <c r="U65" s="288" t="s">
        <v>5838</v>
      </c>
      <c r="W65" s="382"/>
      <c r="AE65" s="252">
        <f t="shared" si="2"/>
        <v>0</v>
      </c>
      <c r="AG65" s="252">
        <f t="shared" si="3"/>
        <v>0</v>
      </c>
      <c r="AH65" s="252">
        <f t="shared" si="4"/>
        <v>0</v>
      </c>
      <c r="AI65" s="252">
        <f t="shared" si="5"/>
        <v>0</v>
      </c>
      <c r="AJ65" s="252">
        <f t="shared" si="6"/>
        <v>0</v>
      </c>
      <c r="AK65" s="252">
        <f t="shared" si="7"/>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5929.26</v>
      </c>
      <c r="Q66" s="296" t="s">
        <v>869</v>
      </c>
      <c r="R66" s="252">
        <f>(M66*P66)</f>
        <v>26681.67</v>
      </c>
      <c r="U66" s="252" t="s">
        <v>5839</v>
      </c>
      <c r="V66" s="252" t="s">
        <v>2196</v>
      </c>
      <c r="W66" s="383">
        <v>195.7</v>
      </c>
      <c r="AE66" s="252">
        <f t="shared" si="2"/>
        <v>0</v>
      </c>
      <c r="AG66" s="252">
        <f t="shared" si="3"/>
        <v>0</v>
      </c>
      <c r="AH66" s="252">
        <f t="shared" si="4"/>
        <v>0</v>
      </c>
      <c r="AI66" s="252">
        <f t="shared" si="5"/>
        <v>0</v>
      </c>
      <c r="AJ66" s="252">
        <f t="shared" si="6"/>
        <v>0</v>
      </c>
      <c r="AK66" s="252">
        <f t="shared" si="7"/>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52" t="s">
        <v>5840</v>
      </c>
      <c r="V67" s="252" t="s">
        <v>2196</v>
      </c>
      <c r="W67" s="383">
        <v>370.25</v>
      </c>
      <c r="AD67" s="378" t="s">
        <v>6052</v>
      </c>
      <c r="AE67" s="252">
        <f t="shared" si="2"/>
        <v>36.950000000000003</v>
      </c>
      <c r="AF67" s="274">
        <v>36.950000000000003</v>
      </c>
      <c r="AG67" s="252">
        <f t="shared" si="3"/>
        <v>40.65</v>
      </c>
      <c r="AH67" s="252">
        <f t="shared" si="4"/>
        <v>44.34</v>
      </c>
      <c r="AI67" s="252" t="e">
        <f>#REF!*1.5</f>
        <v>#REF!</v>
      </c>
      <c r="AJ67" s="252" t="e">
        <f>#REF!*1.05</f>
        <v>#REF!</v>
      </c>
      <c r="AK67" s="252" t="e">
        <f>#REF!*1.25</f>
        <v>#REF!</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645.58000000000004</v>
      </c>
      <c r="D68" s="296" t="s">
        <v>869</v>
      </c>
      <c r="H68" s="296" t="s">
        <v>1516</v>
      </c>
      <c r="K68" s="274">
        <f>SUM(K63:K66)</f>
        <v>2824.7</v>
      </c>
      <c r="M68" s="252">
        <v>17.7</v>
      </c>
      <c r="N68" s="296" t="s">
        <v>868</v>
      </c>
      <c r="O68" s="296" t="s">
        <v>1902</v>
      </c>
      <c r="P68" s="252">
        <f>(C12)</f>
        <v>651</v>
      </c>
      <c r="Q68" s="296" t="s">
        <v>868</v>
      </c>
      <c r="R68" s="252">
        <f>(M68*P68)</f>
        <v>11522.7</v>
      </c>
      <c r="U68" s="252" t="s">
        <v>5841</v>
      </c>
      <c r="W68" s="253"/>
      <c r="AE68" s="252">
        <f t="shared" si="2"/>
        <v>0</v>
      </c>
      <c r="AG68" s="252">
        <f t="shared" si="3"/>
        <v>0</v>
      </c>
      <c r="AH68" s="252">
        <f t="shared" si="4"/>
        <v>0</v>
      </c>
      <c r="AI68" s="252">
        <f t="shared" si="5"/>
        <v>0</v>
      </c>
      <c r="AJ68" s="252">
        <f t="shared" si="6"/>
        <v>0</v>
      </c>
      <c r="AK68" s="252">
        <f t="shared" si="7"/>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844.58</v>
      </c>
      <c r="D69" s="296" t="s">
        <v>869</v>
      </c>
      <c r="K69" s="358" t="s">
        <v>1586</v>
      </c>
      <c r="M69" s="252">
        <v>14.1</v>
      </c>
      <c r="N69" s="296" t="s">
        <v>868</v>
      </c>
      <c r="O69" s="296" t="s">
        <v>320</v>
      </c>
      <c r="P69" s="252">
        <f>(C13)</f>
        <v>534</v>
      </c>
      <c r="Q69" s="296" t="s">
        <v>868</v>
      </c>
      <c r="R69" s="252">
        <f>(M69*P69)</f>
        <v>7529.4</v>
      </c>
      <c r="U69" s="252" t="s">
        <v>5842</v>
      </c>
      <c r="V69" s="252" t="s">
        <v>1398</v>
      </c>
      <c r="W69" s="383">
        <v>9180</v>
      </c>
      <c r="AE69" s="252">
        <f t="shared" si="2"/>
        <v>0</v>
      </c>
      <c r="AG69" s="252">
        <f t="shared" si="3"/>
        <v>0</v>
      </c>
      <c r="AH69" s="252">
        <f t="shared" si="4"/>
        <v>0</v>
      </c>
      <c r="AI69" s="252">
        <f t="shared" si="5"/>
        <v>0</v>
      </c>
      <c r="AJ69" s="252">
        <f t="shared" si="6"/>
        <v>0</v>
      </c>
      <c r="AK69" s="252">
        <f t="shared" si="7"/>
        <v>0</v>
      </c>
      <c r="AO69" s="252" t="s">
        <v>449</v>
      </c>
      <c r="AP69" s="296" t="s">
        <v>450</v>
      </c>
      <c r="AR69" s="296" t="s">
        <v>449</v>
      </c>
      <c r="AS69" s="252">
        <v>5</v>
      </c>
    </row>
    <row r="70" spans="1:45" ht="24" customHeight="1">
      <c r="A70" s="363">
        <f t="shared" si="12"/>
        <v>58</v>
      </c>
      <c r="B70" s="296" t="s">
        <v>1496</v>
      </c>
      <c r="C70" s="252">
        <f t="shared" si="13"/>
        <v>969.85</v>
      </c>
      <c r="D70" s="296" t="s">
        <v>869</v>
      </c>
      <c r="G70" s="252" t="s">
        <v>2251</v>
      </c>
      <c r="H70" s="296" t="s">
        <v>1632</v>
      </c>
      <c r="N70" s="296" t="s">
        <v>449</v>
      </c>
      <c r="O70" s="296" t="s">
        <v>450</v>
      </c>
      <c r="Q70" s="296" t="s">
        <v>449</v>
      </c>
      <c r="R70" s="252">
        <v>0</v>
      </c>
      <c r="U70" s="252" t="s">
        <v>5843</v>
      </c>
      <c r="V70" s="252" t="s">
        <v>1398</v>
      </c>
      <c r="W70" s="383">
        <v>7140</v>
      </c>
      <c r="AE70" s="252">
        <f t="shared" si="2"/>
        <v>0</v>
      </c>
      <c r="AG70" s="252">
        <f t="shared" si="3"/>
        <v>0</v>
      </c>
      <c r="AH70" s="252">
        <f t="shared" si="4"/>
        <v>0</v>
      </c>
      <c r="AI70" s="252">
        <f t="shared" si="5"/>
        <v>0</v>
      </c>
      <c r="AJ70" s="252">
        <f t="shared" si="6"/>
        <v>0</v>
      </c>
      <c r="AK70" s="252">
        <f t="shared" si="7"/>
        <v>0</v>
      </c>
      <c r="AR70" s="296"/>
      <c r="AS70" s="358" t="s">
        <v>1586</v>
      </c>
    </row>
    <row r="71" spans="1:45" ht="24" customHeight="1">
      <c r="A71" s="363">
        <f t="shared" si="12"/>
        <v>59</v>
      </c>
      <c r="B71" s="296" t="s">
        <v>1497</v>
      </c>
      <c r="C71" s="252">
        <f t="shared" si="13"/>
        <v>1212.18</v>
      </c>
      <c r="D71" s="296" t="s">
        <v>869</v>
      </c>
      <c r="H71" s="358" t="s">
        <v>1586</v>
      </c>
      <c r="R71" s="358" t="s">
        <v>1586</v>
      </c>
      <c r="U71" s="252" t="s">
        <v>5844</v>
      </c>
      <c r="V71" s="252" t="s">
        <v>5845</v>
      </c>
      <c r="W71" s="383">
        <v>8106</v>
      </c>
      <c r="AE71" s="252">
        <f t="shared" si="2"/>
        <v>0</v>
      </c>
      <c r="AG71" s="252">
        <f t="shared" si="3"/>
        <v>0</v>
      </c>
      <c r="AH71" s="252">
        <f t="shared" si="4"/>
        <v>0</v>
      </c>
      <c r="AI71" s="252">
        <f t="shared" si="5"/>
        <v>0</v>
      </c>
      <c r="AJ71" s="252">
        <f t="shared" si="6"/>
        <v>0</v>
      </c>
      <c r="AK71" s="252">
        <f t="shared" si="7"/>
        <v>0</v>
      </c>
      <c r="AP71" s="296" t="s">
        <v>3746</v>
      </c>
      <c r="AR71" s="296"/>
      <c r="AS71" s="252">
        <f>SUM(AS63:AS69)</f>
        <v>19230.05</v>
      </c>
    </row>
    <row r="72" spans="1:45" ht="24" customHeight="1">
      <c r="A72" s="363">
        <f t="shared" si="12"/>
        <v>60</v>
      </c>
      <c r="B72" s="296" t="s">
        <v>1498</v>
      </c>
      <c r="C72" s="252">
        <f t="shared" si="13"/>
        <v>1578.18</v>
      </c>
      <c r="D72" s="296" t="s">
        <v>869</v>
      </c>
      <c r="F72" s="252">
        <v>0.18</v>
      </c>
      <c r="G72" s="252" t="s">
        <v>861</v>
      </c>
      <c r="H72" s="296" t="s">
        <v>862</v>
      </c>
      <c r="I72" s="252">
        <f>(C67)</f>
        <v>6040</v>
      </c>
      <c r="J72" s="296" t="s">
        <v>861</v>
      </c>
      <c r="K72" s="252">
        <f>(F72*I72)</f>
        <v>1087.2</v>
      </c>
      <c r="O72" s="296" t="s">
        <v>614</v>
      </c>
      <c r="R72" s="252">
        <f>SUM(R65:R70)</f>
        <v>62577.99</v>
      </c>
      <c r="U72" s="252" t="s">
        <v>5846</v>
      </c>
      <c r="V72" s="252" t="s">
        <v>5845</v>
      </c>
      <c r="W72" s="383">
        <v>7482</v>
      </c>
      <c r="AE72" s="252">
        <f t="shared" si="2"/>
        <v>0</v>
      </c>
      <c r="AG72" s="252">
        <f t="shared" si="3"/>
        <v>0</v>
      </c>
      <c r="AH72" s="252">
        <f t="shared" si="4"/>
        <v>0</v>
      </c>
      <c r="AI72" s="252">
        <f t="shared" si="5"/>
        <v>0</v>
      </c>
      <c r="AJ72" s="252">
        <f t="shared" si="6"/>
        <v>0</v>
      </c>
      <c r="AK72" s="252">
        <f t="shared" si="7"/>
        <v>0</v>
      </c>
      <c r="AR72" s="296"/>
      <c r="AS72" s="358" t="s">
        <v>1586</v>
      </c>
    </row>
    <row r="73" spans="1:45" ht="24" customHeight="1">
      <c r="A73" s="363">
        <f t="shared" si="12"/>
        <v>61</v>
      </c>
      <c r="B73" s="296" t="s">
        <v>655</v>
      </c>
      <c r="C73" s="252">
        <f t="shared" si="13"/>
        <v>1685.18</v>
      </c>
      <c r="D73" s="296" t="s">
        <v>869</v>
      </c>
      <c r="F73" s="252">
        <v>1</v>
      </c>
      <c r="G73" s="252" t="s">
        <v>869</v>
      </c>
      <c r="H73" s="296" t="s">
        <v>870</v>
      </c>
      <c r="I73" s="252">
        <f>(C78)</f>
        <v>1464.46</v>
      </c>
      <c r="J73" s="296" t="s">
        <v>869</v>
      </c>
      <c r="K73" s="252">
        <f>(F73*I73)</f>
        <v>1464.46</v>
      </c>
      <c r="R73" s="358" t="s">
        <v>1586</v>
      </c>
      <c r="W73" s="253"/>
      <c r="AE73" s="252">
        <f t="shared" si="2"/>
        <v>0</v>
      </c>
      <c r="AG73" s="252">
        <f t="shared" si="3"/>
        <v>0</v>
      </c>
      <c r="AH73" s="252">
        <f t="shared" si="4"/>
        <v>0</v>
      </c>
      <c r="AI73" s="252">
        <f t="shared" si="5"/>
        <v>0</v>
      </c>
      <c r="AJ73" s="252">
        <f t="shared" si="6"/>
        <v>0</v>
      </c>
      <c r="AK73" s="252">
        <f t="shared" si="7"/>
        <v>0</v>
      </c>
      <c r="AP73" s="255" t="s">
        <v>773</v>
      </c>
      <c r="AR73" s="296"/>
      <c r="AS73" s="274">
        <f>(AS71/2.83168)</f>
        <v>6791.04</v>
      </c>
    </row>
    <row r="74" spans="1:45" ht="24" customHeight="1">
      <c r="A74" s="363">
        <f t="shared" si="12"/>
        <v>62</v>
      </c>
      <c r="B74" s="296" t="s">
        <v>954</v>
      </c>
      <c r="C74" s="252">
        <f t="shared" si="13"/>
        <v>1265.98</v>
      </c>
      <c r="D74" s="296" t="s">
        <v>869</v>
      </c>
      <c r="F74" s="252">
        <v>1</v>
      </c>
      <c r="G74" s="252" t="s">
        <v>869</v>
      </c>
      <c r="H74" s="296" t="s">
        <v>874</v>
      </c>
      <c r="I74" s="252">
        <f>(C18)</f>
        <v>116</v>
      </c>
      <c r="J74" s="296" t="s">
        <v>869</v>
      </c>
      <c r="K74" s="252">
        <f>(F74*I74)</f>
        <v>116</v>
      </c>
      <c r="O74" s="296" t="s">
        <v>773</v>
      </c>
      <c r="R74" s="252">
        <f>(R72/10)</f>
        <v>6257.8</v>
      </c>
      <c r="U74" s="262" t="s">
        <v>5847</v>
      </c>
      <c r="V74" s="252" t="s">
        <v>5848</v>
      </c>
      <c r="W74" s="383">
        <v>2419</v>
      </c>
      <c r="AE74" s="252">
        <f t="shared" ref="AE74:AE106"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252">
        <f t="shared" si="14"/>
        <v>0</v>
      </c>
      <c r="AG75" s="252">
        <f t="shared" si="15"/>
        <v>0</v>
      </c>
      <c r="AH75" s="252">
        <f t="shared" ref="AH75:AH98" si="20">AF75*1.2</f>
        <v>0</v>
      </c>
      <c r="AI75" s="252">
        <f t="shared" si="17"/>
        <v>0</v>
      </c>
      <c r="AJ75" s="252">
        <f t="shared" si="18"/>
        <v>0</v>
      </c>
      <c r="AK75" s="252">
        <f t="shared" si="19"/>
        <v>0</v>
      </c>
      <c r="AP75" s="296" t="s">
        <v>386</v>
      </c>
      <c r="AR75" s="296"/>
      <c r="AS75" s="252">
        <f>AS73+C19</f>
        <v>6869.94</v>
      </c>
    </row>
    <row r="76" spans="1:45" ht="24" customHeight="1">
      <c r="A76" s="363">
        <f t="shared" si="12"/>
        <v>64</v>
      </c>
      <c r="B76" s="296" t="s">
        <v>956</v>
      </c>
      <c r="C76" s="372">
        <v>460</v>
      </c>
      <c r="D76" s="314">
        <v>290</v>
      </c>
      <c r="E76" s="252" t="s">
        <v>4225</v>
      </c>
      <c r="K76" s="358" t="s">
        <v>1586</v>
      </c>
      <c r="N76" s="296" t="s">
        <v>2251</v>
      </c>
      <c r="O76" s="296" t="s">
        <v>957</v>
      </c>
      <c r="W76" s="253"/>
      <c r="AE76" s="252">
        <f t="shared" si="14"/>
        <v>0</v>
      </c>
      <c r="AG76" s="252">
        <f t="shared" si="15"/>
        <v>0</v>
      </c>
      <c r="AH76" s="252">
        <f t="shared" si="20"/>
        <v>0</v>
      </c>
      <c r="AI76" s="252">
        <f t="shared" si="17"/>
        <v>0</v>
      </c>
      <c r="AJ76" s="252">
        <f t="shared" si="18"/>
        <v>0</v>
      </c>
      <c r="AK76" s="252">
        <f t="shared" si="19"/>
        <v>0</v>
      </c>
      <c r="AP76" s="296" t="s">
        <v>388</v>
      </c>
      <c r="AR76" s="296"/>
      <c r="AS76" s="252">
        <f>AS75+C20</f>
        <v>7029.14</v>
      </c>
    </row>
    <row r="77" spans="1:45" ht="24" customHeight="1">
      <c r="A77" s="363">
        <f t="shared" si="12"/>
        <v>65</v>
      </c>
      <c r="B77" s="296" t="s">
        <v>1550</v>
      </c>
      <c r="C77" s="364">
        <f>AC34</f>
        <v>4472.8900000000003</v>
      </c>
      <c r="D77" s="365" t="s">
        <v>869</v>
      </c>
      <c r="H77" s="296" t="s">
        <v>1516</v>
      </c>
      <c r="K77" s="274">
        <f>SUM(K72:K75)</f>
        <v>2667.66</v>
      </c>
      <c r="O77" s="296" t="s">
        <v>428</v>
      </c>
      <c r="W77" s="253"/>
      <c r="AE77" s="252">
        <f t="shared" si="14"/>
        <v>0</v>
      </c>
      <c r="AG77" s="252">
        <f t="shared" si="15"/>
        <v>0</v>
      </c>
      <c r="AH77" s="252">
        <f t="shared" si="20"/>
        <v>0</v>
      </c>
      <c r="AI77" s="252">
        <f t="shared" si="17"/>
        <v>0</v>
      </c>
      <c r="AJ77" s="252">
        <f t="shared" si="18"/>
        <v>0</v>
      </c>
      <c r="AK77" s="252">
        <f t="shared" si="19"/>
        <v>0</v>
      </c>
      <c r="AP77" s="296" t="s">
        <v>2232</v>
      </c>
      <c r="AR77" s="296"/>
      <c r="AS77" s="252">
        <f>AS76+C20</f>
        <v>7188.34</v>
      </c>
    </row>
    <row r="78" spans="1:45" ht="24" customHeight="1">
      <c r="A78" s="363">
        <f t="shared" si="12"/>
        <v>66</v>
      </c>
      <c r="B78" s="296" t="s">
        <v>1423</v>
      </c>
      <c r="C78" s="364">
        <f t="shared" ref="C78:C91" si="21">AC16</f>
        <v>1464.46</v>
      </c>
      <c r="D78" s="365" t="s">
        <v>869</v>
      </c>
      <c r="K78" s="358" t="s">
        <v>1586</v>
      </c>
      <c r="O78" s="358" t="s">
        <v>1586</v>
      </c>
      <c r="W78" s="253"/>
      <c r="AE78" s="252">
        <f t="shared" si="14"/>
        <v>0</v>
      </c>
      <c r="AG78" s="296"/>
      <c r="AH78" s="252">
        <f t="shared" si="20"/>
        <v>0</v>
      </c>
      <c r="AI78" s="252">
        <f t="shared" si="17"/>
        <v>0</v>
      </c>
      <c r="AJ78" s="252">
        <f t="shared" si="18"/>
        <v>0</v>
      </c>
      <c r="AK78" s="252">
        <f t="shared" si="19"/>
        <v>0</v>
      </c>
      <c r="AP78" s="296" t="s">
        <v>380</v>
      </c>
      <c r="AR78" s="296"/>
      <c r="AS78" s="252">
        <f>AS77+C20</f>
        <v>7347.54</v>
      </c>
    </row>
    <row r="79" spans="1:45" ht="24" customHeight="1">
      <c r="A79" s="363">
        <f t="shared" si="12"/>
        <v>67</v>
      </c>
      <c r="B79" s="296" t="s">
        <v>1034</v>
      </c>
      <c r="C79" s="364">
        <f t="shared" si="21"/>
        <v>1464.46</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6" t="s">
        <v>2162</v>
      </c>
      <c r="W79" s="253"/>
      <c r="AE79" s="252">
        <f t="shared" si="14"/>
        <v>0</v>
      </c>
      <c r="AG79" s="296"/>
      <c r="AH79" s="252">
        <f t="shared" si="20"/>
        <v>0</v>
      </c>
      <c r="AI79" s="252">
        <f t="shared" si="17"/>
        <v>0</v>
      </c>
      <c r="AJ79" s="252">
        <f t="shared" si="18"/>
        <v>0</v>
      </c>
      <c r="AK79" s="252">
        <f t="shared" si="19"/>
        <v>0</v>
      </c>
      <c r="AP79" s="296" t="s">
        <v>488</v>
      </c>
      <c r="AR79" s="296"/>
      <c r="AS79" s="252">
        <f>AS78+C20</f>
        <v>7506.74</v>
      </c>
    </row>
    <row r="80" spans="1:45" ht="24" customHeight="1">
      <c r="A80" s="363">
        <f t="shared" si="12"/>
        <v>68</v>
      </c>
      <c r="B80" s="296" t="s">
        <v>1480</v>
      </c>
      <c r="C80" s="364">
        <f t="shared" si="21"/>
        <v>5882.89</v>
      </c>
      <c r="D80" s="365" t="s">
        <v>1481</v>
      </c>
      <c r="F80" s="385" t="s">
        <v>975</v>
      </c>
      <c r="H80" s="296" t="s">
        <v>1482</v>
      </c>
      <c r="M80" s="252">
        <v>2.5</v>
      </c>
      <c r="N80" s="296" t="s">
        <v>869</v>
      </c>
      <c r="O80" s="296" t="s">
        <v>1625</v>
      </c>
      <c r="P80" s="252">
        <f>(K49)</f>
        <v>3319.98</v>
      </c>
      <c r="Q80" s="296" t="s">
        <v>869</v>
      </c>
      <c r="R80" s="252">
        <f>(M80*P80)</f>
        <v>8299.9500000000007</v>
      </c>
      <c r="S80" s="386" t="s">
        <v>975</v>
      </c>
      <c r="U80" s="296" t="s">
        <v>1482</v>
      </c>
      <c r="W80" s="253"/>
      <c r="AE80" s="252">
        <f t="shared" si="14"/>
        <v>0</v>
      </c>
      <c r="AG80" s="296"/>
      <c r="AH80" s="252">
        <f t="shared" si="20"/>
        <v>0</v>
      </c>
      <c r="AI80" s="252">
        <f t="shared" si="17"/>
        <v>0</v>
      </c>
      <c r="AJ80" s="252">
        <f t="shared" si="18"/>
        <v>0</v>
      </c>
      <c r="AK80" s="252">
        <f t="shared" si="19"/>
        <v>0</v>
      </c>
      <c r="AQ80" s="370"/>
      <c r="AS80" s="296"/>
    </row>
    <row r="81" spans="1:45" ht="24" customHeight="1">
      <c r="A81" s="363">
        <f t="shared" si="12"/>
        <v>69</v>
      </c>
      <c r="B81" s="296" t="s">
        <v>65</v>
      </c>
      <c r="C81" s="364">
        <f t="shared" si="21"/>
        <v>846.46</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296" t="s">
        <v>1177</v>
      </c>
      <c r="V81" s="252">
        <f>AE39</f>
        <v>74.849999999999994</v>
      </c>
      <c r="W81" s="253" t="s">
        <v>869</v>
      </c>
      <c r="X81" s="252">
        <f>(S81*V81)</f>
        <v>748.5</v>
      </c>
      <c r="AE81" s="252">
        <f t="shared" si="14"/>
        <v>0</v>
      </c>
      <c r="AG81" s="296"/>
      <c r="AH81" s="252">
        <f t="shared" si="20"/>
        <v>0</v>
      </c>
      <c r="AI81" s="252">
        <f t="shared" si="17"/>
        <v>0</v>
      </c>
      <c r="AJ81" s="252">
        <f t="shared" si="18"/>
        <v>0</v>
      </c>
      <c r="AK81" s="252">
        <f t="shared" si="19"/>
        <v>0</v>
      </c>
      <c r="AQ81" s="370"/>
      <c r="AS81" s="296"/>
    </row>
    <row r="82" spans="1:45" ht="24" customHeight="1">
      <c r="A82" s="363">
        <f t="shared" si="12"/>
        <v>70</v>
      </c>
      <c r="B82" s="296" t="s">
        <v>2010</v>
      </c>
      <c r="C82" s="364">
        <f t="shared" si="21"/>
        <v>927.46</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296" t="s">
        <v>2011</v>
      </c>
      <c r="V82" s="252">
        <f>V81</f>
        <v>74.849999999999994</v>
      </c>
      <c r="W82" s="253" t="s">
        <v>869</v>
      </c>
      <c r="X82" s="252">
        <f>(S82*V82)</f>
        <v>748.5</v>
      </c>
      <c r="AE82" s="252">
        <f t="shared" si="14"/>
        <v>0</v>
      </c>
      <c r="AG82" s="296"/>
      <c r="AH82" s="252">
        <f t="shared" si="20"/>
        <v>0</v>
      </c>
      <c r="AI82" s="252">
        <f t="shared" si="17"/>
        <v>0</v>
      </c>
      <c r="AJ82" s="252">
        <f t="shared" si="18"/>
        <v>0</v>
      </c>
      <c r="AK82" s="252">
        <f t="shared" si="19"/>
        <v>0</v>
      </c>
      <c r="AQ82" s="370"/>
      <c r="AS82" s="296"/>
    </row>
    <row r="83" spans="1:45" ht="24" customHeight="1">
      <c r="A83" s="363">
        <f t="shared" si="12"/>
        <v>71</v>
      </c>
      <c r="B83" s="296" t="s">
        <v>2012</v>
      </c>
      <c r="C83" s="364">
        <f t="shared" si="21"/>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296" t="s">
        <v>2013</v>
      </c>
      <c r="V83" s="252">
        <f>AE27/3</f>
        <v>11.4</v>
      </c>
      <c r="W83" s="253" t="s">
        <v>869</v>
      </c>
      <c r="X83" s="252">
        <f>(S83*V83)</f>
        <v>114</v>
      </c>
      <c r="AE83" s="252">
        <f t="shared" si="14"/>
        <v>0</v>
      </c>
      <c r="AG83" s="296"/>
      <c r="AH83" s="252">
        <f t="shared" si="20"/>
        <v>0</v>
      </c>
      <c r="AI83" s="252">
        <f t="shared" si="17"/>
        <v>0</v>
      </c>
      <c r="AJ83" s="252">
        <f t="shared" si="18"/>
        <v>0</v>
      </c>
      <c r="AK83" s="252">
        <f t="shared" si="19"/>
        <v>0</v>
      </c>
      <c r="AQ83" s="370"/>
      <c r="AS83" s="296"/>
    </row>
    <row r="84" spans="1:45" ht="24" customHeight="1">
      <c r="A84" s="363">
        <f t="shared" si="12"/>
        <v>72</v>
      </c>
      <c r="B84" s="296" t="s">
        <v>2014</v>
      </c>
      <c r="C84" s="364">
        <f t="shared" si="21"/>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296" t="s">
        <v>450</v>
      </c>
      <c r="W84" s="253" t="s">
        <v>449</v>
      </c>
      <c r="X84" s="252">
        <v>0</v>
      </c>
      <c r="AE84" s="252">
        <f t="shared" si="14"/>
        <v>0</v>
      </c>
      <c r="AG84" s="296"/>
      <c r="AH84" s="252">
        <f t="shared" si="20"/>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1"/>
        <v>993</v>
      </c>
      <c r="D85" s="365" t="s">
        <v>869</v>
      </c>
      <c r="K85" s="358" t="s">
        <v>1586</v>
      </c>
      <c r="N85" s="296" t="s">
        <v>449</v>
      </c>
      <c r="O85" s="296" t="s">
        <v>450</v>
      </c>
      <c r="Q85" s="296" t="s">
        <v>449</v>
      </c>
      <c r="R85" s="252">
        <v>0</v>
      </c>
      <c r="W85" s="253"/>
      <c r="X85" s="358" t="s">
        <v>1586</v>
      </c>
      <c r="AE85" s="252">
        <f t="shared" si="14"/>
        <v>0</v>
      </c>
      <c r="AG85" s="296"/>
      <c r="AH85" s="252">
        <f t="shared" si="20"/>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1"/>
        <v>34300</v>
      </c>
      <c r="D86" s="365" t="s">
        <v>869</v>
      </c>
      <c r="H86" s="296" t="s">
        <v>614</v>
      </c>
      <c r="K86" s="252">
        <f>SUM(K81:K84)</f>
        <v>2370.8000000000002</v>
      </c>
      <c r="R86" s="358" t="s">
        <v>1586</v>
      </c>
      <c r="U86" s="296" t="s">
        <v>614</v>
      </c>
      <c r="W86" s="253"/>
      <c r="X86" s="252">
        <f>SUM(X81:X84)</f>
        <v>1611</v>
      </c>
      <c r="AE86" s="252">
        <f t="shared" si="14"/>
        <v>0</v>
      </c>
      <c r="AG86" s="296"/>
      <c r="AH86" s="252">
        <f t="shared" si="20"/>
        <v>0</v>
      </c>
      <c r="AI86" s="252">
        <f t="shared" si="17"/>
        <v>0</v>
      </c>
      <c r="AJ86" s="252">
        <f t="shared" si="18"/>
        <v>0</v>
      </c>
      <c r="AK86" s="252">
        <f t="shared" si="19"/>
        <v>0</v>
      </c>
      <c r="AP86" s="358" t="s">
        <v>1586</v>
      </c>
      <c r="AR86" s="296"/>
    </row>
    <row r="87" spans="1:45" ht="24" customHeight="1">
      <c r="A87" s="363">
        <f t="shared" si="12"/>
        <v>75</v>
      </c>
      <c r="B87" s="296" t="s">
        <v>2016</v>
      </c>
      <c r="C87" s="364">
        <f t="shared" si="21"/>
        <v>39400</v>
      </c>
      <c r="D87" s="365" t="s">
        <v>869</v>
      </c>
      <c r="K87" s="358" t="s">
        <v>1586</v>
      </c>
      <c r="O87" s="296" t="s">
        <v>614</v>
      </c>
      <c r="R87" s="252">
        <f>SUM(R79:R85)</f>
        <v>67955.55</v>
      </c>
      <c r="W87" s="253"/>
      <c r="X87" s="358" t="s">
        <v>1586</v>
      </c>
      <c r="AE87" s="252">
        <f t="shared" si="14"/>
        <v>0</v>
      </c>
      <c r="AG87" s="296"/>
      <c r="AH87" s="252">
        <f t="shared" si="20"/>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1"/>
        <v>111600</v>
      </c>
      <c r="D88" s="365" t="s">
        <v>869</v>
      </c>
      <c r="H88" s="276" t="s">
        <v>2049</v>
      </c>
      <c r="I88" s="274" t="s">
        <v>1399</v>
      </c>
      <c r="J88" s="276"/>
      <c r="K88" s="274">
        <f>(K86/10)</f>
        <v>237.08</v>
      </c>
      <c r="R88" s="358" t="s">
        <v>1586</v>
      </c>
      <c r="U88" s="276" t="s">
        <v>2049</v>
      </c>
      <c r="V88" s="274" t="s">
        <v>1399</v>
      </c>
      <c r="W88" s="255"/>
      <c r="X88" s="274">
        <f>(X86/10)</f>
        <v>161.1</v>
      </c>
      <c r="AE88" s="252">
        <f t="shared" si="14"/>
        <v>0</v>
      </c>
      <c r="AG88" s="296"/>
      <c r="AH88" s="252">
        <f t="shared" si="20"/>
        <v>0</v>
      </c>
      <c r="AI88" s="252">
        <f t="shared" si="17"/>
        <v>0</v>
      </c>
      <c r="AJ88" s="252">
        <f t="shared" si="18"/>
        <v>0</v>
      </c>
      <c r="AK88" s="252">
        <f t="shared" si="19"/>
        <v>0</v>
      </c>
      <c r="AN88" s="356">
        <f>AN64</f>
        <v>0.70799999999999996</v>
      </c>
      <c r="AO88" s="252" t="s">
        <v>869</v>
      </c>
      <c r="AP88" s="296" t="s">
        <v>1631</v>
      </c>
      <c r="AQ88" s="252">
        <f>K58</f>
        <v>3030.06</v>
      </c>
      <c r="AR88" s="296" t="s">
        <v>869</v>
      </c>
      <c r="AS88" s="252">
        <f>AQ88*AN88</f>
        <v>2145.2800000000002</v>
      </c>
    </row>
    <row r="89" spans="1:45" ht="19.5" customHeight="1">
      <c r="A89" s="363">
        <f t="shared" si="12"/>
        <v>77</v>
      </c>
      <c r="B89" s="296" t="s">
        <v>295</v>
      </c>
      <c r="C89" s="364">
        <f t="shared" si="21"/>
        <v>99400</v>
      </c>
      <c r="D89" s="365" t="s">
        <v>869</v>
      </c>
      <c r="I89" s="274" t="s">
        <v>1362</v>
      </c>
      <c r="J89" s="276"/>
      <c r="K89" s="360">
        <f>ROUND(K88+C36,2)</f>
        <v>247.63</v>
      </c>
      <c r="L89" s="252">
        <f>K89+C36</f>
        <v>258.18</v>
      </c>
      <c r="M89" s="252">
        <f>L89+C36</f>
        <v>268.73</v>
      </c>
      <c r="O89" s="296" t="s">
        <v>773</v>
      </c>
      <c r="R89" s="252">
        <f>(R87/10)</f>
        <v>6795.56</v>
      </c>
      <c r="V89" s="274" t="s">
        <v>1362</v>
      </c>
      <c r="W89" s="255"/>
      <c r="X89" s="360">
        <f>ROUND(X88+C36,2)</f>
        <v>171.65</v>
      </c>
      <c r="AE89" s="252">
        <f t="shared" si="14"/>
        <v>0</v>
      </c>
      <c r="AG89" s="296"/>
      <c r="AH89" s="252">
        <f t="shared" si="20"/>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252">
        <f t="shared" si="14"/>
        <v>0</v>
      </c>
      <c r="AG90" s="296"/>
      <c r="AH90" s="252">
        <f t="shared" si="20"/>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1"/>
        <v>4472.8900000000003</v>
      </c>
      <c r="D91" s="365" t="s">
        <v>1481</v>
      </c>
      <c r="I91" s="274" t="s">
        <v>1362</v>
      </c>
      <c r="J91" s="276"/>
      <c r="K91" s="360">
        <f>ROUND(K90+C36,2)</f>
        <v>234.65</v>
      </c>
      <c r="V91" s="274" t="s">
        <v>1362</v>
      </c>
      <c r="W91" s="255"/>
      <c r="X91" s="360">
        <f>ROUND(X90+C36,2)</f>
        <v>160.25</v>
      </c>
      <c r="AE91" s="252">
        <f t="shared" si="14"/>
        <v>0</v>
      </c>
      <c r="AG91" s="296"/>
      <c r="AH91" s="252">
        <f t="shared" si="20"/>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6092</v>
      </c>
      <c r="S92" s="384"/>
      <c r="U92" s="296"/>
      <c r="W92" s="253"/>
      <c r="AE92" s="252">
        <f t="shared" si="14"/>
        <v>0</v>
      </c>
      <c r="AH92" s="252">
        <f t="shared" si="20"/>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358"/>
      <c r="W93" s="253"/>
      <c r="AE93" s="252">
        <f t="shared" si="14"/>
        <v>0</v>
      </c>
      <c r="AH93" s="252">
        <f t="shared" si="20"/>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296"/>
      <c r="W94" s="253"/>
      <c r="AE94" s="252">
        <f t="shared" si="14"/>
        <v>0</v>
      </c>
      <c r="AH94" s="252">
        <f t="shared" si="20"/>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296"/>
      <c r="W95" s="253"/>
      <c r="AE95" s="252">
        <f t="shared" si="14"/>
        <v>0</v>
      </c>
      <c r="AH95" s="252">
        <f t="shared" si="20"/>
        <v>0</v>
      </c>
      <c r="AI95" s="252">
        <f t="shared" si="17"/>
        <v>0</v>
      </c>
      <c r="AJ95" s="252">
        <f t="shared" si="18"/>
        <v>0</v>
      </c>
      <c r="AK95" s="252">
        <f t="shared" si="19"/>
        <v>0</v>
      </c>
      <c r="AP95" s="296" t="s">
        <v>614</v>
      </c>
      <c r="AR95" s="296"/>
      <c r="AS95" s="252">
        <f>SUM(AS87:AS93)</f>
        <v>19019.78</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296"/>
      <c r="W96" s="253"/>
      <c r="AE96" s="252">
        <f t="shared" si="14"/>
        <v>0</v>
      </c>
      <c r="AH96" s="252">
        <f t="shared" si="20"/>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296"/>
      <c r="W97" s="253"/>
      <c r="AE97" s="252">
        <f t="shared" si="14"/>
        <v>0</v>
      </c>
      <c r="AH97" s="252">
        <f t="shared" si="20"/>
        <v>0</v>
      </c>
      <c r="AI97" s="252">
        <f t="shared" si="17"/>
        <v>0</v>
      </c>
      <c r="AJ97" s="252">
        <f t="shared" si="18"/>
        <v>0</v>
      </c>
      <c r="AK97" s="252">
        <f t="shared" si="19"/>
        <v>0</v>
      </c>
      <c r="AP97" s="253" t="s">
        <v>773</v>
      </c>
      <c r="AR97" s="296"/>
      <c r="AS97" s="252">
        <f>(AS95/2.83168)</f>
        <v>6716.78</v>
      </c>
    </row>
    <row r="98" spans="1:48" ht="24" customHeight="1">
      <c r="A98" s="364"/>
      <c r="B98" s="364"/>
      <c r="C98" s="364"/>
      <c r="D98" s="364"/>
      <c r="K98" s="358" t="s">
        <v>1586</v>
      </c>
      <c r="W98" s="253"/>
      <c r="X98" s="358"/>
      <c r="AE98" s="252">
        <f t="shared" si="14"/>
        <v>0</v>
      </c>
      <c r="AH98" s="252">
        <f t="shared" si="20"/>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296"/>
      <c r="W99" s="253"/>
      <c r="AE99" s="252">
        <f t="shared" si="14"/>
        <v>0</v>
      </c>
      <c r="AH99" s="252">
        <f t="shared" ref="AH99:AH123" si="22">AF99*1.2</f>
        <v>0</v>
      </c>
      <c r="AP99" s="296" t="s">
        <v>386</v>
      </c>
      <c r="AR99" s="296"/>
      <c r="AS99" s="274">
        <f>AS97+C19</f>
        <v>6795.68</v>
      </c>
      <c r="AU99" s="252">
        <f>AS99*22.69/100</f>
        <v>1541.94</v>
      </c>
      <c r="AV99" s="252">
        <f>AS99-AU99</f>
        <v>5253.74</v>
      </c>
    </row>
    <row r="100" spans="1:48" ht="24" customHeight="1">
      <c r="A100" s="364"/>
      <c r="B100" s="364"/>
      <c r="C100" s="364"/>
      <c r="D100" s="364"/>
      <c r="K100" s="358" t="s">
        <v>1586</v>
      </c>
      <c r="W100" s="253"/>
      <c r="X100" s="358"/>
      <c r="AE100" s="252">
        <f t="shared" si="14"/>
        <v>0</v>
      </c>
      <c r="AH100" s="252">
        <f t="shared" si="22"/>
        <v>0</v>
      </c>
      <c r="AP100" s="296" t="s">
        <v>388</v>
      </c>
      <c r="AR100" s="296"/>
      <c r="AS100" s="274">
        <f>(AS99+C20)</f>
        <v>6954.88</v>
      </c>
      <c r="AU100" s="252">
        <f t="shared" ref="AU100:AU163" si="23">AS100*22.69/100</f>
        <v>1578.06</v>
      </c>
      <c r="AV100" s="252">
        <f t="shared" ref="AV100:AV163" si="24">AS100-AU100</f>
        <v>5376.82</v>
      </c>
    </row>
    <row r="101" spans="1:48" ht="24" customHeight="1">
      <c r="A101" s="364"/>
      <c r="B101" s="364"/>
      <c r="C101" s="364"/>
      <c r="D101" s="364"/>
      <c r="H101" s="276" t="s">
        <v>2049</v>
      </c>
      <c r="I101" s="274" t="s">
        <v>1399</v>
      </c>
      <c r="J101" s="276"/>
      <c r="K101" s="274">
        <f>(K99/10)</f>
        <v>346.78</v>
      </c>
      <c r="M101" s="252">
        <f>SUM(M94:M95)</f>
        <v>149.69999999999999</v>
      </c>
      <c r="U101" s="276"/>
      <c r="V101" s="274"/>
      <c r="W101" s="255"/>
      <c r="X101" s="274"/>
      <c r="AE101" s="252">
        <f t="shared" si="14"/>
        <v>0</v>
      </c>
      <c r="AH101" s="252">
        <f t="shared" si="22"/>
        <v>0</v>
      </c>
      <c r="AP101" s="296" t="s">
        <v>2232</v>
      </c>
      <c r="AR101" s="296"/>
      <c r="AS101" s="274">
        <f>(AS100+C20)</f>
        <v>7114.08</v>
      </c>
      <c r="AU101" s="252">
        <f t="shared" si="23"/>
        <v>1614.18</v>
      </c>
      <c r="AV101" s="252">
        <f t="shared" si="24"/>
        <v>5499.9</v>
      </c>
    </row>
    <row r="102" spans="1:48" ht="24" customHeight="1">
      <c r="A102" s="364"/>
      <c r="B102" s="364"/>
      <c r="C102" s="364"/>
      <c r="D102" s="364"/>
      <c r="I102" s="274" t="s">
        <v>1362</v>
      </c>
      <c r="J102" s="276"/>
      <c r="K102" s="360">
        <f>ROUND(K101+C36,2)</f>
        <v>357.33</v>
      </c>
      <c r="V102" s="274"/>
      <c r="W102" s="255"/>
      <c r="X102" s="360"/>
      <c r="AE102" s="252">
        <f t="shared" si="14"/>
        <v>0</v>
      </c>
      <c r="AH102" s="252">
        <f t="shared" si="22"/>
        <v>0</v>
      </c>
      <c r="AP102" s="296" t="s">
        <v>380</v>
      </c>
      <c r="AR102" s="296"/>
      <c r="AS102" s="274">
        <f>(AS101+C20)</f>
        <v>7273.28</v>
      </c>
      <c r="AU102" s="252">
        <f t="shared" si="23"/>
        <v>1650.31</v>
      </c>
      <c r="AV102" s="252">
        <f t="shared" si="24"/>
        <v>5622.97</v>
      </c>
    </row>
    <row r="103" spans="1:48" ht="24" customHeight="1">
      <c r="A103" s="364"/>
      <c r="B103" s="364"/>
      <c r="C103" s="364"/>
      <c r="D103" s="364"/>
      <c r="I103" s="274"/>
      <c r="J103" s="276"/>
      <c r="K103" s="388"/>
      <c r="V103" s="274"/>
      <c r="W103" s="255"/>
      <c r="X103" s="388"/>
      <c r="AE103" s="252">
        <f t="shared" si="14"/>
        <v>0</v>
      </c>
      <c r="AH103" s="252">
        <f t="shared" si="22"/>
        <v>0</v>
      </c>
      <c r="AN103" s="296" t="s">
        <v>975</v>
      </c>
      <c r="AP103" s="296" t="s">
        <v>488</v>
      </c>
      <c r="AR103" s="296"/>
      <c r="AS103" s="274">
        <f>(AS102+C20)</f>
        <v>7432.48</v>
      </c>
      <c r="AU103" s="252">
        <f t="shared" si="23"/>
        <v>1686.43</v>
      </c>
      <c r="AV103" s="252">
        <f t="shared" si="24"/>
        <v>5746.05</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252">
        <f t="shared" si="14"/>
        <v>0</v>
      </c>
      <c r="AH104" s="252">
        <f t="shared" si="22"/>
        <v>0</v>
      </c>
      <c r="AN104" s="369">
        <v>27</v>
      </c>
      <c r="AO104" s="252" t="s">
        <v>2251</v>
      </c>
      <c r="AP104" s="296" t="s">
        <v>3748</v>
      </c>
      <c r="AR104" s="296"/>
      <c r="AS104" s="274">
        <f>(AS103+C21)</f>
        <v>7591.68</v>
      </c>
    </row>
    <row r="105" spans="1:48" ht="24" customHeight="1">
      <c r="A105" s="364"/>
      <c r="B105" s="364"/>
      <c r="C105" s="364"/>
      <c r="D105" s="364"/>
      <c r="I105" s="274" t="s">
        <v>1362</v>
      </c>
      <c r="J105" s="276"/>
      <c r="K105" s="360">
        <f>ROUND(K104+C36,2)</f>
        <v>344.35</v>
      </c>
      <c r="V105" s="274"/>
      <c r="W105" s="255"/>
      <c r="X105" s="360"/>
      <c r="AE105" s="252">
        <f t="shared" si="14"/>
        <v>0</v>
      </c>
      <c r="AH105" s="252">
        <f t="shared" si="22"/>
        <v>0</v>
      </c>
      <c r="AP105" s="296" t="str">
        <f>AP85</f>
        <v>Bricks of size 23x11x7 cm</v>
      </c>
      <c r="AR105" s="296"/>
    </row>
    <row r="106" spans="1:48" ht="24" customHeight="1">
      <c r="A106" s="364"/>
      <c r="B106" s="364"/>
      <c r="C106" s="364"/>
      <c r="D106" s="364"/>
      <c r="K106" s="358"/>
      <c r="W106" s="253"/>
      <c r="X106" s="358"/>
      <c r="AE106" s="252">
        <f t="shared" si="14"/>
        <v>0</v>
      </c>
      <c r="AH106" s="252">
        <f t="shared" si="22"/>
        <v>0</v>
      </c>
      <c r="AP106" s="358" t="s">
        <v>1586</v>
      </c>
      <c r="AR106" s="296"/>
    </row>
    <row r="107" spans="1:48" ht="24" customHeight="1">
      <c r="A107" s="364"/>
      <c r="B107" s="364"/>
      <c r="C107" s="364"/>
      <c r="D107" s="364"/>
      <c r="K107" s="358"/>
      <c r="W107" s="253"/>
      <c r="X107" s="358"/>
      <c r="AH107" s="252">
        <f t="shared" si="22"/>
        <v>0</v>
      </c>
      <c r="AN107" s="252">
        <v>1300</v>
      </c>
      <c r="AO107" s="252" t="s">
        <v>1425</v>
      </c>
      <c r="AP107" s="252" t="str">
        <f>AP61</f>
        <v>Bricks of size 23x11x7 cm</v>
      </c>
      <c r="AQ107" s="252">
        <f>AC45</f>
        <v>6595</v>
      </c>
      <c r="AR107" s="296" t="s">
        <v>1594</v>
      </c>
      <c r="AS107" s="252">
        <f>(AN107*AQ107)/1000</f>
        <v>8573.5</v>
      </c>
      <c r="AU107" s="252">
        <f t="shared" si="23"/>
        <v>1945.33</v>
      </c>
      <c r="AV107" s="252">
        <f t="shared" si="24"/>
        <v>6628.17</v>
      </c>
    </row>
    <row r="108" spans="1:48" ht="38.25" customHeight="1">
      <c r="A108" s="364"/>
      <c r="B108" s="364"/>
      <c r="C108" s="364"/>
      <c r="D108" s="364"/>
      <c r="F108" s="375">
        <v>1.4</v>
      </c>
      <c r="G108" s="252" t="s">
        <v>975</v>
      </c>
      <c r="H108" s="389" t="s">
        <v>6093</v>
      </c>
      <c r="S108" s="384">
        <v>1.4</v>
      </c>
      <c r="T108" s="252" t="s">
        <v>975</v>
      </c>
      <c r="U108" s="389" t="s">
        <v>6093</v>
      </c>
      <c r="W108" s="253"/>
      <c r="AH108" s="252">
        <f t="shared" si="22"/>
        <v>0</v>
      </c>
      <c r="AN108" s="356">
        <v>0.70799999999999996</v>
      </c>
      <c r="AO108" s="252" t="s">
        <v>869</v>
      </c>
      <c r="AP108" s="296" t="s">
        <v>1307</v>
      </c>
      <c r="AQ108" s="252">
        <f>K40</f>
        <v>3754.86</v>
      </c>
      <c r="AR108" s="296" t="s">
        <v>869</v>
      </c>
      <c r="AS108" s="252">
        <f>(AN108*AQ108)</f>
        <v>2658.44</v>
      </c>
      <c r="AU108" s="252">
        <f t="shared" si="23"/>
        <v>603.20000000000005</v>
      </c>
      <c r="AV108" s="252">
        <f t="shared" si="24"/>
        <v>2055.2399999999998</v>
      </c>
    </row>
    <row r="109" spans="1:48" ht="24" customHeight="1">
      <c r="A109" s="364"/>
      <c r="B109" s="364"/>
      <c r="C109" s="364"/>
      <c r="D109" s="364"/>
      <c r="W109" s="253"/>
      <c r="AH109" s="252">
        <f t="shared" si="22"/>
        <v>0</v>
      </c>
      <c r="AN109" s="252">
        <v>1</v>
      </c>
      <c r="AO109" s="252" t="s">
        <v>868</v>
      </c>
      <c r="AP109" s="296" t="s">
        <v>2009</v>
      </c>
      <c r="AQ109" s="252">
        <f>AQ89</f>
        <v>999</v>
      </c>
      <c r="AR109" s="296" t="s">
        <v>868</v>
      </c>
      <c r="AS109" s="252">
        <f>(AN109*AQ109)</f>
        <v>999</v>
      </c>
      <c r="AU109" s="252">
        <f t="shared" si="23"/>
        <v>226.67</v>
      </c>
      <c r="AV109" s="252">
        <f t="shared" si="24"/>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296" t="s">
        <v>1177</v>
      </c>
      <c r="V110" s="252">
        <f>V81</f>
        <v>74.849999999999994</v>
      </c>
      <c r="W110" s="253" t="s">
        <v>869</v>
      </c>
      <c r="X110" s="252">
        <f>(S110*V110)</f>
        <v>748.5</v>
      </c>
      <c r="AH110" s="252">
        <f t="shared" si="22"/>
        <v>0</v>
      </c>
      <c r="AN110" s="252">
        <v>3</v>
      </c>
      <c r="AO110" s="252" t="s">
        <v>868</v>
      </c>
      <c r="AP110" s="296" t="s">
        <v>1712</v>
      </c>
      <c r="AQ110" s="252">
        <f>AQ90</f>
        <v>932</v>
      </c>
      <c r="AR110" s="296" t="s">
        <v>868</v>
      </c>
      <c r="AS110" s="252">
        <f>(AN110*AQ110)</f>
        <v>2796</v>
      </c>
      <c r="AU110" s="252">
        <f t="shared" si="23"/>
        <v>634.41</v>
      </c>
      <c r="AV110" s="252">
        <f t="shared" si="24"/>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296" t="s">
        <v>2013</v>
      </c>
      <c r="V111" s="252">
        <f>V83</f>
        <v>11.4</v>
      </c>
      <c r="W111" s="253" t="s">
        <v>869</v>
      </c>
      <c r="X111" s="252">
        <f>(S111*V111)</f>
        <v>114</v>
      </c>
      <c r="AH111" s="252">
        <f t="shared" si="22"/>
        <v>0</v>
      </c>
      <c r="AN111" s="252">
        <v>2</v>
      </c>
      <c r="AO111" s="252" t="s">
        <v>868</v>
      </c>
      <c r="AP111" s="296" t="s">
        <v>1902</v>
      </c>
      <c r="AQ111" s="252">
        <f>AQ91</f>
        <v>651</v>
      </c>
      <c r="AR111" s="296" t="s">
        <v>868</v>
      </c>
      <c r="AS111" s="252">
        <f>(AN111*AQ111)</f>
        <v>1302</v>
      </c>
      <c r="AU111" s="252">
        <f t="shared" si="23"/>
        <v>295.42</v>
      </c>
      <c r="AV111" s="252">
        <f t="shared" si="24"/>
        <v>1006.58</v>
      </c>
    </row>
    <row r="112" spans="1:48" ht="24" customHeight="1">
      <c r="A112" s="364"/>
      <c r="B112" s="364"/>
      <c r="C112" s="364"/>
      <c r="D112" s="364"/>
      <c r="G112" s="252" t="s">
        <v>449</v>
      </c>
      <c r="H112" s="296" t="s">
        <v>450</v>
      </c>
      <c r="J112" s="296" t="s">
        <v>449</v>
      </c>
      <c r="K112" s="252">
        <v>0</v>
      </c>
      <c r="T112" s="252" t="s">
        <v>449</v>
      </c>
      <c r="U112" s="296" t="s">
        <v>450</v>
      </c>
      <c r="W112" s="253" t="s">
        <v>449</v>
      </c>
      <c r="X112" s="252">
        <v>0</v>
      </c>
      <c r="AH112" s="252">
        <f t="shared" si="22"/>
        <v>0</v>
      </c>
      <c r="AN112" s="252">
        <v>6</v>
      </c>
      <c r="AO112" s="252" t="s">
        <v>868</v>
      </c>
      <c r="AP112" s="296" t="s">
        <v>320</v>
      </c>
      <c r="AQ112" s="252">
        <f>AQ92</f>
        <v>534</v>
      </c>
      <c r="AR112" s="296" t="s">
        <v>868</v>
      </c>
      <c r="AS112" s="252">
        <f>(AN112*AQ112)</f>
        <v>3204</v>
      </c>
      <c r="AU112" s="252">
        <f t="shared" si="23"/>
        <v>726.99</v>
      </c>
      <c r="AV112" s="252">
        <f t="shared" si="24"/>
        <v>2477.0100000000002</v>
      </c>
    </row>
    <row r="113" spans="1:48" ht="24" customHeight="1">
      <c r="A113" s="364"/>
      <c r="B113" s="364"/>
      <c r="C113" s="364"/>
      <c r="D113" s="364"/>
      <c r="K113" s="358" t="s">
        <v>1586</v>
      </c>
      <c r="W113" s="253"/>
      <c r="X113" s="358" t="s">
        <v>1586</v>
      </c>
      <c r="AH113" s="252">
        <f t="shared" si="22"/>
        <v>0</v>
      </c>
      <c r="AO113" s="252" t="s">
        <v>449</v>
      </c>
      <c r="AP113" s="296" t="s">
        <v>450</v>
      </c>
      <c r="AR113" s="296" t="s">
        <v>449</v>
      </c>
      <c r="AS113" s="252">
        <v>5</v>
      </c>
      <c r="AU113" s="252">
        <f t="shared" si="23"/>
        <v>1.1299999999999999</v>
      </c>
      <c r="AV113" s="252">
        <f t="shared" si="24"/>
        <v>3.87</v>
      </c>
    </row>
    <row r="114" spans="1:48" ht="24" customHeight="1">
      <c r="A114" s="364"/>
      <c r="B114" s="364"/>
      <c r="C114" s="364"/>
      <c r="D114" s="364"/>
      <c r="H114" s="296" t="s">
        <v>614</v>
      </c>
      <c r="K114" s="252">
        <f>SUM(K110:K112)</f>
        <v>1250.3</v>
      </c>
      <c r="U114" s="296" t="s">
        <v>614</v>
      </c>
      <c r="W114" s="253"/>
      <c r="X114" s="252">
        <f>SUM(X110:X112)</f>
        <v>862.5</v>
      </c>
      <c r="AH114" s="252">
        <f t="shared" si="22"/>
        <v>0</v>
      </c>
      <c r="AR114" s="296"/>
      <c r="AS114" s="358" t="s">
        <v>1586</v>
      </c>
      <c r="AU114" s="252">
        <f t="shared" si="23"/>
        <v>0</v>
      </c>
      <c r="AV114" s="252">
        <f t="shared" si="24"/>
        <v>0</v>
      </c>
    </row>
    <row r="115" spans="1:48" ht="24" customHeight="1">
      <c r="A115" s="364"/>
      <c r="B115" s="364"/>
      <c r="C115" s="364"/>
      <c r="D115" s="364"/>
      <c r="K115" s="358" t="s">
        <v>1586</v>
      </c>
      <c r="W115" s="253"/>
      <c r="X115" s="358" t="s">
        <v>1586</v>
      </c>
      <c r="AH115" s="252">
        <f t="shared" si="22"/>
        <v>0</v>
      </c>
      <c r="AP115" s="296" t="s">
        <v>614</v>
      </c>
      <c r="AR115" s="296"/>
      <c r="AS115" s="252">
        <f>SUM(AS107:AS113)</f>
        <v>19537.939999999999</v>
      </c>
      <c r="AU115" s="252">
        <f t="shared" si="23"/>
        <v>4433.16</v>
      </c>
      <c r="AV115" s="252">
        <f t="shared" si="24"/>
        <v>15104.78</v>
      </c>
    </row>
    <row r="116" spans="1:48" ht="24" customHeight="1">
      <c r="A116" s="364"/>
      <c r="B116" s="364"/>
      <c r="C116" s="364"/>
      <c r="D116" s="364"/>
      <c r="H116" s="296"/>
      <c r="K116" s="274">
        <f>(K114/10)</f>
        <v>125.03</v>
      </c>
      <c r="L116" s="274">
        <f>K116+C36</f>
        <v>135.58000000000001</v>
      </c>
      <c r="M116" s="252">
        <f>M94</f>
        <v>74.849999999999994</v>
      </c>
      <c r="U116" s="296"/>
      <c r="W116" s="253"/>
      <c r="X116" s="274">
        <f>(X114/10)</f>
        <v>86.25</v>
      </c>
      <c r="AH116" s="252">
        <f t="shared" si="22"/>
        <v>0</v>
      </c>
      <c r="AR116" s="296"/>
      <c r="AS116" s="358" t="s">
        <v>1586</v>
      </c>
      <c r="AU116" s="252">
        <f t="shared" si="23"/>
        <v>0</v>
      </c>
      <c r="AV116" s="252">
        <f t="shared" si="24"/>
        <v>0</v>
      </c>
    </row>
    <row r="117" spans="1:48" ht="24" customHeight="1">
      <c r="A117" s="364"/>
      <c r="B117" s="364"/>
      <c r="C117" s="364"/>
      <c r="D117" s="364"/>
      <c r="K117" s="358"/>
      <c r="W117" s="253"/>
      <c r="X117" s="358"/>
      <c r="AH117" s="252">
        <f t="shared" si="22"/>
        <v>0</v>
      </c>
      <c r="AP117" s="296" t="s">
        <v>773</v>
      </c>
      <c r="AR117" s="296"/>
      <c r="AS117" s="274">
        <f>(AS115/2.83168)</f>
        <v>6899.77</v>
      </c>
      <c r="AU117" s="252">
        <f t="shared" si="23"/>
        <v>1565.56</v>
      </c>
      <c r="AV117" s="252">
        <f t="shared" si="24"/>
        <v>5334.21</v>
      </c>
    </row>
    <row r="118" spans="1:48" ht="24" customHeight="1">
      <c r="A118" s="364"/>
      <c r="B118" s="364"/>
      <c r="C118" s="364"/>
      <c r="D118" s="364"/>
      <c r="F118" s="375">
        <v>1.5</v>
      </c>
      <c r="H118" s="296" t="s">
        <v>2035</v>
      </c>
      <c r="I118" s="274" t="s">
        <v>1399</v>
      </c>
      <c r="K118" s="274">
        <f>K116-K111/10</f>
        <v>112.05</v>
      </c>
      <c r="S118" s="384">
        <v>1.5</v>
      </c>
      <c r="U118" s="296" t="s">
        <v>2035</v>
      </c>
      <c r="V118" s="274" t="s">
        <v>1399</v>
      </c>
      <c r="W118" s="253"/>
      <c r="X118" s="274">
        <f>X116-X111/10</f>
        <v>74.849999999999994</v>
      </c>
      <c r="AH118" s="252">
        <f t="shared" si="22"/>
        <v>0</v>
      </c>
      <c r="AR118" s="296"/>
      <c r="AS118" s="358" t="s">
        <v>2055</v>
      </c>
      <c r="AU118" s="252">
        <f t="shared" si="23"/>
        <v>0</v>
      </c>
      <c r="AV118" s="252">
        <f t="shared" si="24"/>
        <v>0</v>
      </c>
    </row>
    <row r="119" spans="1:48" ht="24" customHeight="1">
      <c r="A119" s="364"/>
      <c r="B119" s="364"/>
      <c r="C119" s="364"/>
      <c r="D119" s="364"/>
      <c r="I119" s="274" t="s">
        <v>1362</v>
      </c>
      <c r="K119" s="360">
        <f>ROUND(K118+C36,2)</f>
        <v>122.6</v>
      </c>
      <c r="V119" s="274" t="s">
        <v>1362</v>
      </c>
      <c r="W119" s="253"/>
      <c r="X119" s="360">
        <f>ROUND(X118+P36,2)</f>
        <v>74.849999999999994</v>
      </c>
      <c r="AH119" s="252">
        <f t="shared" si="22"/>
        <v>0</v>
      </c>
      <c r="AP119" s="296" t="s">
        <v>386</v>
      </c>
      <c r="AR119" s="296"/>
      <c r="AS119" s="252">
        <f>(AS117+C19)</f>
        <v>6978.67</v>
      </c>
      <c r="AT119" s="252">
        <f>AS119-AS117</f>
        <v>78.900000000000006</v>
      </c>
      <c r="AU119" s="252">
        <f t="shared" si="23"/>
        <v>1583.46</v>
      </c>
      <c r="AV119" s="252">
        <f t="shared" si="24"/>
        <v>5395.21</v>
      </c>
    </row>
    <row r="120" spans="1:48" ht="24" customHeight="1">
      <c r="A120" s="364"/>
      <c r="B120" s="364"/>
      <c r="C120" s="364"/>
      <c r="D120" s="364"/>
      <c r="I120" s="252" t="s">
        <v>3787</v>
      </c>
      <c r="K120" s="360">
        <f>ROUND(K119+C36,2)</f>
        <v>133.15</v>
      </c>
      <c r="W120" s="253"/>
      <c r="X120" s="358"/>
      <c r="AH120" s="252">
        <f t="shared" si="22"/>
        <v>0</v>
      </c>
      <c r="AP120" s="296" t="s">
        <v>388</v>
      </c>
      <c r="AR120" s="296"/>
      <c r="AS120" s="252">
        <f>(AS119+C20)</f>
        <v>7137.87</v>
      </c>
      <c r="AT120" s="252">
        <f>AS120-AS119</f>
        <v>159.19999999999999</v>
      </c>
      <c r="AU120" s="252">
        <f t="shared" si="23"/>
        <v>1619.58</v>
      </c>
      <c r="AV120" s="252">
        <f t="shared" si="24"/>
        <v>5518.29</v>
      </c>
    </row>
    <row r="121" spans="1:48" ht="24" customHeight="1">
      <c r="A121" s="364"/>
      <c r="B121" s="364"/>
      <c r="C121" s="364"/>
      <c r="D121" s="364"/>
      <c r="I121" s="252" t="s">
        <v>3788</v>
      </c>
      <c r="K121" s="360">
        <f>ROUND(K120+C36,2)</f>
        <v>143.69999999999999</v>
      </c>
      <c r="W121" s="253"/>
      <c r="X121" s="358"/>
      <c r="AH121" s="252">
        <f t="shared" si="22"/>
        <v>0</v>
      </c>
      <c r="AP121" s="296" t="s">
        <v>2232</v>
      </c>
      <c r="AR121" s="296"/>
      <c r="AS121" s="252">
        <f>(AS120+C20)</f>
        <v>7297.07</v>
      </c>
      <c r="AU121" s="252">
        <f t="shared" si="23"/>
        <v>1655.71</v>
      </c>
      <c r="AV121" s="252">
        <f t="shared" si="24"/>
        <v>5641.36</v>
      </c>
    </row>
    <row r="122" spans="1:48" ht="28.5" customHeight="1">
      <c r="A122" s="364"/>
      <c r="B122" s="364"/>
      <c r="C122" s="364"/>
      <c r="D122" s="364"/>
      <c r="F122" s="390">
        <v>1.8</v>
      </c>
      <c r="H122" s="389" t="s">
        <v>6094</v>
      </c>
      <c r="K122" s="358"/>
      <c r="M122" s="253" t="s">
        <v>384</v>
      </c>
      <c r="N122" s="252" t="s">
        <v>2251</v>
      </c>
      <c r="O122" s="296" t="s">
        <v>385</v>
      </c>
      <c r="Q122" s="296"/>
      <c r="S122" s="391"/>
      <c r="U122" s="389"/>
      <c r="W122" s="253"/>
      <c r="X122" s="358"/>
      <c r="AH122" s="252">
        <f t="shared" si="22"/>
        <v>0</v>
      </c>
      <c r="AP122" s="296" t="s">
        <v>380</v>
      </c>
      <c r="AR122" s="296"/>
      <c r="AS122" s="252">
        <f>AS121+C20</f>
        <v>7456.27</v>
      </c>
      <c r="AU122" s="252">
        <f t="shared" si="23"/>
        <v>1691.83</v>
      </c>
      <c r="AV122" s="252">
        <f t="shared" si="24"/>
        <v>5764.44</v>
      </c>
    </row>
    <row r="123" spans="1:48" ht="24" customHeight="1">
      <c r="A123" s="364"/>
      <c r="B123" s="364"/>
      <c r="C123" s="364"/>
      <c r="D123" s="364"/>
      <c r="K123" s="358"/>
      <c r="O123" s="296" t="s">
        <v>6095</v>
      </c>
      <c r="Q123" s="296"/>
      <c r="W123" s="253"/>
      <c r="X123" s="358"/>
      <c r="AH123" s="252">
        <f t="shared" si="22"/>
        <v>0</v>
      </c>
      <c r="AP123" s="296" t="s">
        <v>488</v>
      </c>
      <c r="AR123" s="296"/>
      <c r="AS123" s="252">
        <f>AS122+C20</f>
        <v>7615.47</v>
      </c>
      <c r="AU123" s="252">
        <f t="shared" si="23"/>
        <v>1727.95</v>
      </c>
      <c r="AV123" s="252">
        <f t="shared" si="24"/>
        <v>5887.52</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296"/>
      <c r="W124" s="253" t="s">
        <v>869</v>
      </c>
      <c r="AP124" s="296" t="s">
        <v>1831</v>
      </c>
      <c r="AR124" s="296"/>
      <c r="AS124" s="252">
        <f>(AS119+AS120+AS121+AS122)/4</f>
        <v>7217.47</v>
      </c>
      <c r="AU124" s="252">
        <f t="shared" si="23"/>
        <v>1637.64</v>
      </c>
      <c r="AV124" s="252">
        <f t="shared" si="24"/>
        <v>5579.83</v>
      </c>
    </row>
    <row r="125" spans="1:48" ht="24" customHeight="1">
      <c r="A125" s="364"/>
      <c r="B125" s="364"/>
      <c r="C125" s="364"/>
      <c r="D125" s="364"/>
      <c r="G125" s="252" t="s">
        <v>657</v>
      </c>
      <c r="J125" s="296" t="s">
        <v>657</v>
      </c>
      <c r="K125" s="252">
        <v>0</v>
      </c>
      <c r="M125" s="252">
        <v>1</v>
      </c>
      <c r="N125" s="252" t="s">
        <v>869</v>
      </c>
      <c r="O125" s="296" t="s">
        <v>1921</v>
      </c>
      <c r="P125" s="252">
        <f>AC39</f>
        <v>166.5</v>
      </c>
      <c r="Q125" s="296" t="s">
        <v>869</v>
      </c>
      <c r="R125" s="252">
        <f>(M125*P125)</f>
        <v>166.5</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296"/>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6096</v>
      </c>
      <c r="I129" s="274" t="s">
        <v>1399</v>
      </c>
      <c r="K129" s="360">
        <f>ROUND(K127/10,2)</f>
        <v>166.9</v>
      </c>
      <c r="O129" s="296" t="s">
        <v>1516</v>
      </c>
      <c r="Q129" s="296"/>
      <c r="R129" s="252">
        <f>SUM(R125:R127)</f>
        <v>205.45</v>
      </c>
      <c r="S129" s="384"/>
      <c r="U129" s="260"/>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296" t="s">
        <v>796</v>
      </c>
      <c r="V132" s="274"/>
      <c r="W132" s="253"/>
      <c r="AN132" s="252">
        <f>AN63</f>
        <v>1300</v>
      </c>
      <c r="AO132" s="252" t="s">
        <v>1425</v>
      </c>
      <c r="AP132" s="252" t="str">
        <f>AP61</f>
        <v>Bricks of size 23x11x7 cm</v>
      </c>
      <c r="AQ132" s="252">
        <f>AC45</f>
        <v>6595</v>
      </c>
      <c r="AR132" s="296" t="s">
        <v>1594</v>
      </c>
      <c r="AS132" s="252">
        <f>(AN132*AQ132)/1000</f>
        <v>8573.5</v>
      </c>
      <c r="AU132" s="252">
        <f t="shared" si="23"/>
        <v>1945.33</v>
      </c>
      <c r="AV132" s="252">
        <f t="shared" si="24"/>
        <v>6628.17</v>
      </c>
    </row>
    <row r="133" spans="1:48" ht="24" customHeight="1">
      <c r="A133" s="364"/>
      <c r="B133" s="364"/>
      <c r="C133" s="364"/>
      <c r="D133" s="364"/>
      <c r="H133" s="296" t="s">
        <v>382</v>
      </c>
      <c r="I133" s="274" t="s">
        <v>1399</v>
      </c>
      <c r="K133" s="274">
        <f>C61*1.5</f>
        <v>168.08</v>
      </c>
      <c r="L133" s="274"/>
      <c r="M133" s="252">
        <f>M116*1.5</f>
        <v>112.28</v>
      </c>
      <c r="U133" s="296" t="s">
        <v>382</v>
      </c>
      <c r="V133" s="274" t="s">
        <v>1399</v>
      </c>
      <c r="W133" s="253"/>
      <c r="X133" s="274">
        <f>V81*1.5</f>
        <v>112.28</v>
      </c>
      <c r="AN133" s="356">
        <v>0.70799999999999996</v>
      </c>
      <c r="AO133" s="252" t="s">
        <v>869</v>
      </c>
      <c r="AP133" s="296" t="s">
        <v>1307</v>
      </c>
      <c r="AQ133" s="252">
        <f>K40</f>
        <v>3754.86</v>
      </c>
      <c r="AR133" s="296" t="s">
        <v>869</v>
      </c>
      <c r="AS133" s="252">
        <f>(AN133*AQ133)</f>
        <v>2658.44</v>
      </c>
      <c r="AU133" s="252">
        <f t="shared" si="23"/>
        <v>603.20000000000005</v>
      </c>
      <c r="AV133" s="252">
        <f t="shared" si="24"/>
        <v>2055.2399999999998</v>
      </c>
    </row>
    <row r="134" spans="1:48" ht="24" customHeight="1">
      <c r="A134" s="364"/>
      <c r="B134" s="364"/>
      <c r="C134" s="364"/>
      <c r="D134" s="364"/>
      <c r="F134" s="296" t="s">
        <v>975</v>
      </c>
      <c r="H134" s="296" t="s">
        <v>383</v>
      </c>
      <c r="I134" s="274" t="s">
        <v>1362</v>
      </c>
      <c r="K134" s="360">
        <f>ROUND(K133+C36,2)</f>
        <v>178.63</v>
      </c>
      <c r="S134" s="386" t="s">
        <v>975</v>
      </c>
      <c r="U134" s="296" t="s">
        <v>383</v>
      </c>
      <c r="V134" s="274" t="s">
        <v>1362</v>
      </c>
      <c r="W134" s="253"/>
      <c r="X134" s="360">
        <f>ROUND(X133+C36,2)</f>
        <v>122.83</v>
      </c>
      <c r="AN134" s="252">
        <v>1</v>
      </c>
      <c r="AO134" s="252" t="s">
        <v>868</v>
      </c>
      <c r="AP134" s="296" t="s">
        <v>2009</v>
      </c>
      <c r="AQ134" s="252">
        <f>AQ109</f>
        <v>999</v>
      </c>
      <c r="AR134" s="296" t="s">
        <v>868</v>
      </c>
      <c r="AS134" s="252">
        <f>(AN134*AQ134)</f>
        <v>999</v>
      </c>
      <c r="AU134" s="252">
        <f t="shared" si="23"/>
        <v>226.67</v>
      </c>
      <c r="AV134" s="252">
        <f t="shared" si="24"/>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3"/>
        <v>634.41</v>
      </c>
      <c r="AV135" s="252">
        <f t="shared" si="24"/>
        <v>2161.59</v>
      </c>
    </row>
    <row r="136" spans="1:48" ht="24" customHeight="1">
      <c r="A136" s="364"/>
      <c r="B136" s="364"/>
      <c r="C136" s="364"/>
      <c r="D136" s="364"/>
      <c r="H136" s="276" t="s">
        <v>3730</v>
      </c>
      <c r="I136" s="274" t="s">
        <v>1399</v>
      </c>
      <c r="K136" s="274">
        <f>C61*1.25</f>
        <v>140.06</v>
      </c>
      <c r="U136" s="276" t="s">
        <v>1385</v>
      </c>
      <c r="V136" s="274" t="s">
        <v>1399</v>
      </c>
      <c r="W136" s="253"/>
      <c r="X136" s="274">
        <f>V81*1.25</f>
        <v>93.56</v>
      </c>
      <c r="AN136" s="252">
        <v>2</v>
      </c>
      <c r="AO136" s="252" t="s">
        <v>868</v>
      </c>
      <c r="AP136" s="296" t="s">
        <v>1902</v>
      </c>
      <c r="AQ136" s="252">
        <f>AQ111</f>
        <v>651</v>
      </c>
      <c r="AR136" s="296" t="s">
        <v>868</v>
      </c>
      <c r="AS136" s="252">
        <f>(AN136*AQ136)</f>
        <v>1302</v>
      </c>
      <c r="AU136" s="252">
        <f t="shared" si="23"/>
        <v>295.42</v>
      </c>
      <c r="AV136" s="252">
        <f t="shared" si="24"/>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3"/>
        <v>726.99</v>
      </c>
      <c r="AV137" s="252">
        <f t="shared" si="24"/>
        <v>2477.0100000000002</v>
      </c>
    </row>
    <row r="138" spans="1:48" ht="24" customHeight="1">
      <c r="A138" s="363">
        <f t="shared" ref="A138:A143" si="25">(A137+1)</f>
        <v>81</v>
      </c>
      <c r="B138" s="365" t="s">
        <v>387</v>
      </c>
      <c r="C138" s="364">
        <f>AC33</f>
        <v>58000</v>
      </c>
      <c r="D138" s="365" t="s">
        <v>861</v>
      </c>
      <c r="H138" s="296" t="s">
        <v>6097</v>
      </c>
      <c r="O138" s="296" t="s">
        <v>6098</v>
      </c>
      <c r="Q138" s="296"/>
      <c r="W138" s="253"/>
      <c r="AG138" s="296"/>
      <c r="AO138" s="252" t="s">
        <v>449</v>
      </c>
      <c r="AP138" s="296" t="s">
        <v>450</v>
      </c>
      <c r="AQ138" s="296" t="s">
        <v>975</v>
      </c>
      <c r="AR138" s="296" t="s">
        <v>449</v>
      </c>
      <c r="AS138" s="252">
        <v>0</v>
      </c>
      <c r="AU138" s="252">
        <f t="shared" si="23"/>
        <v>0</v>
      </c>
      <c r="AV138" s="252">
        <f t="shared" si="24"/>
        <v>0</v>
      </c>
    </row>
    <row r="139" spans="1:48" ht="24" customHeight="1">
      <c r="A139" s="363">
        <f t="shared" si="25"/>
        <v>82</v>
      </c>
      <c r="B139" s="365" t="s">
        <v>1802</v>
      </c>
      <c r="C139" s="364">
        <f>AC32</f>
        <v>58000</v>
      </c>
      <c r="D139" s="365" t="s">
        <v>861</v>
      </c>
      <c r="H139" s="358" t="s">
        <v>1586</v>
      </c>
      <c r="O139" s="358" t="s">
        <v>1586</v>
      </c>
      <c r="Q139" s="296"/>
      <c r="W139" s="253"/>
      <c r="AG139" s="296"/>
      <c r="AR139" s="296"/>
      <c r="AS139" s="358" t="s">
        <v>1586</v>
      </c>
      <c r="AU139" s="252">
        <f t="shared" si="23"/>
        <v>0</v>
      </c>
      <c r="AV139" s="252">
        <f t="shared" si="24"/>
        <v>0</v>
      </c>
    </row>
    <row r="140" spans="1:48" ht="24" customHeight="1">
      <c r="A140" s="363">
        <f t="shared" si="25"/>
        <v>83</v>
      </c>
      <c r="B140" s="365" t="s">
        <v>378</v>
      </c>
      <c r="C140" s="364">
        <f>AC33</f>
        <v>58000</v>
      </c>
      <c r="D140" s="365" t="s">
        <v>861</v>
      </c>
      <c r="F140" s="252">
        <v>1</v>
      </c>
      <c r="G140" s="252" t="s">
        <v>869</v>
      </c>
      <c r="H140" s="296" t="s">
        <v>379</v>
      </c>
      <c r="I140" s="252">
        <f>I36</f>
        <v>1464.46</v>
      </c>
      <c r="J140" s="296" t="s">
        <v>869</v>
      </c>
      <c r="K140" s="252">
        <f>(F140*I140)</f>
        <v>1464.46</v>
      </c>
      <c r="M140" s="252">
        <v>1</v>
      </c>
      <c r="N140" s="252" t="s">
        <v>869</v>
      </c>
      <c r="O140" s="296" t="s">
        <v>1921</v>
      </c>
      <c r="P140" s="252">
        <f>AC38</f>
        <v>222.7</v>
      </c>
      <c r="Q140" s="296" t="s">
        <v>869</v>
      </c>
      <c r="R140" s="252">
        <f>(M140*P140)</f>
        <v>222.7</v>
      </c>
      <c r="W140" s="253"/>
      <c r="AG140" s="296"/>
      <c r="AP140" s="296" t="s">
        <v>614</v>
      </c>
      <c r="AR140" s="296"/>
      <c r="AS140" s="252">
        <f>SUM(AS132:AS138)</f>
        <v>19532.939999999999</v>
      </c>
      <c r="AU140" s="252">
        <f t="shared" si="23"/>
        <v>4432.0200000000004</v>
      </c>
      <c r="AV140" s="252">
        <f t="shared" si="24"/>
        <v>15100.92</v>
      </c>
    </row>
    <row r="141" spans="1:48" ht="24" customHeight="1">
      <c r="A141" s="363">
        <f t="shared" si="25"/>
        <v>84</v>
      </c>
      <c r="B141" s="365" t="s">
        <v>1546</v>
      </c>
      <c r="C141" s="364">
        <f>AC38</f>
        <v>222.7</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3"/>
        <v>0</v>
      </c>
      <c r="AV141" s="252">
        <f t="shared" si="24"/>
        <v>0</v>
      </c>
    </row>
    <row r="142" spans="1:48" ht="24" customHeight="1">
      <c r="A142" s="363">
        <f t="shared" si="25"/>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6898</v>
      </c>
      <c r="AU142" s="252">
        <f t="shared" si="23"/>
        <v>1565.16</v>
      </c>
      <c r="AV142" s="252">
        <f t="shared" si="24"/>
        <v>5332.84</v>
      </c>
    </row>
    <row r="143" spans="1:48" ht="24" customHeight="1">
      <c r="A143" s="363">
        <f t="shared" si="25"/>
        <v>86</v>
      </c>
      <c r="B143" s="296" t="s">
        <v>5849</v>
      </c>
      <c r="C143" s="370">
        <f>56.35*1000</f>
        <v>56350</v>
      </c>
      <c r="D143" s="365" t="s">
        <v>861</v>
      </c>
      <c r="E143" s="252">
        <v>5</v>
      </c>
      <c r="K143" s="358" t="s">
        <v>1586</v>
      </c>
      <c r="Q143" s="296"/>
      <c r="R143" s="358" t="s">
        <v>1586</v>
      </c>
      <c r="W143" s="253"/>
      <c r="AG143" s="296"/>
      <c r="AR143" s="296"/>
      <c r="AS143" s="358" t="s">
        <v>2055</v>
      </c>
      <c r="AU143" s="252">
        <f t="shared" si="23"/>
        <v>0</v>
      </c>
      <c r="AV143" s="252">
        <f t="shared" si="24"/>
        <v>0</v>
      </c>
    </row>
    <row r="144" spans="1:48" ht="24" customHeight="1">
      <c r="A144" s="364"/>
      <c r="B144" s="365" t="s">
        <v>975</v>
      </c>
      <c r="C144" s="364"/>
      <c r="D144" s="364"/>
      <c r="H144" s="296" t="s">
        <v>193</v>
      </c>
      <c r="K144" s="274">
        <f>SUM(K138:K142)</f>
        <v>1498.66</v>
      </c>
      <c r="O144" s="296" t="s">
        <v>1516</v>
      </c>
      <c r="Q144" s="296"/>
      <c r="R144" s="252">
        <f>SUM(R140:R142)</f>
        <v>261.64999999999998</v>
      </c>
      <c r="W144" s="253"/>
      <c r="AG144" s="296"/>
      <c r="AR144" s="296"/>
      <c r="AU144" s="252">
        <f t="shared" si="23"/>
        <v>0</v>
      </c>
      <c r="AV144" s="252">
        <f t="shared" si="24"/>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3"/>
        <v>0</v>
      </c>
      <c r="AV145" s="252">
        <f t="shared" si="24"/>
        <v>0</v>
      </c>
    </row>
    <row r="146" spans="1:48" ht="24" customHeight="1">
      <c r="A146" s="364"/>
      <c r="B146" s="296" t="s">
        <v>4575</v>
      </c>
      <c r="C146" s="314">
        <v>15.5</v>
      </c>
      <c r="D146" s="364"/>
      <c r="F146" s="253" t="s">
        <v>195</v>
      </c>
      <c r="G146" s="252" t="s">
        <v>2251</v>
      </c>
      <c r="H146" s="296" t="s">
        <v>6099</v>
      </c>
      <c r="W146" s="253"/>
      <c r="AP146" s="358" t="s">
        <v>1586</v>
      </c>
      <c r="AR146" s="296"/>
      <c r="AU146" s="252">
        <f t="shared" si="23"/>
        <v>0</v>
      </c>
      <c r="AV146" s="252">
        <f t="shared" si="24"/>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6898</v>
      </c>
      <c r="AR147" s="296" t="s">
        <v>869</v>
      </c>
      <c r="AS147" s="252">
        <f>(AN147*AQ147)</f>
        <v>7587.8</v>
      </c>
      <c r="AU147" s="252">
        <f t="shared" si="23"/>
        <v>1721.67</v>
      </c>
      <c r="AV147" s="252">
        <f t="shared" si="24"/>
        <v>5866.13</v>
      </c>
    </row>
    <row r="148" spans="1:48" ht="24" customHeight="1">
      <c r="A148" s="363">
        <f>(A147+1)</f>
        <v>89</v>
      </c>
      <c r="B148" s="296" t="s">
        <v>5273</v>
      </c>
      <c r="C148" s="362">
        <v>145.19999999999999</v>
      </c>
      <c r="D148" s="365" t="s">
        <v>1645</v>
      </c>
      <c r="H148" s="296" t="s">
        <v>487</v>
      </c>
      <c r="O148" s="296" t="s">
        <v>6100</v>
      </c>
      <c r="Q148" s="296"/>
      <c r="W148" s="253"/>
      <c r="AN148" s="252">
        <v>1</v>
      </c>
      <c r="AO148" s="252" t="s">
        <v>769</v>
      </c>
      <c r="AP148" s="296" t="s">
        <v>2009</v>
      </c>
      <c r="AQ148" s="252">
        <f>AQ134</f>
        <v>999</v>
      </c>
      <c r="AR148" s="296" t="s">
        <v>868</v>
      </c>
      <c r="AS148" s="252">
        <f>(AN148*AQ148)</f>
        <v>999</v>
      </c>
      <c r="AU148" s="252">
        <f t="shared" si="23"/>
        <v>226.67</v>
      </c>
      <c r="AV148" s="252">
        <f t="shared" si="24"/>
        <v>772.33</v>
      </c>
    </row>
    <row r="149" spans="1:48" ht="24" customHeight="1">
      <c r="A149" s="364"/>
      <c r="B149" s="364" t="s">
        <v>5850</v>
      </c>
      <c r="C149" s="362">
        <v>43.2</v>
      </c>
      <c r="D149" s="364" t="s">
        <v>1645</v>
      </c>
      <c r="H149" s="296" t="s">
        <v>523</v>
      </c>
      <c r="O149" s="358" t="s">
        <v>1586</v>
      </c>
      <c r="Q149" s="296"/>
      <c r="W149" s="253"/>
      <c r="AO149" s="252" t="s">
        <v>449</v>
      </c>
      <c r="AP149" s="296" t="s">
        <v>450</v>
      </c>
      <c r="AQ149" s="296" t="s">
        <v>975</v>
      </c>
      <c r="AR149" s="296" t="s">
        <v>449</v>
      </c>
      <c r="AS149" s="252">
        <v>0</v>
      </c>
      <c r="AU149" s="252">
        <f t="shared" si="23"/>
        <v>0</v>
      </c>
      <c r="AV149" s="252">
        <f t="shared" si="24"/>
        <v>0</v>
      </c>
    </row>
    <row r="150" spans="1:48" ht="24" customHeight="1">
      <c r="A150" s="364"/>
      <c r="B150" s="364"/>
      <c r="C150" s="364"/>
      <c r="D150" s="364"/>
      <c r="H150" s="296" t="s">
        <v>524</v>
      </c>
      <c r="M150" s="252">
        <v>1</v>
      </c>
      <c r="N150" s="252" t="s">
        <v>869</v>
      </c>
      <c r="O150" s="296" t="s">
        <v>3587</v>
      </c>
      <c r="P150" s="252">
        <f>AC43</f>
        <v>258.32</v>
      </c>
      <c r="Q150" s="296" t="s">
        <v>869</v>
      </c>
      <c r="R150" s="252">
        <f>(M150*P150)</f>
        <v>258.32</v>
      </c>
      <c r="W150" s="253"/>
      <c r="AR150" s="296"/>
      <c r="AS150" s="358" t="s">
        <v>1586</v>
      </c>
      <c r="AU150" s="252">
        <f t="shared" si="23"/>
        <v>0</v>
      </c>
      <c r="AV150" s="252">
        <f t="shared" si="24"/>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8586.7999999999993</v>
      </c>
      <c r="AU151" s="252">
        <f t="shared" si="23"/>
        <v>1948.34</v>
      </c>
      <c r="AV151" s="252">
        <f t="shared" si="24"/>
        <v>6638.46</v>
      </c>
    </row>
    <row r="152" spans="1:48" ht="24" customHeight="1">
      <c r="A152" s="364"/>
      <c r="B152" s="364"/>
      <c r="C152" s="364"/>
      <c r="D152" s="364"/>
      <c r="F152" s="252">
        <v>0.7</v>
      </c>
      <c r="G152" s="252" t="s">
        <v>869</v>
      </c>
      <c r="H152" s="296" t="s">
        <v>2002</v>
      </c>
      <c r="I152" s="252">
        <f>C79</f>
        <v>1464.46</v>
      </c>
      <c r="J152" s="296" t="s">
        <v>869</v>
      </c>
      <c r="K152" s="252">
        <f t="shared" ref="K152:K157" si="26">(F152*I152)</f>
        <v>1025.1199999999999</v>
      </c>
      <c r="N152" s="252" t="s">
        <v>449</v>
      </c>
      <c r="O152" s="296" t="s">
        <v>450</v>
      </c>
      <c r="P152" s="296" t="s">
        <v>975</v>
      </c>
      <c r="Q152" s="296" t="s">
        <v>449</v>
      </c>
      <c r="R152" s="252">
        <v>0</v>
      </c>
      <c r="W152" s="253"/>
      <c r="AR152" s="296"/>
      <c r="AS152" s="358" t="s">
        <v>1586</v>
      </c>
      <c r="AU152" s="252">
        <f t="shared" si="23"/>
        <v>0</v>
      </c>
      <c r="AV152" s="252">
        <f t="shared" si="24"/>
        <v>0</v>
      </c>
    </row>
    <row r="153" spans="1:48" ht="24" customHeight="1">
      <c r="A153" s="364"/>
      <c r="B153" s="364"/>
      <c r="C153" s="364"/>
      <c r="D153" s="364"/>
      <c r="F153" s="252">
        <v>0.7</v>
      </c>
      <c r="G153" s="252" t="s">
        <v>869</v>
      </c>
      <c r="H153" s="393" t="s">
        <v>525</v>
      </c>
      <c r="I153" s="394">
        <f>C812</f>
        <v>3.15</v>
      </c>
      <c r="J153" s="296" t="s">
        <v>869</v>
      </c>
      <c r="K153" s="252">
        <f t="shared" si="26"/>
        <v>2.21</v>
      </c>
      <c r="Q153" s="296"/>
      <c r="R153" s="358" t="s">
        <v>1586</v>
      </c>
      <c r="W153" s="253"/>
      <c r="AP153" s="296" t="s">
        <v>552</v>
      </c>
      <c r="AR153" s="296"/>
      <c r="AS153" s="252">
        <f>(AS151/10)</f>
        <v>858.68</v>
      </c>
      <c r="AU153" s="252">
        <f t="shared" si="23"/>
        <v>194.83</v>
      </c>
      <c r="AV153" s="252">
        <f t="shared" si="24"/>
        <v>663.85</v>
      </c>
    </row>
    <row r="154" spans="1:48" ht="24" customHeight="1">
      <c r="A154" s="364"/>
      <c r="B154" s="364"/>
      <c r="C154" s="364"/>
      <c r="D154" s="364"/>
      <c r="F154" s="252">
        <v>0.72</v>
      </c>
      <c r="G154" s="252" t="s">
        <v>869</v>
      </c>
      <c r="H154" s="296" t="s">
        <v>1641</v>
      </c>
      <c r="I154" s="252">
        <f>C35</f>
        <v>222.7</v>
      </c>
      <c r="J154" s="296" t="s">
        <v>869</v>
      </c>
      <c r="K154" s="252">
        <f t="shared" si="26"/>
        <v>160.34</v>
      </c>
      <c r="O154" s="296" t="s">
        <v>1516</v>
      </c>
      <c r="Q154" s="296"/>
      <c r="R154" s="252">
        <f>SUM(R150:R152)</f>
        <v>297.27</v>
      </c>
      <c r="W154" s="253"/>
      <c r="AR154" s="296"/>
      <c r="AS154" s="358" t="s">
        <v>2055</v>
      </c>
      <c r="AU154" s="252">
        <f t="shared" si="23"/>
        <v>0</v>
      </c>
      <c r="AV154" s="252">
        <f t="shared" si="24"/>
        <v>0</v>
      </c>
    </row>
    <row r="155" spans="1:48" ht="24" customHeight="1">
      <c r="A155" s="364"/>
      <c r="B155" s="364"/>
      <c r="C155" s="364"/>
      <c r="D155" s="364"/>
      <c r="F155" s="252">
        <v>0.72</v>
      </c>
      <c r="G155" s="252" t="s">
        <v>869</v>
      </c>
      <c r="H155" s="393" t="s">
        <v>525</v>
      </c>
      <c r="I155" s="394">
        <f>C812</f>
        <v>3.15</v>
      </c>
      <c r="J155" s="296" t="s">
        <v>869</v>
      </c>
      <c r="K155" s="252">
        <f t="shared" si="26"/>
        <v>2.27</v>
      </c>
      <c r="O155" s="296" t="s">
        <v>2027</v>
      </c>
      <c r="Q155" s="296"/>
      <c r="R155" s="358" t="s">
        <v>1586</v>
      </c>
      <c r="W155" s="253"/>
      <c r="AP155" s="296" t="s">
        <v>386</v>
      </c>
      <c r="AR155" s="296">
        <f>AS155-AS153</f>
        <v>8.68</v>
      </c>
      <c r="AS155" s="274">
        <f>(AS153+C19/10*AN147)</f>
        <v>867.36</v>
      </c>
      <c r="AT155" s="252">
        <f>AS153-AS155</f>
        <v>-8.68</v>
      </c>
      <c r="AU155" s="252">
        <f t="shared" si="23"/>
        <v>196.8</v>
      </c>
      <c r="AV155" s="252">
        <f t="shared" si="24"/>
        <v>670.56</v>
      </c>
    </row>
    <row r="156" spans="1:48" ht="24" customHeight="1">
      <c r="A156" s="364"/>
      <c r="B156" s="364"/>
      <c r="C156" s="364"/>
      <c r="D156" s="364"/>
      <c r="F156" s="252">
        <v>1</v>
      </c>
      <c r="G156" s="252" t="s">
        <v>869</v>
      </c>
      <c r="H156" s="296" t="s">
        <v>1792</v>
      </c>
      <c r="I156" s="252">
        <f>C18</f>
        <v>116</v>
      </c>
      <c r="J156" s="296" t="s">
        <v>869</v>
      </c>
      <c r="K156" s="252">
        <f t="shared" si="26"/>
        <v>116</v>
      </c>
      <c r="W156" s="253"/>
      <c r="AP156" s="296" t="s">
        <v>388</v>
      </c>
      <c r="AR156" s="296">
        <f>AS156-AS155</f>
        <v>17.510000000000002</v>
      </c>
      <c r="AS156" s="274">
        <f>(AS155+C20/10*AN147)</f>
        <v>884.87</v>
      </c>
      <c r="AT156" s="252">
        <f>AS156-AS155</f>
        <v>17.510000000000002</v>
      </c>
      <c r="AU156" s="252">
        <f t="shared" si="23"/>
        <v>200.78</v>
      </c>
      <c r="AV156" s="252">
        <f t="shared" si="24"/>
        <v>684.09</v>
      </c>
    </row>
    <row r="157" spans="1:48" ht="24" customHeight="1">
      <c r="A157" s="364"/>
      <c r="B157" s="364"/>
      <c r="C157" s="364"/>
      <c r="D157" s="364"/>
      <c r="F157" s="252">
        <v>1</v>
      </c>
      <c r="G157" s="252" t="s">
        <v>869</v>
      </c>
      <c r="H157" s="393" t="s">
        <v>1642</v>
      </c>
      <c r="I157" s="395">
        <f>C146</f>
        <v>15.5</v>
      </c>
      <c r="J157" s="296" t="s">
        <v>869</v>
      </c>
      <c r="K157" s="252">
        <f t="shared" si="26"/>
        <v>15.5</v>
      </c>
      <c r="W157" s="253"/>
      <c r="AP157" s="296" t="s">
        <v>2232</v>
      </c>
      <c r="AR157" s="296">
        <f>AS157-AS156</f>
        <v>17.510000000000002</v>
      </c>
      <c r="AS157" s="274">
        <f>(AS156+C21/10*AN147)</f>
        <v>902.38</v>
      </c>
      <c r="AU157" s="252">
        <f t="shared" si="23"/>
        <v>204.75</v>
      </c>
      <c r="AV157" s="252">
        <f t="shared" si="24"/>
        <v>697.63</v>
      </c>
    </row>
    <row r="158" spans="1:48" ht="24" customHeight="1">
      <c r="A158" s="364"/>
      <c r="B158" s="364"/>
      <c r="C158" s="364"/>
      <c r="D158" s="364"/>
      <c r="H158" s="296" t="s">
        <v>1643</v>
      </c>
      <c r="W158" s="253"/>
      <c r="AP158" s="296" t="s">
        <v>380</v>
      </c>
      <c r="AR158" s="296">
        <f>AS158-AS157</f>
        <v>17.510000000000002</v>
      </c>
      <c r="AS158" s="274">
        <f>(AS157+C21/10*AN147)</f>
        <v>919.89</v>
      </c>
      <c r="AU158" s="252">
        <f t="shared" si="23"/>
        <v>208.72</v>
      </c>
      <c r="AV158" s="252">
        <f t="shared" si="24"/>
        <v>711.17</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937.4</v>
      </c>
      <c r="AU159" s="252">
        <f t="shared" si="23"/>
        <v>212.7</v>
      </c>
      <c r="AV159" s="252">
        <f t="shared" si="24"/>
        <v>724.7</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3"/>
        <v>0</v>
      </c>
      <c r="AV160" s="252">
        <f t="shared" si="24"/>
        <v>0</v>
      </c>
    </row>
    <row r="161" spans="1:48" ht="24" customHeight="1">
      <c r="A161" s="364"/>
      <c r="B161" s="364"/>
      <c r="C161" s="364"/>
      <c r="D161" s="364"/>
      <c r="H161" s="255" t="s">
        <v>193</v>
      </c>
      <c r="K161" s="274">
        <f>SUM(K152:K159)</f>
        <v>1321.44</v>
      </c>
      <c r="O161" s="296" t="s">
        <v>669</v>
      </c>
      <c r="Q161" s="296"/>
      <c r="W161" s="253"/>
      <c r="AN161" s="274"/>
      <c r="AO161" s="274"/>
      <c r="AP161" s="274" t="str">
        <f>AP61</f>
        <v>Bricks of size 23x11x7 cm</v>
      </c>
      <c r="AQ161" s="274"/>
      <c r="AR161" s="276"/>
      <c r="AS161" s="274"/>
      <c r="AU161" s="252">
        <f t="shared" si="23"/>
        <v>0</v>
      </c>
      <c r="AV161" s="252">
        <f t="shared" si="24"/>
        <v>0</v>
      </c>
    </row>
    <row r="162" spans="1:48" ht="24" customHeight="1">
      <c r="A162" s="364"/>
      <c r="B162" s="364"/>
      <c r="C162" s="364"/>
      <c r="D162" s="364"/>
      <c r="K162" s="358" t="s">
        <v>1586</v>
      </c>
      <c r="O162" s="358" t="s">
        <v>1586</v>
      </c>
      <c r="Q162" s="296"/>
      <c r="W162" s="253"/>
      <c r="AP162" s="358" t="s">
        <v>1586</v>
      </c>
      <c r="AR162" s="296"/>
      <c r="AU162" s="252">
        <f t="shared" si="23"/>
        <v>0</v>
      </c>
      <c r="AV162" s="252">
        <f t="shared" si="24"/>
        <v>0</v>
      </c>
    </row>
    <row r="163" spans="1:48" ht="24" customHeight="1">
      <c r="A163" s="364"/>
      <c r="B163" s="364"/>
      <c r="C163" s="364"/>
      <c r="D163" s="364"/>
      <c r="H163" s="296" t="s">
        <v>975</v>
      </c>
      <c r="K163" s="296" t="s">
        <v>975</v>
      </c>
      <c r="M163" s="252">
        <v>9</v>
      </c>
      <c r="N163" s="252" t="s">
        <v>869</v>
      </c>
      <c r="O163" s="296" t="s">
        <v>1638</v>
      </c>
      <c r="P163" s="252">
        <f>I195</f>
        <v>1265.98</v>
      </c>
      <c r="Q163" s="296" t="s">
        <v>869</v>
      </c>
      <c r="R163" s="252">
        <f>(M163*P163)</f>
        <v>11393.82</v>
      </c>
      <c r="W163" s="253"/>
      <c r="AN163" s="252">
        <f>AN63</f>
        <v>1300</v>
      </c>
      <c r="AO163" s="252" t="s">
        <v>1425</v>
      </c>
      <c r="AP163" s="252" t="str">
        <f>AP61</f>
        <v>Bricks of size 23x11x7 cm</v>
      </c>
      <c r="AQ163" s="252">
        <f>AC45</f>
        <v>6595</v>
      </c>
      <c r="AR163" s="296" t="s">
        <v>1533</v>
      </c>
      <c r="AS163" s="252">
        <f>(AN163*AQ163)/1000</f>
        <v>8573.5</v>
      </c>
      <c r="AU163" s="252">
        <f t="shared" si="23"/>
        <v>1945.33</v>
      </c>
      <c r="AV163" s="252">
        <f t="shared" si="24"/>
        <v>6628.17</v>
      </c>
    </row>
    <row r="164" spans="1:48" ht="24" customHeight="1">
      <c r="A164" s="364"/>
      <c r="B164" s="364"/>
      <c r="C164" s="364"/>
      <c r="D164" s="364"/>
      <c r="K164" s="296" t="s">
        <v>975</v>
      </c>
      <c r="M164" s="252">
        <v>4.5</v>
      </c>
      <c r="N164" s="252" t="s">
        <v>869</v>
      </c>
      <c r="O164" s="296" t="s">
        <v>1307</v>
      </c>
      <c r="P164" s="252">
        <f>K40</f>
        <v>3754.86</v>
      </c>
      <c r="Q164" s="296" t="s">
        <v>869</v>
      </c>
      <c r="R164" s="252">
        <f>(M164*P164)</f>
        <v>16896.87</v>
      </c>
      <c r="W164" s="253"/>
      <c r="AN164" s="356">
        <f>AN133</f>
        <v>0.70799999999999996</v>
      </c>
      <c r="AO164" s="252" t="s">
        <v>869</v>
      </c>
      <c r="AP164" s="296" t="s">
        <v>1307</v>
      </c>
      <c r="AQ164" s="252">
        <f>AQ133</f>
        <v>3754.86</v>
      </c>
      <c r="AR164" s="296" t="s">
        <v>869</v>
      </c>
      <c r="AS164" s="252">
        <f>(AN164*AQ164)</f>
        <v>2658.44</v>
      </c>
      <c r="AU164" s="252">
        <f t="shared" ref="AU164:AU217" si="27">AS164*22.69/100</f>
        <v>603.20000000000005</v>
      </c>
      <c r="AV164" s="252">
        <f t="shared" ref="AV164:AV217" si="28">AS164-AU164</f>
        <v>2055.2399999999998</v>
      </c>
    </row>
    <row r="165" spans="1:48" ht="24" customHeight="1">
      <c r="A165" s="397">
        <v>2.2999999999999998</v>
      </c>
      <c r="B165" s="376" t="s">
        <v>246</v>
      </c>
      <c r="C165" s="398">
        <f>AC19+I168</f>
        <v>885.41</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7"/>
        <v>226.67</v>
      </c>
      <c r="AV165" s="252">
        <f t="shared" si="28"/>
        <v>772.33</v>
      </c>
    </row>
    <row r="166" spans="1:48" ht="24" customHeight="1">
      <c r="A166" s="397">
        <v>2.4</v>
      </c>
      <c r="B166" s="376" t="s">
        <v>780</v>
      </c>
      <c r="C166" s="398">
        <f>AC20+I168</f>
        <v>966.41</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7"/>
        <v>634.41</v>
      </c>
      <c r="AV166" s="252">
        <f t="shared" si="28"/>
        <v>2161.59</v>
      </c>
    </row>
    <row r="167" spans="1:48" ht="24" customHeight="1">
      <c r="A167" s="364"/>
      <c r="B167" s="364"/>
      <c r="C167" s="364"/>
      <c r="D167" s="364"/>
      <c r="F167" s="252">
        <v>1</v>
      </c>
      <c r="G167" s="252" t="s">
        <v>869</v>
      </c>
      <c r="H167" s="296" t="s">
        <v>1090</v>
      </c>
      <c r="I167" s="252">
        <f>AC15</f>
        <v>1265.98</v>
      </c>
      <c r="J167" s="296" t="s">
        <v>869</v>
      </c>
      <c r="K167" s="252">
        <f>(F167*I167)</f>
        <v>1265.98</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7"/>
        <v>295.42</v>
      </c>
      <c r="AV167" s="252">
        <f t="shared" si="28"/>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7"/>
        <v>726.99</v>
      </c>
      <c r="AV168" s="252">
        <f t="shared" si="28"/>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7"/>
        <v>1.1299999999999999</v>
      </c>
      <c r="AV169" s="252">
        <f t="shared" si="28"/>
        <v>3.87</v>
      </c>
    </row>
    <row r="170" spans="1:48" ht="24" customHeight="1">
      <c r="A170" s="364"/>
      <c r="B170" s="364"/>
      <c r="C170" s="364"/>
      <c r="D170" s="364"/>
      <c r="K170" s="358" t="s">
        <v>1586</v>
      </c>
      <c r="Q170" s="296"/>
      <c r="R170" s="252">
        <f>SUM(R163:R168)</f>
        <v>49020.39</v>
      </c>
      <c r="W170" s="253"/>
      <c r="AR170" s="296"/>
      <c r="AS170" s="358" t="s">
        <v>1586</v>
      </c>
      <c r="AU170" s="252">
        <f t="shared" si="27"/>
        <v>0</v>
      </c>
      <c r="AV170" s="252">
        <f t="shared" si="28"/>
        <v>0</v>
      </c>
    </row>
    <row r="171" spans="1:48" ht="24" customHeight="1">
      <c r="A171" s="364"/>
      <c r="B171" s="364"/>
      <c r="C171" s="364"/>
      <c r="D171" s="364"/>
      <c r="H171" s="255" t="s">
        <v>193</v>
      </c>
      <c r="K171" s="274">
        <f>SUM(K166:K169)</f>
        <v>1304.93</v>
      </c>
      <c r="O171" s="253" t="s">
        <v>614</v>
      </c>
      <c r="Q171" s="296"/>
      <c r="R171" s="358" t="s">
        <v>1586</v>
      </c>
      <c r="W171" s="253"/>
      <c r="AP171" s="296" t="s">
        <v>614</v>
      </c>
      <c r="AR171" s="296"/>
      <c r="AS171" s="252">
        <f>SUM(AS163:AS169)</f>
        <v>19537.939999999999</v>
      </c>
      <c r="AU171" s="252">
        <f t="shared" si="27"/>
        <v>4433.16</v>
      </c>
      <c r="AV171" s="252">
        <f t="shared" si="28"/>
        <v>15104.78</v>
      </c>
    </row>
    <row r="172" spans="1:48" ht="24" customHeight="1">
      <c r="A172" s="364"/>
      <c r="B172" s="364"/>
      <c r="C172" s="364"/>
      <c r="D172" s="364"/>
      <c r="K172" s="358" t="s">
        <v>1586</v>
      </c>
      <c r="Q172" s="296"/>
      <c r="R172" s="274">
        <f>(R170/10)</f>
        <v>4902.04</v>
      </c>
      <c r="W172" s="253"/>
      <c r="AR172" s="296"/>
      <c r="AS172" s="358" t="s">
        <v>1586</v>
      </c>
      <c r="AU172" s="252">
        <f t="shared" si="27"/>
        <v>0</v>
      </c>
      <c r="AV172" s="252">
        <f t="shared" si="28"/>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6899.77</v>
      </c>
      <c r="AU173" s="252">
        <f t="shared" si="27"/>
        <v>1565.56</v>
      </c>
      <c r="AV173" s="252">
        <f t="shared" si="28"/>
        <v>5334.21</v>
      </c>
    </row>
    <row r="174" spans="1:48" ht="24" customHeight="1">
      <c r="A174" s="364"/>
      <c r="B174" s="364"/>
      <c r="C174" s="364"/>
      <c r="D174" s="364"/>
      <c r="H174" s="358" t="s">
        <v>1586</v>
      </c>
      <c r="W174" s="253"/>
      <c r="AR174" s="296"/>
      <c r="AS174" s="358" t="s">
        <v>2055</v>
      </c>
      <c r="AU174" s="252">
        <f t="shared" si="27"/>
        <v>0</v>
      </c>
      <c r="AV174" s="252">
        <f t="shared" si="28"/>
        <v>0</v>
      </c>
    </row>
    <row r="175" spans="1:48" ht="24" customHeight="1">
      <c r="A175" s="364"/>
      <c r="B175" s="364"/>
      <c r="C175" s="364"/>
      <c r="D175" s="364"/>
      <c r="F175" s="252">
        <v>1</v>
      </c>
      <c r="G175" s="252" t="s">
        <v>869</v>
      </c>
      <c r="H175" s="296" t="s">
        <v>832</v>
      </c>
      <c r="I175" s="252">
        <f>AC14</f>
        <v>1685.18</v>
      </c>
      <c r="J175" s="296" t="s">
        <v>869</v>
      </c>
      <c r="K175" s="252">
        <f>(F175*I175)</f>
        <v>1685.18</v>
      </c>
      <c r="W175" s="253"/>
      <c r="AN175" s="296" t="s">
        <v>249</v>
      </c>
      <c r="AR175" s="296"/>
      <c r="AU175" s="252">
        <f t="shared" si="27"/>
        <v>0</v>
      </c>
      <c r="AV175" s="252">
        <f t="shared" si="28"/>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7"/>
        <v>0</v>
      </c>
      <c r="AV176" s="252">
        <f t="shared" si="28"/>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7"/>
        <v>0</v>
      </c>
      <c r="AV177" s="252">
        <f t="shared" si="28"/>
        <v>0</v>
      </c>
    </row>
    <row r="178" spans="1:48" ht="24" customHeight="1">
      <c r="A178" s="364"/>
      <c r="B178" s="364"/>
      <c r="C178" s="364"/>
      <c r="D178" s="364"/>
      <c r="K178" s="358" t="s">
        <v>1586</v>
      </c>
      <c r="W178" s="253"/>
      <c r="AP178" s="358" t="s">
        <v>1586</v>
      </c>
      <c r="AR178" s="296"/>
      <c r="AU178" s="252">
        <f t="shared" si="27"/>
        <v>0</v>
      </c>
      <c r="AV178" s="252">
        <f t="shared" si="28"/>
        <v>0</v>
      </c>
    </row>
    <row r="179" spans="1:48" ht="24" customHeight="1">
      <c r="A179" s="364"/>
      <c r="B179" s="364"/>
      <c r="C179" s="364"/>
      <c r="D179" s="364"/>
      <c r="H179" s="255" t="s">
        <v>193</v>
      </c>
      <c r="K179" s="274">
        <f>SUM(K174:K177)</f>
        <v>1724.13</v>
      </c>
      <c r="W179" s="253"/>
      <c r="AN179" s="252">
        <v>0.7</v>
      </c>
      <c r="AO179" s="252" t="s">
        <v>869</v>
      </c>
      <c r="AP179" s="296" t="s">
        <v>2279</v>
      </c>
      <c r="AQ179" s="252">
        <f>AQ147</f>
        <v>6898</v>
      </c>
      <c r="AR179" s="296" t="s">
        <v>868</v>
      </c>
      <c r="AS179" s="252">
        <f>(AN179*AQ179)</f>
        <v>4828.6000000000004</v>
      </c>
      <c r="AU179" s="252">
        <f t="shared" si="27"/>
        <v>1095.6099999999999</v>
      </c>
      <c r="AV179" s="252">
        <f t="shared" si="28"/>
        <v>3732.99</v>
      </c>
    </row>
    <row r="180" spans="1:48" ht="24" customHeight="1">
      <c r="K180" s="358" t="s">
        <v>1586</v>
      </c>
      <c r="M180" s="252">
        <v>2.5</v>
      </c>
      <c r="N180" s="296" t="s">
        <v>869</v>
      </c>
      <c r="O180" s="296" t="s">
        <v>1631</v>
      </c>
      <c r="P180" s="252">
        <f>(K58)</f>
        <v>3030.06</v>
      </c>
      <c r="Q180" s="296" t="s">
        <v>869</v>
      </c>
      <c r="R180" s="252">
        <f>(M180*P180)</f>
        <v>7575.15</v>
      </c>
      <c r="W180" s="253"/>
      <c r="AG180" s="296"/>
      <c r="AN180" s="252">
        <v>1</v>
      </c>
      <c r="AO180" s="252" t="s">
        <v>769</v>
      </c>
      <c r="AP180" s="296" t="s">
        <v>2009</v>
      </c>
      <c r="AQ180" s="252">
        <f>AQ165</f>
        <v>999</v>
      </c>
      <c r="AR180" s="296" t="s">
        <v>868</v>
      </c>
      <c r="AS180" s="252">
        <f>(AN180*AQ180)</f>
        <v>999</v>
      </c>
      <c r="AU180" s="252">
        <f t="shared" si="27"/>
        <v>226.67</v>
      </c>
      <c r="AV180" s="252">
        <f t="shared" si="28"/>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7"/>
        <v>0</v>
      </c>
      <c r="AV181" s="252">
        <f t="shared" si="28"/>
        <v>0</v>
      </c>
    </row>
    <row r="182" spans="1:48" ht="24" customHeight="1">
      <c r="F182" s="253" t="s">
        <v>1647</v>
      </c>
      <c r="H182" s="296" t="s">
        <v>6101</v>
      </c>
      <c r="W182" s="253"/>
      <c r="AR182" s="296"/>
      <c r="AS182" s="358" t="s">
        <v>1586</v>
      </c>
      <c r="AU182" s="252">
        <f t="shared" si="27"/>
        <v>0</v>
      </c>
      <c r="AV182" s="252">
        <f t="shared" si="28"/>
        <v>0</v>
      </c>
    </row>
    <row r="183" spans="1:48" ht="24" customHeight="1">
      <c r="A183" s="364"/>
      <c r="B183" s="364"/>
      <c r="C183" s="364"/>
      <c r="D183" s="364"/>
      <c r="W183" s="253"/>
      <c r="AP183" s="296" t="s">
        <v>441</v>
      </c>
      <c r="AR183" s="296"/>
      <c r="AS183" s="274">
        <f>SUM(AS179:AS181)</f>
        <v>5827.6</v>
      </c>
      <c r="AU183" s="252">
        <f t="shared" si="27"/>
        <v>1322.28</v>
      </c>
      <c r="AV183" s="252">
        <f t="shared" si="28"/>
        <v>4505.32</v>
      </c>
    </row>
    <row r="184" spans="1:48" ht="24" customHeight="1">
      <c r="A184" s="364"/>
      <c r="B184" s="364"/>
      <c r="C184" s="364"/>
      <c r="D184" s="364"/>
      <c r="F184" s="252">
        <v>1</v>
      </c>
      <c r="G184" s="252" t="s">
        <v>869</v>
      </c>
      <c r="H184" s="296" t="s">
        <v>64</v>
      </c>
      <c r="I184" s="252">
        <f>C35</f>
        <v>222.7</v>
      </c>
      <c r="J184" s="296" t="s">
        <v>869</v>
      </c>
      <c r="K184" s="252">
        <f>(F184*I184)</f>
        <v>222.7</v>
      </c>
      <c r="W184" s="253"/>
      <c r="AR184" s="296"/>
      <c r="AS184" s="358" t="s">
        <v>1586</v>
      </c>
      <c r="AU184" s="252">
        <f t="shared" si="27"/>
        <v>0</v>
      </c>
      <c r="AV184" s="252">
        <f t="shared" si="28"/>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582.76</v>
      </c>
      <c r="AU185" s="252">
        <f t="shared" si="27"/>
        <v>132.22999999999999</v>
      </c>
      <c r="AV185" s="252">
        <f t="shared" si="28"/>
        <v>450.53</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7"/>
        <v>0</v>
      </c>
      <c r="AV186" s="252">
        <f t="shared" si="28"/>
        <v>0</v>
      </c>
    </row>
    <row r="187" spans="1:48" ht="24" customHeight="1">
      <c r="A187" s="364"/>
      <c r="B187" s="364"/>
      <c r="C187" s="364"/>
      <c r="D187" s="364"/>
      <c r="H187" s="296" t="s">
        <v>1643</v>
      </c>
      <c r="W187" s="253"/>
      <c r="AP187" s="296" t="s">
        <v>386</v>
      </c>
      <c r="AR187" s="296">
        <f>AS187-AS185</f>
        <v>5.52</v>
      </c>
      <c r="AS187" s="274">
        <f>(AS185+C19/10*AN179)</f>
        <v>588.28</v>
      </c>
      <c r="AU187" s="252">
        <f t="shared" si="27"/>
        <v>133.47999999999999</v>
      </c>
      <c r="AV187" s="252">
        <f t="shared" si="28"/>
        <v>454.8</v>
      </c>
    </row>
    <row r="188" spans="1:48" ht="24" customHeight="1">
      <c r="A188" s="364"/>
      <c r="B188" s="364"/>
      <c r="C188" s="364"/>
      <c r="D188" s="364"/>
      <c r="K188" s="358" t="s">
        <v>1586</v>
      </c>
      <c r="W188" s="253"/>
      <c r="AP188" s="296" t="s">
        <v>388</v>
      </c>
      <c r="AR188" s="296">
        <f>AS188-AS187</f>
        <v>11.14</v>
      </c>
      <c r="AS188" s="274">
        <f>(AS187+C20/10*AN179)</f>
        <v>599.41999999999996</v>
      </c>
      <c r="AU188" s="252">
        <f t="shared" si="27"/>
        <v>136.01</v>
      </c>
      <c r="AV188" s="252">
        <f t="shared" si="28"/>
        <v>463.41</v>
      </c>
    </row>
    <row r="189" spans="1:48" ht="24" customHeight="1">
      <c r="A189" s="364"/>
      <c r="B189" s="364"/>
      <c r="C189" s="364"/>
      <c r="D189" s="364"/>
      <c r="H189" s="255" t="s">
        <v>193</v>
      </c>
      <c r="K189" s="274">
        <f>SUM(K182:K187)</f>
        <v>241.35</v>
      </c>
      <c r="W189" s="253"/>
      <c r="AP189" s="296" t="s">
        <v>2232</v>
      </c>
      <c r="AR189" s="296">
        <f>AS189-AS188</f>
        <v>11.14</v>
      </c>
      <c r="AS189" s="274">
        <f>(AS188+C21/10*AN179)</f>
        <v>610.55999999999995</v>
      </c>
      <c r="AU189" s="252">
        <f t="shared" si="27"/>
        <v>138.54</v>
      </c>
      <c r="AV189" s="252">
        <f t="shared" si="28"/>
        <v>472.02</v>
      </c>
    </row>
    <row r="190" spans="1:48" ht="24" customHeight="1">
      <c r="A190" s="364"/>
      <c r="B190" s="364"/>
      <c r="C190" s="364"/>
      <c r="D190" s="364"/>
      <c r="F190" s="296" t="s">
        <v>975</v>
      </c>
      <c r="K190" s="358" t="s">
        <v>1586</v>
      </c>
      <c r="W190" s="253"/>
      <c r="AP190" s="296" t="s">
        <v>380</v>
      </c>
      <c r="AR190" s="296">
        <f>AS190-AS189</f>
        <v>11.14</v>
      </c>
      <c r="AS190" s="274">
        <f>(AS189+C21/10*AN179)</f>
        <v>621.70000000000005</v>
      </c>
      <c r="AU190" s="252">
        <f t="shared" si="27"/>
        <v>141.06</v>
      </c>
      <c r="AV190" s="252">
        <f t="shared" si="28"/>
        <v>480.64</v>
      </c>
    </row>
    <row r="191" spans="1:48" ht="24" customHeight="1">
      <c r="A191" s="364"/>
      <c r="B191" s="364"/>
      <c r="C191" s="364"/>
      <c r="D191" s="364"/>
      <c r="K191" s="296" t="s">
        <v>975</v>
      </c>
      <c r="W191" s="253"/>
      <c r="AP191" s="296" t="s">
        <v>833</v>
      </c>
      <c r="AR191" s="296">
        <f>AS191-AS190</f>
        <v>11.14</v>
      </c>
      <c r="AS191" s="274">
        <f>(AS190+C21/10*AN179)</f>
        <v>632.84</v>
      </c>
      <c r="AU191" s="252">
        <f t="shared" si="27"/>
        <v>143.59</v>
      </c>
      <c r="AV191" s="252">
        <f t="shared" si="28"/>
        <v>489.25</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G192" s="296"/>
      <c r="AP192" s="296"/>
      <c r="AR192" s="296"/>
      <c r="AS192" s="274"/>
      <c r="AU192" s="252">
        <f t="shared" si="27"/>
        <v>0</v>
      </c>
      <c r="AV192" s="252">
        <f t="shared" si="28"/>
        <v>0</v>
      </c>
    </row>
    <row r="193" spans="1:48" ht="24" customHeight="1">
      <c r="A193" s="363">
        <f t="shared" ref="A193:A208" si="29">(A192+1)</f>
        <v>91</v>
      </c>
      <c r="B193" s="365" t="s">
        <v>668</v>
      </c>
      <c r="C193" s="314">
        <v>25</v>
      </c>
      <c r="D193" s="365" t="s">
        <v>665</v>
      </c>
      <c r="H193" s="296" t="s">
        <v>669</v>
      </c>
      <c r="O193" s="296" t="s">
        <v>1487</v>
      </c>
      <c r="Q193" s="296"/>
      <c r="S193" s="252"/>
      <c r="U193" s="296" t="s">
        <v>669</v>
      </c>
      <c r="W193" s="253"/>
      <c r="AG193" s="296"/>
      <c r="AO193" s="252" t="s">
        <v>1539</v>
      </c>
      <c r="AP193" s="296" t="s">
        <v>431</v>
      </c>
      <c r="AR193" s="296"/>
      <c r="AU193" s="252">
        <f t="shared" si="27"/>
        <v>0</v>
      </c>
      <c r="AV193" s="252">
        <f t="shared" si="28"/>
        <v>0</v>
      </c>
    </row>
    <row r="194" spans="1:48" ht="24" customHeight="1">
      <c r="A194" s="363">
        <f t="shared" si="29"/>
        <v>92</v>
      </c>
      <c r="B194" s="296" t="s">
        <v>5274</v>
      </c>
      <c r="C194" s="362">
        <v>271.2</v>
      </c>
      <c r="D194" s="365" t="s">
        <v>665</v>
      </c>
      <c r="H194" s="358" t="s">
        <v>1586</v>
      </c>
      <c r="O194" s="358" t="s">
        <v>1586</v>
      </c>
      <c r="Q194" s="296"/>
      <c r="S194" s="252"/>
      <c r="U194" s="358" t="s">
        <v>1586</v>
      </c>
      <c r="W194" s="253"/>
      <c r="AG194" s="296"/>
      <c r="AP194" s="358" t="s">
        <v>1586</v>
      </c>
      <c r="AR194" s="296"/>
      <c r="AU194" s="252">
        <f t="shared" si="27"/>
        <v>0</v>
      </c>
      <c r="AV194" s="252">
        <f t="shared" si="28"/>
        <v>0</v>
      </c>
    </row>
    <row r="195" spans="1:48" ht="24" customHeight="1">
      <c r="A195" s="363">
        <f t="shared" si="29"/>
        <v>93</v>
      </c>
      <c r="B195" s="296" t="s">
        <v>5275</v>
      </c>
      <c r="C195" s="362">
        <v>238.9</v>
      </c>
      <c r="D195" s="314">
        <v>96.11</v>
      </c>
      <c r="F195" s="252">
        <v>9</v>
      </c>
      <c r="G195" s="252" t="s">
        <v>869</v>
      </c>
      <c r="H195" s="296" t="s">
        <v>1638</v>
      </c>
      <c r="I195" s="252">
        <f>(C74)</f>
        <v>1265.98</v>
      </c>
      <c r="J195" s="296" t="s">
        <v>869</v>
      </c>
      <c r="K195" s="252">
        <f>(F195*I195)</f>
        <v>11393.82</v>
      </c>
      <c r="M195" s="252">
        <v>9</v>
      </c>
      <c r="N195" s="252" t="s">
        <v>869</v>
      </c>
      <c r="O195" s="296" t="s">
        <v>691</v>
      </c>
      <c r="P195" s="252">
        <f>(C73)</f>
        <v>1685.18</v>
      </c>
      <c r="Q195" s="296" t="s">
        <v>869</v>
      </c>
      <c r="R195" s="252">
        <f>(M195*P195)</f>
        <v>15166.62</v>
      </c>
      <c r="S195" s="252">
        <v>9</v>
      </c>
      <c r="T195" s="252" t="s">
        <v>869</v>
      </c>
      <c r="U195" s="296" t="s">
        <v>1638</v>
      </c>
      <c r="V195" s="252">
        <f>(C74)</f>
        <v>1265.98</v>
      </c>
      <c r="W195" s="253" t="s">
        <v>869</v>
      </c>
      <c r="X195" s="252">
        <f>(S195*V195)</f>
        <v>11393.82</v>
      </c>
      <c r="AG195" s="296"/>
      <c r="AN195" s="252">
        <v>0.7</v>
      </c>
      <c r="AO195" s="252" t="s">
        <v>869</v>
      </c>
      <c r="AP195" s="296" t="s">
        <v>2279</v>
      </c>
      <c r="AQ195" s="252">
        <f>AQ163</f>
        <v>6595</v>
      </c>
      <c r="AR195" s="296" t="s">
        <v>868</v>
      </c>
      <c r="AS195" s="252">
        <f>(AN195*AQ195)</f>
        <v>4616.5</v>
      </c>
      <c r="AU195" s="252">
        <f t="shared" si="27"/>
        <v>1047.48</v>
      </c>
      <c r="AV195" s="252">
        <f t="shared" si="28"/>
        <v>3569.02</v>
      </c>
    </row>
    <row r="196" spans="1:48" ht="24" customHeight="1">
      <c r="A196" s="363">
        <f t="shared" si="29"/>
        <v>94</v>
      </c>
      <c r="B196" s="296" t="s">
        <v>5276</v>
      </c>
      <c r="C196" s="362">
        <v>147.5</v>
      </c>
      <c r="D196" s="365" t="s">
        <v>665</v>
      </c>
      <c r="F196" s="252">
        <v>4.5</v>
      </c>
      <c r="G196" s="252" t="s">
        <v>869</v>
      </c>
      <c r="H196" s="296" t="s">
        <v>1625</v>
      </c>
      <c r="I196" s="252">
        <f>(K49)</f>
        <v>3319.98</v>
      </c>
      <c r="J196" s="296" t="s">
        <v>869</v>
      </c>
      <c r="K196" s="252">
        <f>(F196*I196)</f>
        <v>14939.91</v>
      </c>
      <c r="M196" s="252">
        <v>4.5</v>
      </c>
      <c r="N196" s="252" t="s">
        <v>869</v>
      </c>
      <c r="O196" s="296" t="s">
        <v>1353</v>
      </c>
      <c r="P196" s="252">
        <f>K32</f>
        <v>4479.66</v>
      </c>
      <c r="Q196" s="296" t="s">
        <v>869</v>
      </c>
      <c r="R196" s="252">
        <f>(M196*P196)</f>
        <v>20158.47</v>
      </c>
      <c r="S196" s="252">
        <v>4.5</v>
      </c>
      <c r="T196" s="252" t="s">
        <v>869</v>
      </c>
      <c r="U196" s="296" t="s">
        <v>1353</v>
      </c>
      <c r="V196" s="252">
        <f>P196</f>
        <v>4479.66</v>
      </c>
      <c r="W196" s="253" t="s">
        <v>869</v>
      </c>
      <c r="X196" s="252">
        <f>(S196*V196)</f>
        <v>20158.47</v>
      </c>
      <c r="AG196" s="296"/>
      <c r="AN196" s="252">
        <v>1</v>
      </c>
      <c r="AO196" s="252" t="s">
        <v>769</v>
      </c>
      <c r="AP196" s="296" t="s">
        <v>2009</v>
      </c>
      <c r="AQ196" s="252" t="str">
        <f>AQ181</f>
        <v/>
      </c>
      <c r="AR196" s="296" t="s">
        <v>868</v>
      </c>
      <c r="AS196" s="252">
        <f>(AN196*AQ196)</f>
        <v>0</v>
      </c>
      <c r="AU196" s="252">
        <f t="shared" si="27"/>
        <v>0</v>
      </c>
      <c r="AV196" s="252">
        <f t="shared" si="28"/>
        <v>0</v>
      </c>
    </row>
    <row r="197" spans="1:48" ht="24" customHeight="1">
      <c r="A197" s="363">
        <f t="shared" si="29"/>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296" t="s">
        <v>1712</v>
      </c>
      <c r="V197" s="252">
        <f>P197</f>
        <v>932</v>
      </c>
      <c r="W197" s="253" t="s">
        <v>868</v>
      </c>
      <c r="X197" s="252">
        <f>(S197*V197)</f>
        <v>1677.6</v>
      </c>
      <c r="AG197" s="296"/>
      <c r="AO197" s="252" t="s">
        <v>449</v>
      </c>
      <c r="AP197" s="296" t="s">
        <v>450</v>
      </c>
      <c r="AQ197" s="296" t="s">
        <v>975</v>
      </c>
      <c r="AR197" s="296" t="s">
        <v>449</v>
      </c>
      <c r="AS197" s="252">
        <v>0</v>
      </c>
      <c r="AU197" s="252">
        <f t="shared" si="27"/>
        <v>0</v>
      </c>
      <c r="AV197" s="252">
        <f t="shared" si="28"/>
        <v>0</v>
      </c>
    </row>
    <row r="198" spans="1:48" ht="24" customHeight="1">
      <c r="A198" s="363">
        <f t="shared" si="29"/>
        <v>96</v>
      </c>
      <c r="B198" s="296" t="s">
        <v>5851</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296" t="s">
        <v>1902</v>
      </c>
      <c r="V198" s="252">
        <f>P198</f>
        <v>651</v>
      </c>
      <c r="W198" s="253" t="s">
        <v>868</v>
      </c>
      <c r="X198" s="252">
        <f>(S198*V198)</f>
        <v>11522.7</v>
      </c>
      <c r="AG198" s="296"/>
      <c r="AR198" s="296"/>
      <c r="AS198" s="358" t="s">
        <v>1586</v>
      </c>
      <c r="AU198" s="252">
        <f t="shared" si="27"/>
        <v>0</v>
      </c>
      <c r="AV198" s="252">
        <f t="shared" si="28"/>
        <v>0</v>
      </c>
    </row>
    <row r="199" spans="1:48" ht="24" customHeight="1">
      <c r="A199" s="363">
        <f t="shared" si="29"/>
        <v>97</v>
      </c>
      <c r="B199" s="296" t="s">
        <v>5852</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296" t="s">
        <v>320</v>
      </c>
      <c r="V199" s="252">
        <f>P199</f>
        <v>534</v>
      </c>
      <c r="W199" s="253" t="s">
        <v>868</v>
      </c>
      <c r="X199" s="252">
        <f>(S199*V199)</f>
        <v>7529.4</v>
      </c>
      <c r="AG199" s="296"/>
      <c r="AP199" s="296" t="s">
        <v>441</v>
      </c>
      <c r="AR199" s="296"/>
      <c r="AS199" s="274">
        <f>SUM(AS195:AS197)</f>
        <v>4616.5</v>
      </c>
      <c r="AU199" s="252">
        <f t="shared" si="27"/>
        <v>1047.48</v>
      </c>
      <c r="AV199" s="252">
        <f t="shared" si="28"/>
        <v>3569.02</v>
      </c>
    </row>
    <row r="200" spans="1:48" ht="24" customHeight="1">
      <c r="A200" s="363">
        <f t="shared" si="29"/>
        <v>98</v>
      </c>
      <c r="B200" s="296" t="s">
        <v>5853</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G200" s="296"/>
      <c r="AR200" s="296"/>
      <c r="AS200" s="358" t="s">
        <v>1586</v>
      </c>
      <c r="AU200" s="252">
        <f t="shared" si="27"/>
        <v>0</v>
      </c>
      <c r="AV200" s="252">
        <f t="shared" si="28"/>
        <v>0</v>
      </c>
    </row>
    <row r="201" spans="1:48" ht="24" customHeight="1">
      <c r="A201" s="363">
        <f t="shared" si="29"/>
        <v>99</v>
      </c>
      <c r="B201" s="296" t="s">
        <v>5854</v>
      </c>
      <c r="C201" s="362">
        <v>1201</v>
      </c>
      <c r="D201" s="296" t="s">
        <v>769</v>
      </c>
      <c r="K201" s="358" t="s">
        <v>1586</v>
      </c>
      <c r="Q201" s="296"/>
      <c r="R201" s="358" t="s">
        <v>1586</v>
      </c>
      <c r="S201" s="252"/>
      <c r="W201" s="253"/>
      <c r="X201" s="358" t="s">
        <v>1586</v>
      </c>
      <c r="AG201" s="296"/>
      <c r="AP201" s="296" t="s">
        <v>552</v>
      </c>
      <c r="AR201" s="296"/>
      <c r="AS201" s="252">
        <f>(AS199/10)</f>
        <v>461.65</v>
      </c>
      <c r="AU201" s="252">
        <f t="shared" si="27"/>
        <v>104.75</v>
      </c>
      <c r="AV201" s="252">
        <f t="shared" si="28"/>
        <v>356.9</v>
      </c>
    </row>
    <row r="202" spans="1:48" ht="24" customHeight="1">
      <c r="A202" s="363">
        <f t="shared" si="29"/>
        <v>100</v>
      </c>
      <c r="B202" s="365" t="s">
        <v>1149</v>
      </c>
      <c r="C202" s="372">
        <v>47.2</v>
      </c>
      <c r="D202" s="365" t="s">
        <v>769</v>
      </c>
      <c r="K202" s="252">
        <f>SUM(K195:K200)</f>
        <v>47063.43</v>
      </c>
      <c r="Q202" s="296"/>
      <c r="R202" s="252">
        <f>SUM(R195:R200)</f>
        <v>56054.79</v>
      </c>
      <c r="S202" s="252"/>
      <c r="W202" s="253"/>
      <c r="X202" s="252">
        <f>SUM(X195:X200)</f>
        <v>52281.99</v>
      </c>
      <c r="AG202" s="296"/>
      <c r="AR202" s="296"/>
      <c r="AS202" s="358" t="s">
        <v>2055</v>
      </c>
      <c r="AU202" s="252">
        <f t="shared" si="27"/>
        <v>0</v>
      </c>
      <c r="AV202" s="252">
        <f t="shared" si="28"/>
        <v>0</v>
      </c>
    </row>
    <row r="203" spans="1:48" ht="24" customHeight="1">
      <c r="A203" s="363">
        <f t="shared" si="29"/>
        <v>101</v>
      </c>
      <c r="B203" s="296" t="s">
        <v>5855</v>
      </c>
      <c r="C203" s="362">
        <v>128</v>
      </c>
      <c r="D203" s="365" t="s">
        <v>769</v>
      </c>
      <c r="E203" s="362">
        <v>166.15</v>
      </c>
      <c r="H203" s="253" t="s">
        <v>614</v>
      </c>
      <c r="K203" s="358" t="s">
        <v>1586</v>
      </c>
      <c r="O203" s="296" t="s">
        <v>614</v>
      </c>
      <c r="Q203" s="296"/>
      <c r="R203" s="358" t="s">
        <v>1586</v>
      </c>
      <c r="S203" s="252"/>
      <c r="U203" s="296" t="s">
        <v>614</v>
      </c>
      <c r="W203" s="253"/>
      <c r="X203" s="358" t="s">
        <v>1586</v>
      </c>
      <c r="AG203" s="296"/>
      <c r="AP203" s="296" t="s">
        <v>386</v>
      </c>
      <c r="AR203" s="296">
        <f>AS203-AS201</f>
        <v>15.59</v>
      </c>
      <c r="AS203" s="274">
        <f>(AS201+C35/10*AN195)</f>
        <v>477.24</v>
      </c>
      <c r="AU203" s="252">
        <f t="shared" si="27"/>
        <v>108.29</v>
      </c>
      <c r="AV203" s="252">
        <f t="shared" si="28"/>
        <v>368.95</v>
      </c>
    </row>
    <row r="204" spans="1:48" ht="24" customHeight="1">
      <c r="A204" s="363">
        <f t="shared" si="29"/>
        <v>102</v>
      </c>
      <c r="B204" s="296" t="s">
        <v>5856</v>
      </c>
      <c r="C204" s="362">
        <v>63.4</v>
      </c>
      <c r="D204" s="365" t="s">
        <v>769</v>
      </c>
      <c r="K204" s="274">
        <f>(K202/10)</f>
        <v>4706.34</v>
      </c>
      <c r="Q204" s="296"/>
      <c r="R204" s="252">
        <f>(R202/10)</f>
        <v>5605.48</v>
      </c>
      <c r="S204" s="252"/>
      <c r="W204" s="253"/>
      <c r="X204" s="252">
        <f>(X202/10)</f>
        <v>5228.2</v>
      </c>
      <c r="AP204" s="296" t="s">
        <v>388</v>
      </c>
      <c r="AR204" s="296">
        <f>AS204-AS203</f>
        <v>0.74</v>
      </c>
      <c r="AS204" s="274">
        <f>(AS203+C36/10*AN195)</f>
        <v>477.98</v>
      </c>
      <c r="AU204" s="252">
        <f t="shared" si="27"/>
        <v>108.45</v>
      </c>
      <c r="AV204" s="252">
        <f t="shared" si="28"/>
        <v>369.53</v>
      </c>
    </row>
    <row r="205" spans="1:48" ht="24" customHeight="1">
      <c r="A205" s="363">
        <f t="shared" si="29"/>
        <v>103</v>
      </c>
      <c r="B205" s="296" t="s">
        <v>621</v>
      </c>
      <c r="C205" s="362">
        <v>102</v>
      </c>
      <c r="D205" s="365" t="s">
        <v>769</v>
      </c>
      <c r="H205" s="255" t="s">
        <v>773</v>
      </c>
      <c r="K205" s="358" t="s">
        <v>2055</v>
      </c>
      <c r="O205" s="296" t="s">
        <v>773</v>
      </c>
      <c r="Q205" s="296"/>
      <c r="R205" s="358" t="s">
        <v>2055</v>
      </c>
      <c r="S205" s="252"/>
      <c r="U205" s="296" t="s">
        <v>773</v>
      </c>
      <c r="W205" s="253"/>
      <c r="X205" s="358" t="s">
        <v>2055</v>
      </c>
      <c r="AP205" s="296" t="s">
        <v>2232</v>
      </c>
      <c r="AR205" s="296">
        <f>AS205-AS204</f>
        <v>3.87</v>
      </c>
      <c r="AS205" s="274">
        <f>(AS204+C37/10*AN195)</f>
        <v>481.85</v>
      </c>
      <c r="AU205" s="252">
        <f t="shared" si="27"/>
        <v>109.33</v>
      </c>
      <c r="AV205" s="252">
        <f t="shared" si="28"/>
        <v>372.52</v>
      </c>
    </row>
    <row r="206" spans="1:48" ht="24" customHeight="1">
      <c r="A206" s="363">
        <f t="shared" si="29"/>
        <v>104</v>
      </c>
      <c r="B206" s="296" t="s">
        <v>5857</v>
      </c>
      <c r="C206" s="362">
        <v>101.6</v>
      </c>
      <c r="D206" s="365" t="s">
        <v>769</v>
      </c>
      <c r="E206" s="362">
        <v>140.65</v>
      </c>
      <c r="W206" s="253"/>
      <c r="AG206" s="296"/>
      <c r="AP206" s="296" t="s">
        <v>380</v>
      </c>
      <c r="AR206" s="296">
        <f>AS206-AS205</f>
        <v>3.87</v>
      </c>
      <c r="AS206" s="274">
        <f>(AS205+C37/10*AN195)</f>
        <v>485.72</v>
      </c>
      <c r="AU206" s="252">
        <f t="shared" si="27"/>
        <v>110.21</v>
      </c>
      <c r="AV206" s="252">
        <f t="shared" si="28"/>
        <v>375.51</v>
      </c>
    </row>
    <row r="207" spans="1:48" ht="24" customHeight="1">
      <c r="A207" s="363">
        <f t="shared" si="29"/>
        <v>105</v>
      </c>
      <c r="B207" s="296" t="s">
        <v>5277</v>
      </c>
      <c r="C207" s="362">
        <v>227.6</v>
      </c>
      <c r="D207" s="365" t="s">
        <v>686</v>
      </c>
      <c r="F207" s="253" t="s">
        <v>687</v>
      </c>
      <c r="G207" s="252" t="s">
        <v>2251</v>
      </c>
      <c r="H207" s="296" t="s">
        <v>6102</v>
      </c>
      <c r="W207" s="253"/>
      <c r="AP207" s="296" t="s">
        <v>833</v>
      </c>
      <c r="AR207" s="296">
        <f>AS207-AS206</f>
        <v>3.87</v>
      </c>
      <c r="AS207" s="274">
        <f>(AS206+C37/10*AN195)</f>
        <v>489.59</v>
      </c>
      <c r="AU207" s="252">
        <f t="shared" si="27"/>
        <v>111.09</v>
      </c>
      <c r="AV207" s="252">
        <f t="shared" si="28"/>
        <v>378.5</v>
      </c>
    </row>
    <row r="208" spans="1:48" ht="24" customHeight="1">
      <c r="A208" s="363">
        <f t="shared" si="29"/>
        <v>106</v>
      </c>
      <c r="B208" s="296" t="s">
        <v>5858</v>
      </c>
      <c r="C208" s="362">
        <v>166.15</v>
      </c>
      <c r="D208" s="365" t="s">
        <v>769</v>
      </c>
      <c r="H208" s="296" t="s">
        <v>1487</v>
      </c>
      <c r="N208" s="296" t="s">
        <v>689</v>
      </c>
      <c r="O208" s="296" t="s">
        <v>690</v>
      </c>
      <c r="W208" s="253"/>
      <c r="AU208" s="252">
        <f t="shared" si="27"/>
        <v>0</v>
      </c>
      <c r="AV208" s="252">
        <f t="shared" si="28"/>
        <v>0</v>
      </c>
    </row>
    <row r="209" spans="1:48" ht="24" customHeight="1">
      <c r="A209" s="364"/>
      <c r="B209" s="364"/>
      <c r="C209" s="364"/>
      <c r="D209" s="364"/>
      <c r="H209" s="358" t="s">
        <v>1586</v>
      </c>
      <c r="O209" s="358" t="s">
        <v>1586</v>
      </c>
      <c r="W209" s="253"/>
      <c r="AU209" s="252">
        <f t="shared" si="27"/>
        <v>0</v>
      </c>
      <c r="AV209" s="252">
        <f t="shared" si="28"/>
        <v>0</v>
      </c>
    </row>
    <row r="210" spans="1:48" ht="24" customHeight="1">
      <c r="A210" s="364"/>
      <c r="B210" s="364"/>
      <c r="C210" s="364"/>
      <c r="D210" s="364"/>
      <c r="F210" s="252">
        <v>9</v>
      </c>
      <c r="G210" s="252" t="s">
        <v>869</v>
      </c>
      <c r="H210" s="296" t="s">
        <v>691</v>
      </c>
      <c r="I210" s="252">
        <f>C73</f>
        <v>1685.18</v>
      </c>
      <c r="J210" s="296" t="s">
        <v>869</v>
      </c>
      <c r="K210" s="252">
        <f>(F210*I210)</f>
        <v>15166.62</v>
      </c>
      <c r="M210" s="400">
        <v>1.153E-2</v>
      </c>
      <c r="N210" s="296" t="s">
        <v>869</v>
      </c>
      <c r="O210" s="296" t="s">
        <v>692</v>
      </c>
      <c r="P210" s="252">
        <f>C88</f>
        <v>111600</v>
      </c>
      <c r="Q210" s="296" t="s">
        <v>869</v>
      </c>
      <c r="R210" s="252">
        <f t="shared" ref="R210:R219" si="30">(M210*P210)</f>
        <v>1286.75</v>
      </c>
      <c r="W210" s="253"/>
      <c r="AU210" s="252">
        <f t="shared" si="27"/>
        <v>0</v>
      </c>
      <c r="AV210" s="252">
        <f t="shared" si="28"/>
        <v>0</v>
      </c>
    </row>
    <row r="211" spans="1:48" ht="24" customHeight="1">
      <c r="A211" s="364"/>
      <c r="B211" s="364"/>
      <c r="C211" s="364"/>
      <c r="D211" s="364"/>
      <c r="F211" s="252">
        <v>4.5</v>
      </c>
      <c r="G211" s="252" t="s">
        <v>869</v>
      </c>
      <c r="H211" s="296" t="s">
        <v>119</v>
      </c>
      <c r="I211" s="252">
        <f>K23</f>
        <v>5929.26</v>
      </c>
      <c r="J211" s="296" t="s">
        <v>869</v>
      </c>
      <c r="K211" s="252">
        <f>(F211*I211)</f>
        <v>26681.67</v>
      </c>
      <c r="M211" s="400">
        <v>1.013E-2</v>
      </c>
      <c r="N211" s="296" t="s">
        <v>869</v>
      </c>
      <c r="O211" s="296" t="s">
        <v>693</v>
      </c>
      <c r="P211" s="252">
        <f>C89</f>
        <v>99400</v>
      </c>
      <c r="Q211" s="296" t="s">
        <v>869</v>
      </c>
      <c r="R211" s="252">
        <f t="shared" si="30"/>
        <v>1006.92</v>
      </c>
      <c r="W211" s="253"/>
      <c r="AU211" s="252">
        <f t="shared" si="27"/>
        <v>0</v>
      </c>
      <c r="AV211" s="252">
        <f t="shared" si="28"/>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0"/>
        <v>301.32</v>
      </c>
      <c r="W212" s="253"/>
      <c r="AU212" s="252">
        <f t="shared" si="27"/>
        <v>0</v>
      </c>
      <c r="AV212" s="252">
        <f t="shared" si="28"/>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0"/>
        <v>1575.63</v>
      </c>
      <c r="W213" s="253"/>
      <c r="AU213" s="252">
        <f t="shared" si="27"/>
        <v>0</v>
      </c>
      <c r="AV213" s="252">
        <f t="shared" si="28"/>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0"/>
        <v>129.6</v>
      </c>
      <c r="W214" s="253"/>
      <c r="AU214" s="252">
        <f t="shared" si="27"/>
        <v>0</v>
      </c>
      <c r="AV214" s="252">
        <f t="shared" si="28"/>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0"/>
        <v>268.8</v>
      </c>
      <c r="W215" s="253"/>
      <c r="AU215" s="252">
        <f t="shared" si="27"/>
        <v>0</v>
      </c>
      <c r="AV215" s="252">
        <f t="shared" si="28"/>
        <v>0</v>
      </c>
    </row>
    <row r="216" spans="1:48" ht="24" customHeight="1">
      <c r="A216" s="364"/>
      <c r="B216" s="364"/>
      <c r="C216" s="364"/>
      <c r="D216" s="364"/>
      <c r="K216" s="358" t="s">
        <v>1586</v>
      </c>
      <c r="M216" s="252">
        <v>1</v>
      </c>
      <c r="N216" s="296" t="s">
        <v>868</v>
      </c>
      <c r="O216" s="296" t="s">
        <v>1979</v>
      </c>
      <c r="P216" s="252">
        <f>C286</f>
        <v>181</v>
      </c>
      <c r="Q216" s="296" t="s">
        <v>868</v>
      </c>
      <c r="R216" s="252">
        <f t="shared" si="30"/>
        <v>181</v>
      </c>
      <c r="T216" s="252">
        <v>0</v>
      </c>
      <c r="W216" s="253"/>
      <c r="AU216" s="252">
        <f t="shared" si="27"/>
        <v>0</v>
      </c>
      <c r="AV216" s="252">
        <f t="shared" si="28"/>
        <v>0</v>
      </c>
    </row>
    <row r="217" spans="1:48" ht="24" customHeight="1">
      <c r="A217" s="364"/>
      <c r="B217" s="364"/>
      <c r="C217" s="364"/>
      <c r="D217" s="364"/>
      <c r="K217" s="252">
        <f>SUM(K210:K215)</f>
        <v>62577.99</v>
      </c>
      <c r="M217" s="252">
        <v>1</v>
      </c>
      <c r="N217" s="296" t="s">
        <v>868</v>
      </c>
      <c r="O217" s="296" t="s">
        <v>1980</v>
      </c>
      <c r="P217" s="252">
        <f>C288</f>
        <v>7.3</v>
      </c>
      <c r="Q217" s="296" t="s">
        <v>868</v>
      </c>
      <c r="R217" s="252">
        <f t="shared" si="30"/>
        <v>7.3</v>
      </c>
      <c r="W217" s="253"/>
      <c r="AU217" s="252">
        <f t="shared" si="27"/>
        <v>0</v>
      </c>
      <c r="AV217" s="252">
        <f t="shared" si="28"/>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0"/>
        <v>57.65</v>
      </c>
      <c r="W218" s="253"/>
    </row>
    <row r="219" spans="1:48" ht="24" customHeight="1">
      <c r="A219" s="364"/>
      <c r="B219" s="364"/>
      <c r="C219" s="364"/>
      <c r="D219" s="364"/>
      <c r="K219" s="274">
        <f>(K217/10)</f>
        <v>6257.8</v>
      </c>
      <c r="M219" s="252">
        <v>1</v>
      </c>
      <c r="N219" s="296" t="s">
        <v>868</v>
      </c>
      <c r="O219" s="296" t="s">
        <v>1982</v>
      </c>
      <c r="P219" s="252">
        <f>D598</f>
        <v>49.55</v>
      </c>
      <c r="Q219" s="296" t="s">
        <v>868</v>
      </c>
      <c r="R219" s="252">
        <f t="shared" si="30"/>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6103</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927.46</v>
      </c>
      <c r="J225" s="296" t="s">
        <v>869</v>
      </c>
      <c r="K225" s="252">
        <f>(F225*I225)</f>
        <v>8347.14</v>
      </c>
      <c r="M225" s="296" t="s">
        <v>321</v>
      </c>
      <c r="W225" s="253"/>
    </row>
    <row r="226" spans="1:23" ht="24" customHeight="1">
      <c r="A226" s="364"/>
      <c r="B226" s="364"/>
      <c r="C226" s="364"/>
      <c r="D226" s="364"/>
      <c r="F226" s="252">
        <v>4.5</v>
      </c>
      <c r="G226" s="252" t="s">
        <v>869</v>
      </c>
      <c r="H226" s="296" t="s">
        <v>1632</v>
      </c>
      <c r="I226" s="252">
        <f>K77</f>
        <v>2667.66</v>
      </c>
      <c r="J226" s="296" t="s">
        <v>869</v>
      </c>
      <c r="K226" s="252">
        <f>(F226*I226)</f>
        <v>12004.47</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6104</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1265.98</v>
      </c>
      <c r="Q231" s="296" t="s">
        <v>869</v>
      </c>
      <c r="R231" s="252">
        <f>(M231*P231)</f>
        <v>11393.82</v>
      </c>
      <c r="W231" s="253"/>
    </row>
    <row r="232" spans="1:23" ht="24" customHeight="1">
      <c r="A232" s="364"/>
      <c r="B232" s="364"/>
      <c r="C232" s="364"/>
      <c r="D232" s="364"/>
      <c r="K232" s="252">
        <f>SUM(K225:K230)</f>
        <v>41081.31</v>
      </c>
      <c r="M232" s="252">
        <v>4.5</v>
      </c>
      <c r="N232" s="252" t="s">
        <v>869</v>
      </c>
      <c r="O232" s="296" t="s">
        <v>1307</v>
      </c>
      <c r="P232" s="252">
        <f>K40</f>
        <v>3754.86</v>
      </c>
      <c r="Q232" s="296" t="s">
        <v>869</v>
      </c>
      <c r="R232" s="252">
        <f>(M232*P232)</f>
        <v>16896.87</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4108.13</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6105</v>
      </c>
      <c r="Q238" s="296"/>
      <c r="R238" s="252">
        <f>SUM(R231:R236)</f>
        <v>49020.39</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4902.04</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1111.6300000000001</v>
      </c>
      <c r="J242" s="296" t="s">
        <v>1341</v>
      </c>
      <c r="K242" s="252">
        <f>(F242*I242)</f>
        <v>833.72</v>
      </c>
      <c r="W242" s="253"/>
    </row>
    <row r="243" spans="1:23" ht="24" customHeight="1">
      <c r="A243" s="364"/>
      <c r="B243" s="364"/>
      <c r="C243" s="364"/>
      <c r="D243" s="364"/>
      <c r="F243" s="252">
        <v>0.5</v>
      </c>
      <c r="G243" s="252" t="s">
        <v>1341</v>
      </c>
      <c r="H243" s="296" t="s">
        <v>2098</v>
      </c>
      <c r="I243" s="252">
        <f>AC36</f>
        <v>1278.68</v>
      </c>
      <c r="J243" s="296" t="s">
        <v>1341</v>
      </c>
      <c r="K243" s="252">
        <f>(F243*I243)</f>
        <v>639.34</v>
      </c>
      <c r="W243" s="253"/>
    </row>
    <row r="244" spans="1:23" ht="24" customHeight="1">
      <c r="A244" s="364"/>
      <c r="B244" s="364"/>
      <c r="C244" s="364"/>
      <c r="D244" s="364"/>
      <c r="F244" s="252">
        <v>0.45</v>
      </c>
      <c r="G244" s="252" t="s">
        <v>1341</v>
      </c>
      <c r="H244" s="296" t="s">
        <v>925</v>
      </c>
      <c r="I244" s="252">
        <f>AC38</f>
        <v>222.7</v>
      </c>
      <c r="J244" s="296" t="s">
        <v>1341</v>
      </c>
      <c r="K244" s="252">
        <f>(F244*I244)</f>
        <v>100.22</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1755.42</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175.54</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6106</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1157.18</v>
      </c>
      <c r="J254" s="296" t="s">
        <v>1341</v>
      </c>
      <c r="K254" s="252">
        <f>(F254*I254)</f>
        <v>3124.39</v>
      </c>
      <c r="W254" s="253"/>
    </row>
    <row r="255" spans="1:23" ht="24" customHeight="1">
      <c r="A255" s="364"/>
      <c r="B255" s="364"/>
      <c r="C255" s="364"/>
      <c r="D255" s="364"/>
      <c r="F255" s="316">
        <v>0.14499999999999999</v>
      </c>
      <c r="G255" s="252" t="s">
        <v>1341</v>
      </c>
      <c r="H255" s="296" t="s">
        <v>912</v>
      </c>
      <c r="I255" s="252">
        <f>AC17</f>
        <v>1464.46</v>
      </c>
      <c r="J255" s="296" t="s">
        <v>1341</v>
      </c>
      <c r="K255" s="252">
        <f>(F255*I255)</f>
        <v>212.35</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14298.48</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142.97999999999999</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1">(A265+1)</f>
        <v>106</v>
      </c>
      <c r="B266" s="296" t="s">
        <v>5859</v>
      </c>
      <c r="C266" s="362">
        <v>170.35</v>
      </c>
      <c r="D266" s="365" t="s">
        <v>769</v>
      </c>
      <c r="H266" s="358" t="s">
        <v>2055</v>
      </c>
      <c r="O266" s="358" t="s">
        <v>1586</v>
      </c>
      <c r="W266" s="253"/>
      <c r="AG266" s="296"/>
    </row>
    <row r="267" spans="1:33" ht="24" customHeight="1">
      <c r="A267" s="363">
        <f t="shared" si="31"/>
        <v>107</v>
      </c>
      <c r="B267" s="401" t="s">
        <v>5860</v>
      </c>
      <c r="C267" s="402">
        <v>63</v>
      </c>
      <c r="D267" s="362">
        <v>156</v>
      </c>
      <c r="E267" s="252" t="s">
        <v>5861</v>
      </c>
      <c r="G267" s="252" t="s">
        <v>2251</v>
      </c>
      <c r="H267" s="296" t="s">
        <v>401</v>
      </c>
      <c r="M267" s="252">
        <v>1.1399999999999999</v>
      </c>
      <c r="N267" s="296" t="s">
        <v>869</v>
      </c>
      <c r="O267" s="296" t="s">
        <v>2279</v>
      </c>
      <c r="P267" s="252">
        <f>(K420)</f>
        <v>6376.12</v>
      </c>
      <c r="Q267" s="296" t="s">
        <v>868</v>
      </c>
      <c r="R267" s="252">
        <f>(M267*P267)</f>
        <v>7268.78</v>
      </c>
      <c r="W267" s="253"/>
      <c r="AG267" s="296"/>
    </row>
    <row r="268" spans="1:33" ht="39" customHeight="1">
      <c r="A268" s="363">
        <f t="shared" si="31"/>
        <v>108</v>
      </c>
      <c r="B268" s="389" t="s">
        <v>5862</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1"/>
        <v>109</v>
      </c>
      <c r="B269" s="296" t="s">
        <v>5863</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1"/>
        <v>110</v>
      </c>
      <c r="B270" s="296" t="s">
        <v>5864</v>
      </c>
      <c r="C270" s="362">
        <v>25.2</v>
      </c>
      <c r="D270" s="365" t="s">
        <v>769</v>
      </c>
      <c r="F270" s="252">
        <v>9</v>
      </c>
      <c r="G270" s="252" t="s">
        <v>869</v>
      </c>
      <c r="H270" s="296" t="s">
        <v>439</v>
      </c>
      <c r="I270" s="252">
        <f>(C73)</f>
        <v>1685.18</v>
      </c>
      <c r="J270" s="296" t="s">
        <v>869</v>
      </c>
      <c r="K270" s="252">
        <f t="shared" ref="K270:K275" si="32">(F270*I270)</f>
        <v>15166.62</v>
      </c>
      <c r="R270" s="358" t="s">
        <v>1586</v>
      </c>
      <c r="W270" s="253"/>
      <c r="AG270" s="296"/>
    </row>
    <row r="271" spans="1:33" ht="24" customHeight="1">
      <c r="A271" s="363">
        <f t="shared" si="31"/>
        <v>111</v>
      </c>
      <c r="B271" s="296" t="s">
        <v>5279</v>
      </c>
      <c r="C271" s="362">
        <v>49.85</v>
      </c>
      <c r="D271" s="365" t="s">
        <v>1645</v>
      </c>
      <c r="E271" s="362">
        <v>158</v>
      </c>
      <c r="F271" s="356">
        <v>3.2309999999999999</v>
      </c>
      <c r="G271" s="252" t="s">
        <v>861</v>
      </c>
      <c r="H271" s="296" t="s">
        <v>862</v>
      </c>
      <c r="I271" s="252">
        <f>(C67)</f>
        <v>6040</v>
      </c>
      <c r="J271" s="296" t="s">
        <v>861</v>
      </c>
      <c r="K271" s="252">
        <f t="shared" si="32"/>
        <v>19515.240000000002</v>
      </c>
      <c r="O271" s="296" t="s">
        <v>441</v>
      </c>
      <c r="R271" s="252">
        <f>SUM(R267:R269)</f>
        <v>8267.83</v>
      </c>
      <c r="W271" s="253"/>
      <c r="AG271" s="296"/>
    </row>
    <row r="272" spans="1:33" ht="24" customHeight="1">
      <c r="A272" s="363">
        <f t="shared" si="31"/>
        <v>112</v>
      </c>
      <c r="B272" s="296" t="s">
        <v>5280</v>
      </c>
      <c r="C272" s="362">
        <v>306.89999999999998</v>
      </c>
      <c r="D272" s="314">
        <v>452.09</v>
      </c>
      <c r="E272" s="314">
        <v>250</v>
      </c>
      <c r="F272" s="252">
        <v>4.5</v>
      </c>
      <c r="G272" s="252" t="s">
        <v>869</v>
      </c>
      <c r="H272" s="296" t="s">
        <v>870</v>
      </c>
      <c r="I272" s="252">
        <f>(C78)</f>
        <v>1464.46</v>
      </c>
      <c r="J272" s="296" t="s">
        <v>869</v>
      </c>
      <c r="K272" s="252">
        <f t="shared" si="32"/>
        <v>6590.07</v>
      </c>
      <c r="R272" s="358" t="s">
        <v>1586</v>
      </c>
      <c r="W272" s="253"/>
      <c r="AG272" s="296"/>
    </row>
    <row r="273" spans="1:33" ht="24" customHeight="1">
      <c r="A273" s="363">
        <f t="shared" si="31"/>
        <v>113</v>
      </c>
      <c r="B273" s="296" t="s">
        <v>5281</v>
      </c>
      <c r="C273" s="362">
        <v>144.1</v>
      </c>
      <c r="D273" s="365" t="s">
        <v>1771</v>
      </c>
      <c r="F273" s="252">
        <v>3.5</v>
      </c>
      <c r="G273" s="252" t="s">
        <v>868</v>
      </c>
      <c r="H273" s="296" t="s">
        <v>1712</v>
      </c>
      <c r="I273" s="252">
        <f>(C11)</f>
        <v>932</v>
      </c>
      <c r="J273" s="296" t="s">
        <v>868</v>
      </c>
      <c r="K273" s="252">
        <f t="shared" si="32"/>
        <v>3262</v>
      </c>
      <c r="O273" s="296" t="s">
        <v>552</v>
      </c>
      <c r="R273" s="252">
        <f>(R271/10)</f>
        <v>826.78</v>
      </c>
      <c r="W273" s="253"/>
      <c r="AG273" s="296"/>
    </row>
    <row r="274" spans="1:33" ht="24" customHeight="1">
      <c r="A274" s="363">
        <f t="shared" si="31"/>
        <v>114</v>
      </c>
      <c r="B274" s="296" t="s">
        <v>5282</v>
      </c>
      <c r="C274" s="362">
        <v>52.3</v>
      </c>
      <c r="D274" s="365" t="s">
        <v>769</v>
      </c>
      <c r="F274" s="252">
        <v>21.2</v>
      </c>
      <c r="G274" s="252" t="s">
        <v>868</v>
      </c>
      <c r="H274" s="296" t="s">
        <v>1902</v>
      </c>
      <c r="I274" s="252">
        <f>(C12)</f>
        <v>651</v>
      </c>
      <c r="J274" s="296" t="s">
        <v>868</v>
      </c>
      <c r="K274" s="252">
        <f t="shared" si="32"/>
        <v>13801.2</v>
      </c>
      <c r="R274" s="358" t="s">
        <v>2055</v>
      </c>
      <c r="W274" s="253"/>
      <c r="Y274" s="356"/>
      <c r="Z274" s="356"/>
      <c r="AG274" s="296"/>
    </row>
    <row r="275" spans="1:33" ht="24" customHeight="1">
      <c r="A275" s="363">
        <f t="shared" si="31"/>
        <v>115</v>
      </c>
      <c r="B275" s="296" t="s">
        <v>5283</v>
      </c>
      <c r="C275" s="362">
        <v>45.7</v>
      </c>
      <c r="D275" s="365" t="s">
        <v>769</v>
      </c>
      <c r="F275" s="252">
        <v>35.299999999999997</v>
      </c>
      <c r="G275" s="252" t="s">
        <v>868</v>
      </c>
      <c r="H275" s="296" t="s">
        <v>320</v>
      </c>
      <c r="I275" s="252">
        <f>(C13)</f>
        <v>534</v>
      </c>
      <c r="J275" s="296" t="s">
        <v>868</v>
      </c>
      <c r="K275" s="252">
        <f t="shared" si="32"/>
        <v>18850.2</v>
      </c>
      <c r="N275" s="296" t="s">
        <v>1134</v>
      </c>
      <c r="O275" s="296" t="s">
        <v>386</v>
      </c>
      <c r="R275" s="252">
        <f>(R273+C19/10*M267)</f>
        <v>835.77</v>
      </c>
      <c r="W275" s="253"/>
      <c r="Y275" s="356"/>
      <c r="Z275" s="356"/>
      <c r="AG275" s="296"/>
    </row>
    <row r="276" spans="1:33" ht="24" customHeight="1">
      <c r="A276" s="363">
        <f t="shared" si="31"/>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853.92</v>
      </c>
      <c r="W276" s="253"/>
      <c r="Y276" s="356"/>
      <c r="Z276" s="356"/>
      <c r="AG276" s="296"/>
    </row>
    <row r="277" spans="1:33" ht="24" customHeight="1">
      <c r="A277" s="363">
        <f t="shared" si="31"/>
        <v>117</v>
      </c>
      <c r="B277" s="296" t="s">
        <v>5284</v>
      </c>
      <c r="C277" s="362">
        <v>32.1</v>
      </c>
      <c r="D277" s="387">
        <v>6.25</v>
      </c>
      <c r="K277" s="358" t="s">
        <v>1586</v>
      </c>
      <c r="N277" s="296" t="s">
        <v>672</v>
      </c>
      <c r="O277" s="296" t="s">
        <v>2232</v>
      </c>
      <c r="R277" s="252">
        <f>(R276+C21/10*M267)</f>
        <v>872.07</v>
      </c>
      <c r="W277" s="253"/>
      <c r="Y277" s="356"/>
      <c r="Z277" s="356"/>
      <c r="AG277" s="296"/>
    </row>
    <row r="278" spans="1:33" ht="24" customHeight="1">
      <c r="A278" s="363">
        <f t="shared" si="31"/>
        <v>118</v>
      </c>
      <c r="B278" s="296" t="s">
        <v>5285</v>
      </c>
      <c r="C278" s="362">
        <v>364.6</v>
      </c>
      <c r="D278" s="365" t="s">
        <v>609</v>
      </c>
      <c r="H278" s="296" t="s">
        <v>2171</v>
      </c>
      <c r="K278" s="252">
        <f>SUM(K270:K276)</f>
        <v>77185.33</v>
      </c>
      <c r="N278" s="296" t="s">
        <v>2172</v>
      </c>
      <c r="O278" s="296" t="s">
        <v>380</v>
      </c>
      <c r="R278" s="252">
        <f>(R277+C21/10*M267)</f>
        <v>890.22</v>
      </c>
      <c r="W278" s="253"/>
      <c r="Y278" s="356"/>
      <c r="Z278" s="356"/>
      <c r="AG278" s="296"/>
    </row>
    <row r="279" spans="1:33" ht="24" customHeight="1">
      <c r="A279" s="363">
        <f t="shared" si="31"/>
        <v>119</v>
      </c>
      <c r="B279" s="296" t="s">
        <v>5286</v>
      </c>
      <c r="C279" s="362">
        <v>89.6</v>
      </c>
      <c r="D279" s="365" t="s">
        <v>769</v>
      </c>
      <c r="K279" s="358" t="s">
        <v>1586</v>
      </c>
      <c r="W279" s="253"/>
      <c r="Z279" s="356"/>
      <c r="AG279" s="296"/>
    </row>
    <row r="280" spans="1:33" ht="24" customHeight="1">
      <c r="A280" s="363">
        <f t="shared" si="31"/>
        <v>120</v>
      </c>
      <c r="B280" s="296" t="s">
        <v>5287</v>
      </c>
      <c r="C280" s="362">
        <v>71.900000000000006</v>
      </c>
      <c r="D280" s="365" t="s">
        <v>769</v>
      </c>
      <c r="H280" s="255" t="s">
        <v>773</v>
      </c>
      <c r="K280" s="274">
        <f>(K278/10)</f>
        <v>7718.53</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3">(A282+1)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3"/>
        <v>123</v>
      </c>
      <c r="B284" s="296" t="s">
        <v>5290</v>
      </c>
      <c r="C284" s="362">
        <v>64.8</v>
      </c>
      <c r="D284" s="365" t="s">
        <v>769</v>
      </c>
      <c r="K284" s="358" t="s">
        <v>1586</v>
      </c>
      <c r="M284" s="252">
        <v>10</v>
      </c>
      <c r="N284" s="296" t="s">
        <v>609</v>
      </c>
      <c r="O284" s="296" t="s">
        <v>45</v>
      </c>
      <c r="P284" s="252">
        <f>(K1241)</f>
        <v>1226.1500000000001</v>
      </c>
      <c r="Q284" s="296" t="s">
        <v>609</v>
      </c>
      <c r="R284" s="252">
        <f>(M284*P284)</f>
        <v>12261.5</v>
      </c>
      <c r="W284" s="253"/>
      <c r="AG284" s="296"/>
    </row>
    <row r="285" spans="1:33" ht="24" customHeight="1">
      <c r="A285" s="363">
        <f t="shared" si="33"/>
        <v>124</v>
      </c>
      <c r="B285" s="296" t="s">
        <v>5291</v>
      </c>
      <c r="C285" s="362">
        <v>39.700000000000003</v>
      </c>
      <c r="D285" s="365" t="s">
        <v>769</v>
      </c>
      <c r="E285" s="362">
        <v>57</v>
      </c>
      <c r="H285" s="296" t="s">
        <v>602</v>
      </c>
      <c r="K285" s="274">
        <f>SUM(K280:K283)</f>
        <v>7812.73</v>
      </c>
      <c r="M285" s="252">
        <v>1.1000000000000001</v>
      </c>
      <c r="N285" s="296" t="s">
        <v>868</v>
      </c>
      <c r="O285" s="296" t="s">
        <v>1712</v>
      </c>
      <c r="P285" s="252">
        <f>(C11)</f>
        <v>932</v>
      </c>
      <c r="Q285" s="296" t="s">
        <v>868</v>
      </c>
      <c r="R285" s="252">
        <f>(M285*P285)</f>
        <v>1025.2</v>
      </c>
      <c r="W285" s="253"/>
      <c r="AG285" s="296"/>
    </row>
    <row r="286" spans="1:33" ht="24" customHeight="1">
      <c r="A286" s="363">
        <f t="shared" si="33"/>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3"/>
        <v>126</v>
      </c>
      <c r="B287" s="296" t="s">
        <v>5293</v>
      </c>
      <c r="C287" s="362">
        <v>101.6</v>
      </c>
      <c r="D287" s="365" t="s">
        <v>769</v>
      </c>
      <c r="H287" s="296" t="s">
        <v>386</v>
      </c>
      <c r="K287" s="274">
        <f>(K285+C22)</f>
        <v>7932.58</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3"/>
        <v>127</v>
      </c>
      <c r="B288" s="365" t="s">
        <v>4254</v>
      </c>
      <c r="C288" s="314">
        <v>7.3</v>
      </c>
      <c r="D288" s="365" t="s">
        <v>769</v>
      </c>
      <c r="H288" s="296" t="s">
        <v>388</v>
      </c>
      <c r="K288" s="274">
        <f>(K287+C23)</f>
        <v>8168.68</v>
      </c>
      <c r="L288" s="252">
        <v>107</v>
      </c>
      <c r="R288" s="358" t="s">
        <v>1586</v>
      </c>
      <c r="W288" s="253"/>
      <c r="AG288" s="296"/>
    </row>
    <row r="289" spans="1:33" ht="24" customHeight="1">
      <c r="A289" s="363">
        <f t="shared" si="33"/>
        <v>128</v>
      </c>
      <c r="B289" s="365" t="s">
        <v>1150</v>
      </c>
      <c r="C289" s="314">
        <v>7.3</v>
      </c>
      <c r="D289" s="365" t="s">
        <v>769</v>
      </c>
      <c r="H289" s="296" t="s">
        <v>2232</v>
      </c>
      <c r="K289" s="274">
        <f>(K288+C24)</f>
        <v>8404.7800000000007</v>
      </c>
      <c r="O289" s="296" t="s">
        <v>441</v>
      </c>
      <c r="R289" s="252">
        <f>SUM(R284:R287)</f>
        <v>14590.2</v>
      </c>
      <c r="W289" s="253"/>
      <c r="AG289" s="296"/>
    </row>
    <row r="290" spans="1:33" ht="24" customHeight="1">
      <c r="A290" s="363">
        <f t="shared" si="33"/>
        <v>129</v>
      </c>
      <c r="B290" s="365" t="s">
        <v>1151</v>
      </c>
      <c r="C290" s="372">
        <v>2.9</v>
      </c>
      <c r="D290" s="365" t="s">
        <v>1152</v>
      </c>
      <c r="H290" s="296" t="s">
        <v>380</v>
      </c>
      <c r="K290" s="274">
        <f>(K289+C24)</f>
        <v>8640.8799999999992</v>
      </c>
      <c r="R290" s="358" t="s">
        <v>1586</v>
      </c>
      <c r="W290" s="253"/>
      <c r="AG290" s="296"/>
    </row>
    <row r="291" spans="1:33" ht="24" customHeight="1">
      <c r="A291" s="363">
        <f t="shared" si="33"/>
        <v>130</v>
      </c>
      <c r="B291" s="365" t="s">
        <v>1153</v>
      </c>
      <c r="C291" s="314">
        <v>11.8</v>
      </c>
      <c r="D291" s="365" t="s">
        <v>1152</v>
      </c>
      <c r="H291" s="296" t="s">
        <v>488</v>
      </c>
      <c r="K291" s="274">
        <f>(K290+C24)</f>
        <v>8876.98</v>
      </c>
      <c r="O291" s="296" t="s">
        <v>552</v>
      </c>
      <c r="R291" s="252">
        <f>(R289/10)</f>
        <v>1459.02</v>
      </c>
      <c r="W291" s="253"/>
      <c r="AG291" s="296"/>
    </row>
    <row r="292" spans="1:33" ht="24" customHeight="1">
      <c r="A292" s="363">
        <f t="shared" si="33"/>
        <v>131</v>
      </c>
      <c r="B292" s="365" t="s">
        <v>489</v>
      </c>
      <c r="C292" s="314">
        <v>8.9</v>
      </c>
      <c r="D292" s="365" t="s">
        <v>769</v>
      </c>
      <c r="R292" s="358" t="s">
        <v>2055</v>
      </c>
      <c r="W292" s="253"/>
      <c r="AG292" s="296"/>
    </row>
    <row r="293" spans="1:33" ht="24" customHeight="1">
      <c r="A293" s="363">
        <f t="shared" si="33"/>
        <v>132</v>
      </c>
      <c r="B293" s="365" t="s">
        <v>490</v>
      </c>
      <c r="C293" s="314">
        <v>6.1</v>
      </c>
      <c r="D293" s="365" t="s">
        <v>769</v>
      </c>
      <c r="F293" s="253" t="s">
        <v>1512</v>
      </c>
      <c r="G293" s="252" t="s">
        <v>2251</v>
      </c>
      <c r="H293" s="296" t="s">
        <v>491</v>
      </c>
      <c r="W293" s="253"/>
      <c r="AG293" s="296"/>
    </row>
    <row r="294" spans="1:33" ht="24" customHeight="1">
      <c r="A294" s="363">
        <f t="shared" si="33"/>
        <v>133</v>
      </c>
      <c r="B294" s="365" t="s">
        <v>492</v>
      </c>
      <c r="C294" s="372">
        <v>5.75</v>
      </c>
      <c r="D294" s="365" t="s">
        <v>769</v>
      </c>
      <c r="H294" s="358" t="s">
        <v>2055</v>
      </c>
      <c r="N294" s="296" t="s">
        <v>2251</v>
      </c>
      <c r="O294" s="296" t="s">
        <v>1125</v>
      </c>
      <c r="W294" s="253"/>
      <c r="AG294" s="296"/>
    </row>
    <row r="295" spans="1:33" ht="24" customHeight="1">
      <c r="A295" s="363">
        <f t="shared" si="33"/>
        <v>134</v>
      </c>
      <c r="B295" s="365" t="s">
        <v>1126</v>
      </c>
      <c r="C295" s="372">
        <v>8.5</v>
      </c>
      <c r="D295" s="365" t="s">
        <v>769</v>
      </c>
      <c r="F295" s="252">
        <v>10</v>
      </c>
      <c r="G295" s="252" t="s">
        <v>869</v>
      </c>
      <c r="H295" s="296" t="s">
        <v>865</v>
      </c>
      <c r="I295" s="252">
        <f>(C68)</f>
        <v>645.58000000000004</v>
      </c>
      <c r="J295" s="296" t="s">
        <v>869</v>
      </c>
      <c r="K295" s="252">
        <f t="shared" ref="K295:K301" si="34">(F295*I295)</f>
        <v>6455.8</v>
      </c>
      <c r="O295" s="358" t="s">
        <v>1586</v>
      </c>
      <c r="W295" s="253"/>
      <c r="AG295" s="296"/>
    </row>
    <row r="296" spans="1:33" ht="24" customHeight="1">
      <c r="A296" s="363">
        <f t="shared" si="33"/>
        <v>135</v>
      </c>
      <c r="B296" s="365" t="s">
        <v>1260</v>
      </c>
      <c r="C296" s="372">
        <v>10</v>
      </c>
      <c r="D296" s="365" t="s">
        <v>769</v>
      </c>
      <c r="F296" s="252">
        <v>1</v>
      </c>
      <c r="G296" s="252" t="s">
        <v>869</v>
      </c>
      <c r="H296" s="296" t="s">
        <v>872</v>
      </c>
      <c r="I296" s="252">
        <f>(C69)</f>
        <v>844.58</v>
      </c>
      <c r="J296" s="296" t="s">
        <v>869</v>
      </c>
      <c r="K296" s="252">
        <f t="shared" si="34"/>
        <v>844.58</v>
      </c>
      <c r="M296" s="252">
        <v>0.14000000000000001</v>
      </c>
      <c r="N296" s="296" t="s">
        <v>869</v>
      </c>
      <c r="O296" s="296" t="s">
        <v>1353</v>
      </c>
      <c r="P296" s="252">
        <f>(K32)</f>
        <v>4479.66</v>
      </c>
      <c r="Q296" s="296" t="s">
        <v>869</v>
      </c>
      <c r="R296" s="252">
        <f>(M296*P296)</f>
        <v>627.15</v>
      </c>
      <c r="W296" s="253"/>
      <c r="AG296" s="296"/>
    </row>
    <row r="297" spans="1:33" ht="24" customHeight="1">
      <c r="A297" s="363">
        <f t="shared" si="33"/>
        <v>136</v>
      </c>
      <c r="B297" s="365" t="s">
        <v>1261</v>
      </c>
      <c r="C297" s="314">
        <v>7</v>
      </c>
      <c r="D297" s="365" t="s">
        <v>769</v>
      </c>
      <c r="F297" s="252">
        <v>3.4</v>
      </c>
      <c r="G297" s="252" t="s">
        <v>869</v>
      </c>
      <c r="H297" s="296" t="s">
        <v>1625</v>
      </c>
      <c r="I297" s="252">
        <f>(K49)</f>
        <v>3319.98</v>
      </c>
      <c r="J297" s="296" t="s">
        <v>869</v>
      </c>
      <c r="K297" s="252">
        <f t="shared" si="34"/>
        <v>11287.93</v>
      </c>
      <c r="M297" s="252">
        <v>1.1000000000000001</v>
      </c>
      <c r="N297" s="296" t="s">
        <v>868</v>
      </c>
      <c r="O297" s="296" t="s">
        <v>2009</v>
      </c>
      <c r="P297" s="252">
        <f>(C10)</f>
        <v>999</v>
      </c>
      <c r="Q297" s="296" t="s">
        <v>868</v>
      </c>
      <c r="R297" s="252">
        <f>(M297*P297)</f>
        <v>1098.9000000000001</v>
      </c>
      <c r="W297" s="253"/>
      <c r="AG297" s="296"/>
    </row>
    <row r="298" spans="1:33" ht="24" customHeight="1">
      <c r="A298" s="363">
        <f t="shared" si="33"/>
        <v>137</v>
      </c>
      <c r="B298" s="365" t="s">
        <v>1262</v>
      </c>
      <c r="C298" s="372">
        <v>2.2000000000000002</v>
      </c>
      <c r="D298" s="365" t="s">
        <v>769</v>
      </c>
      <c r="F298" s="252">
        <v>7.1</v>
      </c>
      <c r="G298" s="252" t="s">
        <v>868</v>
      </c>
      <c r="H298" s="296" t="s">
        <v>2009</v>
      </c>
      <c r="I298" s="252">
        <f>(C10)</f>
        <v>999</v>
      </c>
      <c r="J298" s="296" t="s">
        <v>868</v>
      </c>
      <c r="K298" s="252">
        <f t="shared" si="34"/>
        <v>7092.9</v>
      </c>
      <c r="M298" s="252">
        <v>0.5</v>
      </c>
      <c r="N298" s="296" t="s">
        <v>868</v>
      </c>
      <c r="O298" s="296" t="s">
        <v>1902</v>
      </c>
      <c r="P298" s="252">
        <f>(C12)</f>
        <v>651</v>
      </c>
      <c r="Q298" s="296" t="s">
        <v>868</v>
      </c>
      <c r="R298" s="252">
        <f>(M298*P298)</f>
        <v>325.5</v>
      </c>
      <c r="W298" s="253"/>
      <c r="AG298" s="296"/>
    </row>
    <row r="299" spans="1:33" ht="24" customHeight="1">
      <c r="A299" s="363">
        <f t="shared" si="33"/>
        <v>138</v>
      </c>
      <c r="B299" s="365" t="s">
        <v>1449</v>
      </c>
      <c r="C299" s="372">
        <v>10.5</v>
      </c>
      <c r="D299" s="365" t="s">
        <v>769</v>
      </c>
      <c r="F299" s="252">
        <v>10.6</v>
      </c>
      <c r="G299" s="252" t="s">
        <v>868</v>
      </c>
      <c r="H299" s="296" t="s">
        <v>1712</v>
      </c>
      <c r="I299" s="252">
        <f>(C11)</f>
        <v>932</v>
      </c>
      <c r="J299" s="296" t="s">
        <v>868</v>
      </c>
      <c r="K299" s="252">
        <f t="shared" si="34"/>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3"/>
        <v>139</v>
      </c>
      <c r="B300" s="365" t="s">
        <v>1450</v>
      </c>
      <c r="C300" s="372">
        <v>5.5</v>
      </c>
      <c r="D300" s="365" t="s">
        <v>769</v>
      </c>
      <c r="F300" s="252">
        <v>14.1</v>
      </c>
      <c r="G300" s="252" t="s">
        <v>868</v>
      </c>
      <c r="H300" s="296" t="s">
        <v>1902</v>
      </c>
      <c r="I300" s="252">
        <f>(C12)</f>
        <v>651</v>
      </c>
      <c r="J300" s="296" t="s">
        <v>868</v>
      </c>
      <c r="K300" s="252">
        <f t="shared" si="34"/>
        <v>9179.1</v>
      </c>
      <c r="N300" s="296" t="s">
        <v>449</v>
      </c>
      <c r="O300" s="296" t="s">
        <v>450</v>
      </c>
      <c r="P300" s="296" t="s">
        <v>975</v>
      </c>
      <c r="Q300" s="296" t="s">
        <v>449</v>
      </c>
      <c r="R300" s="252">
        <v>0</v>
      </c>
      <c r="W300" s="253"/>
      <c r="AG300" s="296"/>
    </row>
    <row r="301" spans="1:33" ht="24" customHeight="1">
      <c r="A301" s="363">
        <f t="shared" si="33"/>
        <v>140</v>
      </c>
      <c r="B301" s="365" t="s">
        <v>494</v>
      </c>
      <c r="C301" s="372">
        <v>21</v>
      </c>
      <c r="D301" s="365" t="s">
        <v>769</v>
      </c>
      <c r="F301" s="252">
        <v>14.1</v>
      </c>
      <c r="G301" s="252" t="s">
        <v>868</v>
      </c>
      <c r="H301" s="296" t="s">
        <v>320</v>
      </c>
      <c r="I301" s="252">
        <f>(C13)</f>
        <v>534</v>
      </c>
      <c r="J301" s="296" t="s">
        <v>868</v>
      </c>
      <c r="K301" s="252">
        <f t="shared" si="34"/>
        <v>7529.4</v>
      </c>
      <c r="R301" s="358" t="s">
        <v>1586</v>
      </c>
      <c r="W301" s="253"/>
      <c r="AG301" s="296"/>
    </row>
    <row r="302" spans="1:33" ht="24" customHeight="1">
      <c r="A302" s="363">
        <f t="shared" si="33"/>
        <v>141</v>
      </c>
      <c r="B302" s="365" t="s">
        <v>495</v>
      </c>
      <c r="C302" s="372">
        <v>10</v>
      </c>
      <c r="D302" s="365" t="s">
        <v>769</v>
      </c>
      <c r="G302" s="252" t="s">
        <v>449</v>
      </c>
      <c r="H302" s="296" t="s">
        <v>450</v>
      </c>
      <c r="J302" s="296" t="s">
        <v>449</v>
      </c>
      <c r="K302" s="252">
        <v>0</v>
      </c>
      <c r="O302" s="296" t="s">
        <v>975</v>
      </c>
      <c r="R302" s="252">
        <f>SUM(R296:R300)</f>
        <v>2638.95</v>
      </c>
      <c r="W302" s="253"/>
      <c r="AG302" s="296"/>
    </row>
    <row r="303" spans="1:33" ht="24" customHeight="1">
      <c r="A303" s="363">
        <f t="shared" si="33"/>
        <v>142</v>
      </c>
      <c r="B303" s="365" t="s">
        <v>1805</v>
      </c>
      <c r="C303" s="372">
        <v>4</v>
      </c>
      <c r="D303" s="365" t="s">
        <v>769</v>
      </c>
      <c r="K303" s="358" t="s">
        <v>1586</v>
      </c>
      <c r="R303" s="358" t="s">
        <v>1586</v>
      </c>
      <c r="W303" s="253"/>
      <c r="AG303" s="296"/>
    </row>
    <row r="304" spans="1:33" ht="24" customHeight="1">
      <c r="A304" s="363">
        <f t="shared" si="33"/>
        <v>143</v>
      </c>
      <c r="B304" s="365" t="s">
        <v>1150</v>
      </c>
      <c r="C304" s="372">
        <v>8</v>
      </c>
      <c r="D304" s="365" t="s">
        <v>868</v>
      </c>
      <c r="H304" s="296" t="s">
        <v>614</v>
      </c>
      <c r="K304" s="252">
        <f>SUM(K295:K302)</f>
        <v>52268.91</v>
      </c>
      <c r="O304" s="296" t="s">
        <v>552</v>
      </c>
      <c r="R304" s="252">
        <f>(R302/10)</f>
        <v>263.89999999999998</v>
      </c>
      <c r="W304" s="253"/>
      <c r="AG304" s="296"/>
    </row>
    <row r="305" spans="1:33" ht="24" customHeight="1">
      <c r="A305" s="363">
        <f t="shared" si="33"/>
        <v>144</v>
      </c>
      <c r="B305" s="365" t="s">
        <v>1151</v>
      </c>
      <c r="C305" s="372">
        <v>8.5</v>
      </c>
      <c r="D305" s="365" t="s">
        <v>769</v>
      </c>
      <c r="K305" s="358" t="s">
        <v>1586</v>
      </c>
      <c r="N305" s="296" t="s">
        <v>2251</v>
      </c>
      <c r="O305" s="296" t="s">
        <v>496</v>
      </c>
      <c r="R305" s="358" t="s">
        <v>2055</v>
      </c>
      <c r="W305" s="253"/>
      <c r="AG305" s="296"/>
    </row>
    <row r="306" spans="1:33" ht="24" customHeight="1">
      <c r="A306" s="363">
        <f t="shared" si="33"/>
        <v>145</v>
      </c>
      <c r="B306" s="365" t="s">
        <v>604</v>
      </c>
      <c r="C306" s="372">
        <v>2.8</v>
      </c>
      <c r="D306" s="365" t="s">
        <v>769</v>
      </c>
      <c r="H306" s="255" t="s">
        <v>773</v>
      </c>
      <c r="K306" s="274">
        <f>(K304/10)</f>
        <v>5226.8900000000003</v>
      </c>
      <c r="O306" s="358" t="s">
        <v>1586</v>
      </c>
      <c r="W306" s="253"/>
      <c r="AG306" s="296"/>
    </row>
    <row r="307" spans="1:33" ht="24" customHeight="1">
      <c r="A307" s="363">
        <f t="shared" si="33"/>
        <v>146</v>
      </c>
      <c r="B307" s="365" t="s">
        <v>1984</v>
      </c>
      <c r="C307" s="372">
        <v>1.8</v>
      </c>
      <c r="D307" s="365" t="s">
        <v>769</v>
      </c>
      <c r="K307" s="358" t="s">
        <v>2055</v>
      </c>
      <c r="M307" s="252">
        <v>0.14000000000000001</v>
      </c>
      <c r="N307" s="296" t="s">
        <v>869</v>
      </c>
      <c r="O307" s="296" t="s">
        <v>119</v>
      </c>
      <c r="P307" s="252">
        <f>(K23)</f>
        <v>5929.26</v>
      </c>
      <c r="Q307" s="296" t="s">
        <v>869</v>
      </c>
      <c r="R307" s="252">
        <f>(M307*P307)</f>
        <v>830.1</v>
      </c>
      <c r="W307" s="253"/>
      <c r="AG307" s="296"/>
    </row>
    <row r="308" spans="1:33" ht="24" customHeight="1">
      <c r="A308" s="363">
        <f t="shared" si="33"/>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52" t="s">
        <v>2236</v>
      </c>
      <c r="W308" s="253"/>
      <c r="AB308" s="369">
        <v>6</v>
      </c>
      <c r="AC308" s="252" t="s">
        <v>2251</v>
      </c>
      <c r="AD308" s="296" t="s">
        <v>3508</v>
      </c>
      <c r="AF308" s="296"/>
    </row>
    <row r="309" spans="1:33" ht="24" customHeight="1">
      <c r="A309" s="363">
        <f t="shared" si="33"/>
        <v>148</v>
      </c>
      <c r="B309" s="365" t="s">
        <v>1986</v>
      </c>
      <c r="C309" s="403" t="s">
        <v>975</v>
      </c>
      <c r="D309" s="404"/>
      <c r="H309" s="296" t="s">
        <v>2905</v>
      </c>
      <c r="M309" s="252">
        <v>0.5</v>
      </c>
      <c r="N309" s="296" t="s">
        <v>868</v>
      </c>
      <c r="O309" s="296" t="s">
        <v>1902</v>
      </c>
      <c r="P309" s="252">
        <f>(C12)</f>
        <v>651</v>
      </c>
      <c r="Q309" s="296" t="s">
        <v>868</v>
      </c>
      <c r="R309" s="252">
        <f>(M309*P309)</f>
        <v>325.5</v>
      </c>
      <c r="U309" s="252" t="s">
        <v>427</v>
      </c>
      <c r="W309" s="253"/>
      <c r="AD309" s="296" t="s">
        <v>3509</v>
      </c>
      <c r="AF309" s="296"/>
    </row>
    <row r="310" spans="1:33" ht="24" customHeight="1">
      <c r="A310" s="363">
        <f t="shared" si="33"/>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52" t="s">
        <v>1586</v>
      </c>
      <c r="W310" s="253"/>
      <c r="AD310" s="358" t="s">
        <v>1586</v>
      </c>
      <c r="AF310" s="296"/>
    </row>
    <row r="311" spans="1:33" ht="24" customHeight="1">
      <c r="A311" s="363">
        <f t="shared" si="33"/>
        <v>150</v>
      </c>
      <c r="B311" s="365" t="s">
        <v>241</v>
      </c>
      <c r="C311" s="405">
        <v>83.5</v>
      </c>
      <c r="D311" s="406" t="s">
        <v>1771</v>
      </c>
      <c r="F311" s="252">
        <v>4800</v>
      </c>
      <c r="G311" s="252" t="s">
        <v>1425</v>
      </c>
      <c r="H311" s="252" t="str">
        <f>H309</f>
        <v>Bricks of size 22x11x7 cm</v>
      </c>
      <c r="I311" s="252">
        <f>C80</f>
        <v>5882.89</v>
      </c>
      <c r="J311" s="296" t="s">
        <v>1594</v>
      </c>
      <c r="K311" s="252">
        <f>(F311*I311)/1000</f>
        <v>28237.87</v>
      </c>
      <c r="N311" s="296" t="s">
        <v>449</v>
      </c>
      <c r="O311" s="296" t="s">
        <v>450</v>
      </c>
      <c r="P311" s="296" t="s">
        <v>975</v>
      </c>
      <c r="Q311" s="296" t="s">
        <v>449</v>
      </c>
      <c r="R311" s="252">
        <v>0</v>
      </c>
      <c r="S311" s="356">
        <v>4600</v>
      </c>
      <c r="T311" s="252" t="s">
        <v>1425</v>
      </c>
      <c r="U311" s="252"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3"/>
        <v>151</v>
      </c>
      <c r="B312" s="365" t="s">
        <v>242</v>
      </c>
      <c r="C312" s="405">
        <v>102.12</v>
      </c>
      <c r="D312" s="406" t="s">
        <v>1771</v>
      </c>
      <c r="F312" s="252">
        <v>2.5</v>
      </c>
      <c r="G312" s="252" t="s">
        <v>869</v>
      </c>
      <c r="H312" s="296" t="s">
        <v>1625</v>
      </c>
      <c r="I312" s="252">
        <f>K49</f>
        <v>3319.98</v>
      </c>
      <c r="J312" s="296" t="s">
        <v>869</v>
      </c>
      <c r="K312" s="252">
        <f>(F312*I312)</f>
        <v>8299.9500000000007</v>
      </c>
      <c r="R312" s="358" t="s">
        <v>1586</v>
      </c>
      <c r="S312" s="356">
        <v>2.5</v>
      </c>
      <c r="T312" s="252" t="s">
        <v>869</v>
      </c>
      <c r="U312" s="252" t="s">
        <v>1625</v>
      </c>
      <c r="V312" s="407">
        <f>K49</f>
        <v>3319.98</v>
      </c>
      <c r="W312" s="253" t="s">
        <v>869</v>
      </c>
      <c r="X312" s="252">
        <f>V312*S312</f>
        <v>8299.9500000000007</v>
      </c>
      <c r="AB312" s="252">
        <v>2</v>
      </c>
      <c r="AC312" s="252" t="s">
        <v>869</v>
      </c>
      <c r="AD312" s="296" t="s">
        <v>1625</v>
      </c>
      <c r="AE312" s="252">
        <f>K49</f>
        <v>3319.98</v>
      </c>
      <c r="AF312" s="296" t="s">
        <v>869</v>
      </c>
      <c r="AG312" s="252">
        <f>(AB312*AE312)</f>
        <v>6639.96</v>
      </c>
    </row>
    <row r="313" spans="1:33" ht="24" customHeight="1">
      <c r="A313" s="363">
        <f t="shared" si="33"/>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2841.9</v>
      </c>
      <c r="S313" s="356">
        <v>3.5</v>
      </c>
      <c r="T313" s="252" t="s">
        <v>868</v>
      </c>
      <c r="U313" s="252"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3"/>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52"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3"/>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284.19</v>
      </c>
      <c r="S315" s="356">
        <v>7.1</v>
      </c>
      <c r="T315" s="252" t="s">
        <v>868</v>
      </c>
      <c r="U315" s="252"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3"/>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52"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3"/>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C317" s="252" t="s">
        <v>449</v>
      </c>
      <c r="AD317" s="296" t="s">
        <v>450</v>
      </c>
      <c r="AF317" s="296" t="s">
        <v>449</v>
      </c>
      <c r="AG317" s="252">
        <v>0</v>
      </c>
    </row>
    <row r="318" spans="1:33" ht="24" customHeight="1">
      <c r="A318" s="363">
        <f t="shared" si="33"/>
        <v>157</v>
      </c>
      <c r="B318" s="365" t="s">
        <v>2222</v>
      </c>
      <c r="C318" s="405">
        <v>99.75</v>
      </c>
      <c r="D318" s="406" t="s">
        <v>769</v>
      </c>
      <c r="K318" s="358" t="s">
        <v>1586</v>
      </c>
      <c r="O318" s="358" t="s">
        <v>1586</v>
      </c>
      <c r="W318" s="253"/>
      <c r="X318" s="252" t="s">
        <v>1586</v>
      </c>
      <c r="AF318" s="296"/>
      <c r="AG318" s="358" t="s">
        <v>1586</v>
      </c>
    </row>
    <row r="319" spans="1:33" ht="24" customHeight="1">
      <c r="A319" s="363">
        <f t="shared" si="33"/>
        <v>158</v>
      </c>
      <c r="B319" s="365" t="s">
        <v>2186</v>
      </c>
      <c r="C319" s="405"/>
      <c r="D319" s="283"/>
      <c r="H319" s="296" t="s">
        <v>614</v>
      </c>
      <c r="K319" s="252">
        <f>SUM(K311:K317)</f>
        <v>65861.42</v>
      </c>
      <c r="M319" s="252">
        <v>0.1</v>
      </c>
      <c r="N319" s="296" t="s">
        <v>869</v>
      </c>
      <c r="O319" s="296" t="s">
        <v>119</v>
      </c>
      <c r="P319" s="252">
        <f>(K23)</f>
        <v>5929.26</v>
      </c>
      <c r="Q319" s="296" t="s">
        <v>869</v>
      </c>
      <c r="R319" s="252">
        <f>(M319*P319)</f>
        <v>592.92999999999995</v>
      </c>
      <c r="U319" s="252" t="s">
        <v>614</v>
      </c>
      <c r="W319" s="253"/>
      <c r="X319" s="252">
        <f>SUM(X311:X318)</f>
        <v>67955.55</v>
      </c>
      <c r="AD319" s="296" t="s">
        <v>614</v>
      </c>
      <c r="AF319" s="296"/>
      <c r="AG319" s="252">
        <f>SUM(AG311:AG317)</f>
        <v>64769.36</v>
      </c>
    </row>
    <row r="320" spans="1:33" ht="24" customHeight="1">
      <c r="A320" s="363">
        <f t="shared" si="33"/>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3"/>
        <v>160</v>
      </c>
      <c r="B321" s="365" t="s">
        <v>241</v>
      </c>
      <c r="C321" s="405">
        <v>50.34</v>
      </c>
      <c r="D321" s="406" t="s">
        <v>769</v>
      </c>
      <c r="H321" s="255" t="s">
        <v>773</v>
      </c>
      <c r="K321" s="274">
        <f>(K319/10)</f>
        <v>6586.14</v>
      </c>
      <c r="M321" s="252">
        <v>1.1000000000000001</v>
      </c>
      <c r="N321" s="296" t="s">
        <v>868</v>
      </c>
      <c r="O321" s="296" t="s">
        <v>1902</v>
      </c>
      <c r="P321" s="252">
        <f>(C12)</f>
        <v>651</v>
      </c>
      <c r="Q321" s="296" t="s">
        <v>868</v>
      </c>
      <c r="R321" s="252">
        <f>(M321*P321)</f>
        <v>716.1</v>
      </c>
      <c r="U321" s="252" t="s">
        <v>773</v>
      </c>
      <c r="W321" s="253"/>
      <c r="X321" s="274">
        <f>X319/10</f>
        <v>6795.56</v>
      </c>
      <c r="AD321" s="255" t="s">
        <v>773</v>
      </c>
      <c r="AF321" s="296"/>
      <c r="AG321" s="274">
        <f>(AG319/10)</f>
        <v>6476.94</v>
      </c>
    </row>
    <row r="322" spans="1:34" ht="24" customHeight="1">
      <c r="A322" s="363">
        <f t="shared" si="33"/>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3"/>
        <v>162</v>
      </c>
      <c r="B323" s="365" t="s">
        <v>2222</v>
      </c>
      <c r="C323" s="405">
        <v>145.29</v>
      </c>
      <c r="D323" s="406" t="s">
        <v>769</v>
      </c>
      <c r="H323" s="296" t="s">
        <v>386</v>
      </c>
      <c r="K323" s="252">
        <f>(K321+C19)</f>
        <v>6665.04</v>
      </c>
      <c r="L323" s="252">
        <f>K323-K321</f>
        <v>78.900000000000006</v>
      </c>
      <c r="N323" s="296" t="s">
        <v>449</v>
      </c>
      <c r="O323" s="296" t="s">
        <v>450</v>
      </c>
      <c r="P323" s="296" t="s">
        <v>975</v>
      </c>
      <c r="Q323" s="296" t="s">
        <v>449</v>
      </c>
      <c r="R323" s="252">
        <v>0</v>
      </c>
      <c r="U323" s="252" t="s">
        <v>386</v>
      </c>
      <c r="W323" s="253"/>
      <c r="X323" s="252">
        <f>X321+C19</f>
        <v>6874.46</v>
      </c>
      <c r="Y323" s="252">
        <f>X323-X321</f>
        <v>78.900000000000006</v>
      </c>
      <c r="AD323" s="296" t="s">
        <v>386</v>
      </c>
      <c r="AF323" s="296"/>
      <c r="AG323" s="252">
        <f>AG321+C19</f>
        <v>6555.84</v>
      </c>
      <c r="AH323" s="252">
        <f>AG323-AG321</f>
        <v>78.900000000000006</v>
      </c>
    </row>
    <row r="324" spans="1:34" ht="24" customHeight="1">
      <c r="A324" s="363">
        <f t="shared" si="33"/>
        <v>163</v>
      </c>
      <c r="B324" s="365" t="s">
        <v>2187</v>
      </c>
      <c r="C324" s="405"/>
      <c r="D324" s="283"/>
      <c r="H324" s="296" t="s">
        <v>388</v>
      </c>
      <c r="K324" s="252">
        <f>(K323+C20)</f>
        <v>6824.24</v>
      </c>
      <c r="L324" s="252">
        <f>K324-K323</f>
        <v>159.19999999999999</v>
      </c>
      <c r="R324" s="358" t="s">
        <v>1586</v>
      </c>
      <c r="U324" s="252" t="s">
        <v>388</v>
      </c>
      <c r="W324" s="253"/>
      <c r="X324" s="252">
        <f>X323+C20</f>
        <v>7033.66</v>
      </c>
      <c r="Y324" s="252">
        <f>X324-X323</f>
        <v>159.19999999999999</v>
      </c>
      <c r="AD324" s="296" t="s">
        <v>388</v>
      </c>
      <c r="AF324" s="296"/>
      <c r="AG324" s="252">
        <f>AG323+C20</f>
        <v>6715.04</v>
      </c>
      <c r="AH324" s="252">
        <f>AG324-AG323</f>
        <v>159.19999999999999</v>
      </c>
    </row>
    <row r="325" spans="1:34" ht="24" customHeight="1">
      <c r="A325" s="363">
        <f t="shared" si="33"/>
        <v>164</v>
      </c>
      <c r="B325" s="365" t="s">
        <v>240</v>
      </c>
      <c r="C325" s="405">
        <v>14.91</v>
      </c>
      <c r="D325" s="406" t="s">
        <v>1771</v>
      </c>
      <c r="H325" s="296" t="s">
        <v>2232</v>
      </c>
      <c r="K325" s="252">
        <f>(K324+C21)</f>
        <v>6983.44</v>
      </c>
      <c r="M325" s="252">
        <f>(K325+K324)/2</f>
        <v>6903.84</v>
      </c>
      <c r="O325" s="296" t="s">
        <v>441</v>
      </c>
      <c r="R325" s="252">
        <f>SUM(R319:R323)</f>
        <v>2995.33</v>
      </c>
      <c r="U325" s="252" t="s">
        <v>2232</v>
      </c>
      <c r="W325" s="253"/>
      <c r="X325" s="252">
        <f>X324+C20</f>
        <v>7192.86</v>
      </c>
      <c r="AD325" s="296" t="s">
        <v>2232</v>
      </c>
      <c r="AF325" s="296"/>
      <c r="AG325" s="252">
        <f>AG324+C20</f>
        <v>6874.24</v>
      </c>
      <c r="AH325" s="252">
        <f>AG324-AG323</f>
        <v>159.19999999999999</v>
      </c>
    </row>
    <row r="326" spans="1:34" ht="24" customHeight="1">
      <c r="A326" s="363">
        <f t="shared" si="33"/>
        <v>165</v>
      </c>
      <c r="B326" s="365" t="s">
        <v>241</v>
      </c>
      <c r="C326" s="405">
        <v>19.41</v>
      </c>
      <c r="D326" s="406" t="s">
        <v>1771</v>
      </c>
      <c r="H326" s="296" t="s">
        <v>380</v>
      </c>
      <c r="K326" s="252">
        <f>(K325+C21)</f>
        <v>7142.64</v>
      </c>
      <c r="R326" s="358" t="s">
        <v>1586</v>
      </c>
      <c r="U326" s="252" t="s">
        <v>380</v>
      </c>
      <c r="W326" s="253"/>
      <c r="X326" s="252">
        <f>X325+C20</f>
        <v>7352.06</v>
      </c>
      <c r="AD326" s="296" t="s">
        <v>380</v>
      </c>
      <c r="AF326" s="296"/>
      <c r="AG326" s="252">
        <f>AG325+C20</f>
        <v>7033.44</v>
      </c>
    </row>
    <row r="327" spans="1:34" ht="24" customHeight="1">
      <c r="A327" s="363">
        <f t="shared" si="33"/>
        <v>166</v>
      </c>
      <c r="B327" s="365" t="s">
        <v>242</v>
      </c>
      <c r="C327" s="405">
        <v>22.22</v>
      </c>
      <c r="D327" s="406" t="s">
        <v>1771</v>
      </c>
      <c r="H327" s="296" t="s">
        <v>488</v>
      </c>
      <c r="K327" s="252">
        <f>(K326+C21)</f>
        <v>7301.84</v>
      </c>
      <c r="O327" s="296" t="s">
        <v>552</v>
      </c>
      <c r="R327" s="252">
        <f>(R325/10)</f>
        <v>299.52999999999997</v>
      </c>
      <c r="U327" s="252" t="s">
        <v>488</v>
      </c>
      <c r="W327" s="253"/>
      <c r="X327" s="252">
        <f>X326+C20</f>
        <v>7511.26</v>
      </c>
      <c r="AD327" s="296" t="s">
        <v>488</v>
      </c>
      <c r="AF327" s="296"/>
      <c r="AG327" s="252">
        <f>AG326+C20</f>
        <v>7192.64</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6107</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B332" s="369">
        <v>9</v>
      </c>
      <c r="AC332" s="252" t="s">
        <v>2251</v>
      </c>
      <c r="AD332" s="296" t="s">
        <v>3510</v>
      </c>
      <c r="AF332" s="296"/>
    </row>
    <row r="333" spans="1:34" ht="24" customHeight="1">
      <c r="A333" s="363">
        <f t="shared" si="33"/>
        <v>168</v>
      </c>
      <c r="B333" s="365" t="s">
        <v>2188</v>
      </c>
      <c r="C333" s="405"/>
      <c r="D333" s="283"/>
      <c r="H333" s="296" t="str">
        <f>H309</f>
        <v>Bricks of size 22x11x7 cm</v>
      </c>
      <c r="U333" s="252" t="s">
        <v>427</v>
      </c>
      <c r="W333" s="253"/>
      <c r="AD333" s="296" t="str">
        <f>AD309</f>
        <v>Bricks of size 23x11.4x7.5 cm</v>
      </c>
      <c r="AF333" s="296"/>
    </row>
    <row r="334" spans="1:34" ht="24" customHeight="1">
      <c r="A334" s="363">
        <f t="shared" si="33"/>
        <v>169</v>
      </c>
      <c r="B334" s="365" t="s">
        <v>240</v>
      </c>
      <c r="C334" s="405">
        <v>8.58</v>
      </c>
      <c r="D334" s="406" t="s">
        <v>769</v>
      </c>
      <c r="H334" s="358" t="s">
        <v>1586</v>
      </c>
      <c r="N334" s="296" t="s">
        <v>2251</v>
      </c>
      <c r="O334" s="296" t="s">
        <v>2189</v>
      </c>
      <c r="U334" s="252" t="s">
        <v>1586</v>
      </c>
      <c r="W334" s="253"/>
      <c r="AD334" s="358" t="s">
        <v>1586</v>
      </c>
      <c r="AF334" s="296"/>
    </row>
    <row r="335" spans="1:34" ht="24" customHeight="1">
      <c r="A335" s="363">
        <f t="shared" si="33"/>
        <v>170</v>
      </c>
      <c r="B335" s="365" t="s">
        <v>241</v>
      </c>
      <c r="C335" s="405">
        <v>12.26</v>
      </c>
      <c r="D335" s="406" t="s">
        <v>769</v>
      </c>
      <c r="F335" s="252">
        <f>F311</f>
        <v>4800</v>
      </c>
      <c r="G335" s="252" t="s">
        <v>1425</v>
      </c>
      <c r="H335" s="252" t="str">
        <f>H309</f>
        <v>Bricks of size 22x11x7 cm</v>
      </c>
      <c r="I335" s="252">
        <f>C80</f>
        <v>5882.89</v>
      </c>
      <c r="J335" s="296" t="s">
        <v>1594</v>
      </c>
      <c r="K335" s="252">
        <f>(F335*I335)/1000</f>
        <v>28237.87</v>
      </c>
      <c r="O335" s="358" t="s">
        <v>1586</v>
      </c>
      <c r="S335" s="356">
        <v>4600</v>
      </c>
      <c r="T335" s="252" t="s">
        <v>1425</v>
      </c>
      <c r="U335" s="252"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3"/>
        <v>171</v>
      </c>
      <c r="B336" s="365" t="s">
        <v>242</v>
      </c>
      <c r="C336" s="405">
        <v>13.89</v>
      </c>
      <c r="D336" s="406" t="s">
        <v>769</v>
      </c>
      <c r="F336" s="252">
        <f>F312</f>
        <v>2.5</v>
      </c>
      <c r="G336" s="252" t="s">
        <v>869</v>
      </c>
      <c r="H336" s="296" t="s">
        <v>1631</v>
      </c>
      <c r="I336" s="252">
        <f>K58</f>
        <v>3030.06</v>
      </c>
      <c r="J336" s="296" t="s">
        <v>869</v>
      </c>
      <c r="K336" s="252">
        <f>(F336*I336)</f>
        <v>7575.15</v>
      </c>
      <c r="M336" s="252">
        <v>0.22</v>
      </c>
      <c r="N336" s="296" t="s">
        <v>869</v>
      </c>
      <c r="O336" s="296" t="s">
        <v>1625</v>
      </c>
      <c r="P336" s="252">
        <f>(K49)</f>
        <v>3319.98</v>
      </c>
      <c r="Q336" s="296" t="s">
        <v>869</v>
      </c>
      <c r="R336" s="252">
        <f>(M336*P336)</f>
        <v>730.4</v>
      </c>
      <c r="S336" s="356">
        <v>2.5</v>
      </c>
      <c r="T336" s="252" t="s">
        <v>869</v>
      </c>
      <c r="U336" s="252" t="s">
        <v>1631</v>
      </c>
      <c r="V336" s="252">
        <f>I336</f>
        <v>3030.06</v>
      </c>
      <c r="W336" s="253" t="s">
        <v>869</v>
      </c>
      <c r="X336" s="252">
        <f t="shared" ref="X336:X341" si="35">V336*S336</f>
        <v>7575.15</v>
      </c>
      <c r="AB336" s="252">
        <f>AB312</f>
        <v>2</v>
      </c>
      <c r="AC336" s="252" t="s">
        <v>869</v>
      </c>
      <c r="AD336" s="296" t="s">
        <v>1631</v>
      </c>
      <c r="AE336" s="252">
        <f>V336</f>
        <v>3030.06</v>
      </c>
      <c r="AF336" s="296" t="s">
        <v>869</v>
      </c>
      <c r="AG336" s="252">
        <f>AE336*AB336</f>
        <v>6060.12</v>
      </c>
    </row>
    <row r="337" spans="1:33" ht="24" customHeight="1">
      <c r="A337" s="363">
        <f t="shared" si="33"/>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52" t="s">
        <v>2009</v>
      </c>
      <c r="V337" s="252">
        <f>I337</f>
        <v>999</v>
      </c>
      <c r="W337" s="253" t="s">
        <v>868</v>
      </c>
      <c r="X337" s="252">
        <f t="shared" si="35"/>
        <v>3496.5</v>
      </c>
      <c r="AB337" s="252">
        <v>3.5</v>
      </c>
      <c r="AC337" s="252" t="s">
        <v>868</v>
      </c>
      <c r="AD337" s="296" t="s">
        <v>2009</v>
      </c>
      <c r="AE337" s="252">
        <f>V337</f>
        <v>999</v>
      </c>
      <c r="AF337" s="296" t="s">
        <v>868</v>
      </c>
      <c r="AG337" s="252">
        <f>AE337*AB337</f>
        <v>3496.5</v>
      </c>
    </row>
    <row r="338" spans="1:33" ht="24" customHeight="1">
      <c r="A338" s="363">
        <f t="shared" si="33"/>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52" t="s">
        <v>1712</v>
      </c>
      <c r="V338" s="252">
        <f>I338</f>
        <v>932</v>
      </c>
      <c r="W338" s="253" t="s">
        <v>868</v>
      </c>
      <c r="X338" s="252">
        <f t="shared" si="35"/>
        <v>9879.2000000000007</v>
      </c>
      <c r="AB338" s="252">
        <v>10.6</v>
      </c>
      <c r="AC338" s="252" t="s">
        <v>868</v>
      </c>
      <c r="AD338" s="296" t="s">
        <v>1712</v>
      </c>
      <c r="AE338" s="252">
        <f>V338</f>
        <v>932</v>
      </c>
      <c r="AF338" s="296" t="s">
        <v>868</v>
      </c>
      <c r="AG338" s="252">
        <f>AE338*AB338</f>
        <v>9879.2000000000007</v>
      </c>
    </row>
    <row r="339" spans="1:33" ht="24" customHeight="1">
      <c r="A339" s="363">
        <f t="shared" si="33"/>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52" t="s">
        <v>1902</v>
      </c>
      <c r="V339" s="252">
        <f>I339</f>
        <v>651</v>
      </c>
      <c r="W339" s="253" t="s">
        <v>868</v>
      </c>
      <c r="X339" s="252">
        <f t="shared" si="35"/>
        <v>4622.1000000000004</v>
      </c>
      <c r="AB339" s="252">
        <v>7.1</v>
      </c>
      <c r="AC339" s="252" t="s">
        <v>868</v>
      </c>
      <c r="AD339" s="296" t="s">
        <v>1902</v>
      </c>
      <c r="AE339" s="252">
        <f>V339</f>
        <v>651</v>
      </c>
      <c r="AF339" s="296" t="s">
        <v>868</v>
      </c>
      <c r="AG339" s="252">
        <f>AE339*AB339</f>
        <v>4622.1000000000004</v>
      </c>
    </row>
    <row r="340" spans="1:33" ht="24" customHeight="1">
      <c r="A340" s="363">
        <f t="shared" si="33"/>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52" t="s">
        <v>320</v>
      </c>
      <c r="V340" s="252">
        <f>I340</f>
        <v>534</v>
      </c>
      <c r="W340" s="253" t="s">
        <v>868</v>
      </c>
      <c r="X340" s="252">
        <f t="shared" si="35"/>
        <v>11320.8</v>
      </c>
      <c r="AB340" s="252">
        <v>21.2</v>
      </c>
      <c r="AC340" s="252" t="s">
        <v>868</v>
      </c>
      <c r="AD340" s="296" t="s">
        <v>320</v>
      </c>
      <c r="AE340" s="252">
        <f>V340</f>
        <v>534</v>
      </c>
      <c r="AF340" s="296" t="s">
        <v>868</v>
      </c>
      <c r="AG340" s="252">
        <f>AE340*AB340</f>
        <v>11320.8</v>
      </c>
    </row>
    <row r="341" spans="1:33" ht="24" customHeight="1">
      <c r="A341" s="363">
        <f t="shared" si="33"/>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5"/>
        <v>0</v>
      </c>
      <c r="AC341" s="252" t="s">
        <v>449</v>
      </c>
      <c r="AD341" s="296" t="s">
        <v>450</v>
      </c>
      <c r="AF341" s="296" t="s">
        <v>449</v>
      </c>
      <c r="AG341" s="252">
        <v>0</v>
      </c>
    </row>
    <row r="342" spans="1:33" ht="24" customHeight="1">
      <c r="A342" s="363">
        <f t="shared" si="33"/>
        <v>177</v>
      </c>
      <c r="B342" s="365" t="s">
        <v>2222</v>
      </c>
      <c r="C342" s="405">
        <v>52.34</v>
      </c>
      <c r="D342" s="406" t="s">
        <v>769</v>
      </c>
      <c r="K342" s="358" t="s">
        <v>1586</v>
      </c>
      <c r="O342" s="296" t="s">
        <v>441</v>
      </c>
      <c r="R342" s="252">
        <f>SUM(R336:R340)</f>
        <v>4962.5</v>
      </c>
      <c r="W342" s="253"/>
      <c r="X342" s="358" t="s">
        <v>1586</v>
      </c>
      <c r="AF342" s="296"/>
      <c r="AG342" s="358" t="s">
        <v>1586</v>
      </c>
    </row>
    <row r="343" spans="1:33" ht="24" customHeight="1">
      <c r="A343" s="363">
        <f t="shared" si="33"/>
        <v>178</v>
      </c>
      <c r="B343" s="365" t="s">
        <v>1039</v>
      </c>
      <c r="C343" s="405"/>
      <c r="D343" s="283"/>
      <c r="H343" s="296" t="s">
        <v>614</v>
      </c>
      <c r="K343" s="252">
        <f>SUM(K335:K341)</f>
        <v>65131.62</v>
      </c>
      <c r="R343" s="358" t="s">
        <v>1586</v>
      </c>
      <c r="U343" s="252" t="s">
        <v>614</v>
      </c>
      <c r="W343" s="253"/>
      <c r="X343" s="252">
        <f>SUM(X335:X342)</f>
        <v>67230.75</v>
      </c>
      <c r="AD343" s="296" t="s">
        <v>614</v>
      </c>
      <c r="AF343" s="296"/>
      <c r="AG343" s="252">
        <f>SUM(AG335:AG341)</f>
        <v>64189.52</v>
      </c>
    </row>
    <row r="344" spans="1:33" ht="24" customHeight="1">
      <c r="A344" s="363">
        <f t="shared" si="33"/>
        <v>179</v>
      </c>
      <c r="B344" s="365" t="s">
        <v>240</v>
      </c>
      <c r="C344" s="405">
        <v>13.73</v>
      </c>
      <c r="D344" s="406" t="s">
        <v>769</v>
      </c>
      <c r="K344" s="358" t="s">
        <v>1586</v>
      </c>
      <c r="O344" s="296" t="s">
        <v>552</v>
      </c>
      <c r="R344" s="252">
        <f>(R342/10)</f>
        <v>496.25</v>
      </c>
      <c r="W344" s="253"/>
      <c r="X344" s="358" t="s">
        <v>1586</v>
      </c>
      <c r="AF344" s="296"/>
      <c r="AG344" s="358" t="s">
        <v>1586</v>
      </c>
    </row>
    <row r="345" spans="1:33" ht="24" customHeight="1">
      <c r="A345" s="363">
        <f t="shared" si="33"/>
        <v>180</v>
      </c>
      <c r="B345" s="365" t="s">
        <v>241</v>
      </c>
      <c r="C345" s="405">
        <v>20.16</v>
      </c>
      <c r="D345" s="406" t="s">
        <v>769</v>
      </c>
      <c r="H345" s="253" t="s">
        <v>773</v>
      </c>
      <c r="K345" s="252">
        <f>(K343/10)</f>
        <v>6513.16</v>
      </c>
      <c r="R345" s="358" t="s">
        <v>2055</v>
      </c>
      <c r="U345" s="252" t="s">
        <v>773</v>
      </c>
      <c r="W345" s="253"/>
      <c r="X345" s="252">
        <f>X343/10</f>
        <v>6723.08</v>
      </c>
      <c r="AD345" s="253" t="s">
        <v>773</v>
      </c>
      <c r="AF345" s="296"/>
      <c r="AG345" s="252">
        <f>(AG343/10)</f>
        <v>6418.95</v>
      </c>
    </row>
    <row r="346" spans="1:33" ht="24" customHeight="1">
      <c r="A346" s="363">
        <f t="shared" si="33"/>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6">(A346+1)</f>
        <v>182</v>
      </c>
      <c r="B347" s="365" t="s">
        <v>2222</v>
      </c>
      <c r="C347" s="405">
        <v>46.98</v>
      </c>
      <c r="D347" s="406" t="s">
        <v>975</v>
      </c>
      <c r="H347" s="296" t="s">
        <v>386</v>
      </c>
      <c r="K347" s="274">
        <f>(K345+C19)</f>
        <v>6592.06</v>
      </c>
      <c r="L347" s="252">
        <f>K347-K345</f>
        <v>78.900000000000006</v>
      </c>
      <c r="O347" s="358" t="s">
        <v>1586</v>
      </c>
      <c r="U347" s="274" t="s">
        <v>386</v>
      </c>
      <c r="W347" s="253"/>
      <c r="X347" s="274">
        <f>X345+C19</f>
        <v>6801.98</v>
      </c>
      <c r="AD347" s="296" t="s">
        <v>386</v>
      </c>
      <c r="AF347" s="296"/>
      <c r="AG347" s="274">
        <f>(AG345+C19)</f>
        <v>6497.85</v>
      </c>
    </row>
    <row r="348" spans="1:33" ht="24" customHeight="1">
      <c r="A348" s="363">
        <f t="shared" si="36"/>
        <v>183</v>
      </c>
      <c r="B348" s="365" t="s">
        <v>1041</v>
      </c>
      <c r="C348" s="405"/>
      <c r="D348" s="283"/>
      <c r="H348" s="296" t="s">
        <v>388</v>
      </c>
      <c r="K348" s="274">
        <f>(K347+C20)</f>
        <v>6751.26</v>
      </c>
      <c r="L348" s="252">
        <f>K348-K347</f>
        <v>159.19999999999999</v>
      </c>
      <c r="M348" s="252">
        <v>0.22</v>
      </c>
      <c r="N348" s="296" t="s">
        <v>869</v>
      </c>
      <c r="O348" s="296" t="s">
        <v>1353</v>
      </c>
      <c r="P348" s="252">
        <f>(K32)</f>
        <v>4479.66</v>
      </c>
      <c r="Q348" s="296" t="s">
        <v>869</v>
      </c>
      <c r="R348" s="252">
        <f>(M348*P348)</f>
        <v>985.53</v>
      </c>
      <c r="U348" s="274" t="s">
        <v>388</v>
      </c>
      <c r="W348" s="253"/>
      <c r="X348" s="274">
        <f>X347+C20</f>
        <v>6961.18</v>
      </c>
      <c r="AD348" s="296" t="s">
        <v>388</v>
      </c>
      <c r="AF348" s="296"/>
      <c r="AG348" s="274">
        <f>(AG347+C20)</f>
        <v>6657.05</v>
      </c>
    </row>
    <row r="349" spans="1:33" ht="24" customHeight="1">
      <c r="A349" s="363">
        <f t="shared" si="36"/>
        <v>184</v>
      </c>
      <c r="B349" s="365" t="s">
        <v>240</v>
      </c>
      <c r="C349" s="405">
        <v>19.3</v>
      </c>
      <c r="D349" s="406" t="s">
        <v>769</v>
      </c>
      <c r="H349" s="296" t="s">
        <v>2232</v>
      </c>
      <c r="K349" s="274">
        <f>(K348+C20)</f>
        <v>6910.46</v>
      </c>
      <c r="L349" s="252">
        <f>K349-K348</f>
        <v>159.19999999999999</v>
      </c>
      <c r="M349" s="252">
        <v>2.2000000000000002</v>
      </c>
      <c r="N349" s="296" t="s">
        <v>868</v>
      </c>
      <c r="O349" s="296" t="s">
        <v>2009</v>
      </c>
      <c r="P349" s="252">
        <f>(C10)</f>
        <v>999</v>
      </c>
      <c r="Q349" s="296" t="s">
        <v>868</v>
      </c>
      <c r="R349" s="252">
        <f>(M349*P349)</f>
        <v>2197.8000000000002</v>
      </c>
      <c r="U349" s="274" t="s">
        <v>2232</v>
      </c>
      <c r="W349" s="253"/>
      <c r="X349" s="274">
        <f>X348+C20</f>
        <v>7120.38</v>
      </c>
      <c r="AD349" s="296" t="s">
        <v>2232</v>
      </c>
      <c r="AF349" s="296"/>
      <c r="AG349" s="274">
        <f>(AG348+C20)</f>
        <v>6816.25</v>
      </c>
    </row>
    <row r="350" spans="1:33" ht="24" customHeight="1">
      <c r="A350" s="363">
        <f t="shared" si="36"/>
        <v>185</v>
      </c>
      <c r="B350" s="365" t="s">
        <v>242</v>
      </c>
      <c r="C350" s="405">
        <v>33.46</v>
      </c>
      <c r="D350" s="406" t="s">
        <v>769</v>
      </c>
      <c r="H350" s="296" t="s">
        <v>380</v>
      </c>
      <c r="K350" s="274">
        <f>(K349+C21)</f>
        <v>7069.66</v>
      </c>
      <c r="M350" s="252">
        <v>0.5</v>
      </c>
      <c r="N350" s="296" t="s">
        <v>868</v>
      </c>
      <c r="O350" s="296" t="s">
        <v>1902</v>
      </c>
      <c r="P350" s="252">
        <f>(C12)</f>
        <v>651</v>
      </c>
      <c r="Q350" s="296" t="s">
        <v>868</v>
      </c>
      <c r="R350" s="252">
        <f>(M350*P350)</f>
        <v>325.5</v>
      </c>
      <c r="U350" s="274" t="s">
        <v>380</v>
      </c>
      <c r="W350" s="253"/>
      <c r="X350" s="274">
        <f>X349+C20</f>
        <v>7279.58</v>
      </c>
      <c r="AD350" s="296" t="s">
        <v>380</v>
      </c>
      <c r="AF350" s="296"/>
      <c r="AG350" s="274">
        <f>(AG349+C20)</f>
        <v>6975.45</v>
      </c>
    </row>
    <row r="351" spans="1:33" ht="24" customHeight="1">
      <c r="A351" s="363">
        <f t="shared" si="36"/>
        <v>186</v>
      </c>
      <c r="B351" s="365" t="s">
        <v>2222</v>
      </c>
      <c r="C351" s="405">
        <v>53.62</v>
      </c>
      <c r="D351" s="406" t="s">
        <v>769</v>
      </c>
      <c r="F351" s="296" t="s">
        <v>975</v>
      </c>
      <c r="H351" s="296" t="s">
        <v>488</v>
      </c>
      <c r="K351" s="274">
        <f>(K350+C21)</f>
        <v>7228.86</v>
      </c>
      <c r="L351" s="252">
        <f>K351-K350</f>
        <v>159.19999999999999</v>
      </c>
      <c r="M351" s="252">
        <v>3.2</v>
      </c>
      <c r="N351" s="296" t="s">
        <v>868</v>
      </c>
      <c r="O351" s="296" t="s">
        <v>320</v>
      </c>
      <c r="P351" s="252">
        <f>(C13)</f>
        <v>534</v>
      </c>
      <c r="Q351" s="296" t="s">
        <v>868</v>
      </c>
      <c r="R351" s="252">
        <f>(M351*P351)</f>
        <v>1708.8</v>
      </c>
      <c r="S351" s="356" t="s">
        <v>975</v>
      </c>
      <c r="U351" s="274" t="s">
        <v>488</v>
      </c>
      <c r="W351" s="253"/>
      <c r="X351" s="274">
        <f>X350+C20</f>
        <v>7438.78</v>
      </c>
      <c r="AB351" s="296" t="s">
        <v>975</v>
      </c>
      <c r="AD351" s="296" t="s">
        <v>488</v>
      </c>
      <c r="AF351" s="296"/>
      <c r="AG351" s="274">
        <f>(AG350+C20)</f>
        <v>7134.65</v>
      </c>
    </row>
    <row r="352" spans="1:33" ht="24" customHeight="1">
      <c r="A352" s="363">
        <f t="shared" si="36"/>
        <v>187</v>
      </c>
      <c r="B352" s="365" t="s">
        <v>127</v>
      </c>
      <c r="C352" s="405"/>
      <c r="D352" s="283"/>
      <c r="F352" s="369">
        <v>27</v>
      </c>
      <c r="G352" s="252" t="s">
        <v>2251</v>
      </c>
      <c r="H352" s="296" t="s">
        <v>2814</v>
      </c>
      <c r="L352" s="252">
        <f>K351+L351</f>
        <v>7388.06</v>
      </c>
      <c r="N352" s="296" t="s">
        <v>449</v>
      </c>
      <c r="O352" s="296" t="s">
        <v>450</v>
      </c>
      <c r="P352" s="296" t="s">
        <v>975</v>
      </c>
      <c r="Q352" s="296" t="s">
        <v>449</v>
      </c>
      <c r="R352" s="252">
        <v>0</v>
      </c>
      <c r="S352" s="356">
        <v>27</v>
      </c>
      <c r="T352" s="252" t="s">
        <v>2251</v>
      </c>
      <c r="U352" s="252" t="s">
        <v>105</v>
      </c>
      <c r="W352" s="253"/>
      <c r="AB352" s="296"/>
      <c r="AD352" s="296">
        <v>5</v>
      </c>
      <c r="AF352" s="296"/>
      <c r="AG352" s="274">
        <f>(AG351+C20)</f>
        <v>7293.85</v>
      </c>
    </row>
    <row r="353" spans="1:34" ht="24" customHeight="1">
      <c r="A353" s="363">
        <f t="shared" si="36"/>
        <v>188</v>
      </c>
      <c r="B353" s="365" t="s">
        <v>240</v>
      </c>
      <c r="C353" s="405">
        <v>13.73</v>
      </c>
      <c r="D353" s="406" t="s">
        <v>769</v>
      </c>
      <c r="H353" s="296" t="str">
        <f>H333</f>
        <v>Bricks of size 22x11x7 cm</v>
      </c>
      <c r="L353" s="252">
        <f>L352+L351</f>
        <v>7547.26</v>
      </c>
      <c r="R353" s="358" t="s">
        <v>1586</v>
      </c>
      <c r="U353" s="252" t="s">
        <v>427</v>
      </c>
      <c r="W353" s="253"/>
      <c r="AB353" s="296"/>
      <c r="AD353" s="296">
        <v>6</v>
      </c>
      <c r="AF353" s="296"/>
      <c r="AG353" s="274">
        <f>(AG352+C20)</f>
        <v>7453.05</v>
      </c>
    </row>
    <row r="354" spans="1:34" ht="24" customHeight="1">
      <c r="A354" s="363">
        <f t="shared" si="36"/>
        <v>189</v>
      </c>
      <c r="B354" s="365" t="s">
        <v>241</v>
      </c>
      <c r="C354" s="405">
        <v>20.16</v>
      </c>
      <c r="D354" s="406" t="s">
        <v>769</v>
      </c>
      <c r="H354" s="358" t="s">
        <v>1586</v>
      </c>
      <c r="O354" s="296" t="s">
        <v>441</v>
      </c>
      <c r="R354" s="252">
        <f>SUM(R348:R352)</f>
        <v>5217.63</v>
      </c>
      <c r="U354" s="252" t="s">
        <v>1586</v>
      </c>
      <c r="W354" s="253"/>
      <c r="AB354" s="296"/>
      <c r="AD354" s="296">
        <v>7</v>
      </c>
      <c r="AF354" s="296"/>
      <c r="AG354" s="274">
        <f>(AG353+C20)</f>
        <v>7612.25</v>
      </c>
    </row>
    <row r="355" spans="1:34" ht="24" customHeight="1">
      <c r="A355" s="363">
        <f t="shared" si="36"/>
        <v>190</v>
      </c>
      <c r="B355" s="365" t="s">
        <v>242</v>
      </c>
      <c r="C355" s="405">
        <v>22.73</v>
      </c>
      <c r="D355" s="406" t="s">
        <v>769</v>
      </c>
      <c r="F355" s="252">
        <v>4800</v>
      </c>
      <c r="G355" s="252" t="s">
        <v>1425</v>
      </c>
      <c r="H355" s="252" t="str">
        <f>H309</f>
        <v>Bricks of size 22x11x7 cm</v>
      </c>
      <c r="I355" s="252">
        <f>C80</f>
        <v>5882.89</v>
      </c>
      <c r="J355" s="296" t="s">
        <v>1594</v>
      </c>
      <c r="K355" s="252">
        <f>(F355*I355)/1000</f>
        <v>28237.87</v>
      </c>
      <c r="R355" s="358" t="s">
        <v>1586</v>
      </c>
      <c r="S355" s="356">
        <v>4600</v>
      </c>
      <c r="T355" s="252" t="s">
        <v>1425</v>
      </c>
      <c r="U355" s="252" t="s">
        <v>427</v>
      </c>
      <c r="V355" s="252">
        <f>AC41</f>
        <v>6595</v>
      </c>
      <c r="W355" s="253" t="s">
        <v>1594</v>
      </c>
      <c r="X355" s="252">
        <f>V355*S355/1000</f>
        <v>30337</v>
      </c>
      <c r="AB355" s="296"/>
      <c r="AD355" s="296">
        <v>8</v>
      </c>
      <c r="AF355" s="296"/>
      <c r="AG355" s="274">
        <f>(AG354+C20)</f>
        <v>7771.45</v>
      </c>
    </row>
    <row r="356" spans="1:34" ht="24" customHeight="1">
      <c r="A356" s="363">
        <f t="shared" si="36"/>
        <v>191</v>
      </c>
      <c r="B356" s="365" t="s">
        <v>2222</v>
      </c>
      <c r="C356" s="405">
        <v>46.98</v>
      </c>
      <c r="D356" s="406" t="s">
        <v>769</v>
      </c>
      <c r="F356" s="252">
        <v>2.5</v>
      </c>
      <c r="G356" s="252" t="s">
        <v>869</v>
      </c>
      <c r="H356" s="296" t="s">
        <v>1307</v>
      </c>
      <c r="I356" s="252">
        <f>K40</f>
        <v>3754.86</v>
      </c>
      <c r="J356" s="296" t="s">
        <v>869</v>
      </c>
      <c r="K356" s="252">
        <f>(F356*I356)</f>
        <v>9387.15</v>
      </c>
      <c r="O356" s="296" t="s">
        <v>552</v>
      </c>
      <c r="R356" s="252">
        <f>(R354/10)</f>
        <v>521.76</v>
      </c>
      <c r="S356" s="356">
        <v>2.5</v>
      </c>
      <c r="T356" s="252" t="s">
        <v>869</v>
      </c>
      <c r="U356" s="252" t="s">
        <v>1307</v>
      </c>
      <c r="V356" s="252">
        <f>I356</f>
        <v>3754.86</v>
      </c>
      <c r="W356" s="253" t="s">
        <v>869</v>
      </c>
      <c r="X356" s="252">
        <f>V356*S356</f>
        <v>9387.15</v>
      </c>
      <c r="AB356" s="296"/>
      <c r="AD356" s="296">
        <v>9</v>
      </c>
      <c r="AF356" s="296"/>
      <c r="AG356" s="274">
        <f>(AG355+C20)</f>
        <v>7930.65</v>
      </c>
    </row>
    <row r="357" spans="1:34" ht="24" customHeight="1">
      <c r="A357" s="363">
        <f t="shared" si="36"/>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52" t="s">
        <v>2009</v>
      </c>
      <c r="V357" s="252">
        <f>I357</f>
        <v>999</v>
      </c>
      <c r="W357" s="253" t="s">
        <v>868</v>
      </c>
      <c r="X357" s="252">
        <f>V357*S357</f>
        <v>3496.5</v>
      </c>
      <c r="AB357" s="296"/>
      <c r="AD357" s="296">
        <v>10</v>
      </c>
      <c r="AF357" s="296"/>
      <c r="AG357" s="274">
        <f>(AG356+C20)</f>
        <v>8089.85</v>
      </c>
    </row>
    <row r="358" spans="1:34" ht="24" customHeight="1">
      <c r="A358" s="363">
        <f t="shared" si="36"/>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52" t="s">
        <v>1712</v>
      </c>
      <c r="V358" s="252">
        <f>I358</f>
        <v>932</v>
      </c>
      <c r="W358" s="253" t="s">
        <v>868</v>
      </c>
      <c r="X358" s="252">
        <f>V358*S358</f>
        <v>9879.2000000000007</v>
      </c>
      <c r="AB358" s="296"/>
      <c r="AD358" s="296">
        <v>11</v>
      </c>
      <c r="AF358" s="296"/>
      <c r="AG358" s="274">
        <f>(AG357+C20)</f>
        <v>8249.0499999999993</v>
      </c>
    </row>
    <row r="359" spans="1:34" ht="24" customHeight="1">
      <c r="A359" s="363">
        <f t="shared" si="36"/>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52" t="s">
        <v>1902</v>
      </c>
      <c r="V359" s="252">
        <f>I359</f>
        <v>651</v>
      </c>
      <c r="W359" s="253" t="s">
        <v>868</v>
      </c>
      <c r="X359" s="252">
        <f>V359*S359</f>
        <v>4622.1000000000004</v>
      </c>
      <c r="AB359" s="296"/>
      <c r="AD359" s="296">
        <v>12</v>
      </c>
      <c r="AF359" s="296"/>
      <c r="AG359" s="274">
        <f>(AG358+C20)</f>
        <v>8408.25</v>
      </c>
    </row>
    <row r="360" spans="1:34" ht="24" customHeight="1">
      <c r="A360" s="363">
        <f t="shared" si="36"/>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52" t="s">
        <v>320</v>
      </c>
      <c r="V360" s="252">
        <f>I360</f>
        <v>534</v>
      </c>
      <c r="W360" s="253" t="s">
        <v>868</v>
      </c>
      <c r="X360" s="252">
        <f>V360*S360</f>
        <v>11320.8</v>
      </c>
      <c r="AB360" s="296"/>
      <c r="AD360" s="296">
        <v>13</v>
      </c>
      <c r="AF360" s="296"/>
      <c r="AG360" s="274">
        <f>(AG359+C20)</f>
        <v>8567.4500000000007</v>
      </c>
    </row>
    <row r="361" spans="1:34" ht="24" customHeight="1">
      <c r="A361" s="363">
        <f t="shared" si="36"/>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B361" s="369">
        <v>27</v>
      </c>
      <c r="AC361" s="252" t="s">
        <v>2251</v>
      </c>
      <c r="AD361" s="296" t="s">
        <v>3511</v>
      </c>
      <c r="AF361" s="296"/>
    </row>
    <row r="362" spans="1:34" ht="24" customHeight="1">
      <c r="A362" s="363">
        <f t="shared" si="36"/>
        <v>197</v>
      </c>
      <c r="B362" s="365" t="s">
        <v>969</v>
      </c>
      <c r="C362" s="405"/>
      <c r="D362" s="283"/>
      <c r="K362" s="358" t="s">
        <v>1586</v>
      </c>
      <c r="M362" s="252">
        <v>0.22</v>
      </c>
      <c r="N362" s="296" t="s">
        <v>869</v>
      </c>
      <c r="O362" s="296" t="s">
        <v>1307</v>
      </c>
      <c r="P362" s="252">
        <f>(K40)</f>
        <v>3754.86</v>
      </c>
      <c r="Q362" s="296" t="s">
        <v>869</v>
      </c>
      <c r="R362" s="252">
        <f t="shared" ref="R362:R367" si="37">(M362*P362)</f>
        <v>826.07</v>
      </c>
      <c r="W362" s="253"/>
      <c r="X362" s="358" t="s">
        <v>1586</v>
      </c>
      <c r="AD362" s="296" t="str">
        <f>AD333</f>
        <v>Bricks of size 23x11.4x7.5 cm</v>
      </c>
      <c r="AF362" s="296"/>
    </row>
    <row r="363" spans="1:34" ht="24" customHeight="1">
      <c r="A363" s="363">
        <f t="shared" si="36"/>
        <v>198</v>
      </c>
      <c r="B363" s="365" t="s">
        <v>240</v>
      </c>
      <c r="C363" s="405">
        <v>26.16</v>
      </c>
      <c r="D363" s="406" t="s">
        <v>769</v>
      </c>
      <c r="H363" s="296" t="s">
        <v>614</v>
      </c>
      <c r="K363" s="252">
        <f>SUM(K355:K361)</f>
        <v>66943.62</v>
      </c>
      <c r="M363" s="252">
        <v>2.2000000000000002</v>
      </c>
      <c r="N363" s="296" t="s">
        <v>868</v>
      </c>
      <c r="O363" s="296" t="s">
        <v>2009</v>
      </c>
      <c r="P363" s="252">
        <f>(C10)</f>
        <v>999</v>
      </c>
      <c r="Q363" s="296" t="s">
        <v>868</v>
      </c>
      <c r="R363" s="252">
        <f t="shared" si="37"/>
        <v>2197.8000000000002</v>
      </c>
      <c r="U363" s="252" t="s">
        <v>614</v>
      </c>
      <c r="W363" s="253"/>
      <c r="X363" s="252">
        <f>SUM(X355:X361)</f>
        <v>69042.75</v>
      </c>
      <c r="AD363" s="358" t="s">
        <v>1586</v>
      </c>
      <c r="AF363" s="296"/>
    </row>
    <row r="364" spans="1:34" ht="24" customHeight="1">
      <c r="A364" s="363">
        <f t="shared" si="36"/>
        <v>199</v>
      </c>
      <c r="B364" s="365" t="s">
        <v>241</v>
      </c>
      <c r="C364" s="405">
        <v>34.32</v>
      </c>
      <c r="D364" s="406" t="s">
        <v>769</v>
      </c>
      <c r="K364" s="358" t="s">
        <v>1586</v>
      </c>
      <c r="M364" s="252">
        <v>0.5</v>
      </c>
      <c r="N364" s="296" t="s">
        <v>868</v>
      </c>
      <c r="O364" s="296" t="s">
        <v>1902</v>
      </c>
      <c r="P364" s="252">
        <f>(C12)</f>
        <v>651</v>
      </c>
      <c r="Q364" s="296" t="s">
        <v>868</v>
      </c>
      <c r="R364" s="252">
        <f t="shared" si="37"/>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6"/>
        <v>200</v>
      </c>
      <c r="B365" s="365" t="s">
        <v>242</v>
      </c>
      <c r="C365" s="405">
        <v>40.33</v>
      </c>
      <c r="D365" s="406" t="s">
        <v>769</v>
      </c>
      <c r="H365" s="296" t="s">
        <v>773</v>
      </c>
      <c r="K365" s="252">
        <f>(K363/10)</f>
        <v>6694.36</v>
      </c>
      <c r="M365" s="252">
        <v>1.1000000000000001</v>
      </c>
      <c r="N365" s="296" t="s">
        <v>970</v>
      </c>
      <c r="O365" s="296" t="s">
        <v>971</v>
      </c>
      <c r="P365" s="252">
        <f>(C10)</f>
        <v>999</v>
      </c>
      <c r="Q365" s="296" t="s">
        <v>868</v>
      </c>
      <c r="R365" s="252">
        <f t="shared" si="37"/>
        <v>1098.9000000000001</v>
      </c>
      <c r="U365" s="252" t="s">
        <v>773</v>
      </c>
      <c r="W365" s="253"/>
      <c r="X365" s="252">
        <f>X363/10</f>
        <v>6904.28</v>
      </c>
      <c r="AB365" s="252">
        <v>2</v>
      </c>
      <c r="AC365" s="252" t="s">
        <v>869</v>
      </c>
      <c r="AD365" s="296" t="s">
        <v>1307</v>
      </c>
      <c r="AE365" s="252">
        <f>V356</f>
        <v>3754.86</v>
      </c>
      <c r="AF365" s="296" t="s">
        <v>869</v>
      </c>
      <c r="AG365" s="252">
        <f>(AB365*AE365)</f>
        <v>7509.72</v>
      </c>
    </row>
    <row r="366" spans="1:34" ht="24" customHeight="1">
      <c r="A366" s="363">
        <f t="shared" si="36"/>
        <v>201</v>
      </c>
      <c r="B366" s="365" t="s">
        <v>972</v>
      </c>
      <c r="C366" s="405"/>
      <c r="D366" s="406" t="s">
        <v>975</v>
      </c>
      <c r="K366" s="358" t="s">
        <v>2055</v>
      </c>
      <c r="M366" s="252">
        <v>3.2</v>
      </c>
      <c r="N366" s="296" t="s">
        <v>868</v>
      </c>
      <c r="O366" s="296" t="s">
        <v>320</v>
      </c>
      <c r="P366" s="252">
        <f>(C13)</f>
        <v>534</v>
      </c>
      <c r="Q366" s="296" t="s">
        <v>868</v>
      </c>
      <c r="R366" s="252">
        <f t="shared" si="37"/>
        <v>1708.8</v>
      </c>
      <c r="W366" s="253"/>
      <c r="X366" s="377" t="s">
        <v>1224</v>
      </c>
      <c r="AB366" s="252">
        <v>3.5</v>
      </c>
      <c r="AC366" s="252" t="s">
        <v>868</v>
      </c>
      <c r="AD366" s="296" t="s">
        <v>2009</v>
      </c>
      <c r="AE366" s="252">
        <f>V357</f>
        <v>999</v>
      </c>
      <c r="AF366" s="296" t="s">
        <v>868</v>
      </c>
      <c r="AG366" s="252">
        <f>(AB366*AE366)</f>
        <v>3496.5</v>
      </c>
    </row>
    <row r="367" spans="1:34" ht="24" customHeight="1">
      <c r="A367" s="363">
        <f t="shared" si="36"/>
        <v>202</v>
      </c>
      <c r="B367" s="365" t="s">
        <v>240</v>
      </c>
      <c r="C367" s="405">
        <v>20.329999999999998</v>
      </c>
      <c r="D367" s="406" t="s">
        <v>769</v>
      </c>
      <c r="H367" s="296" t="s">
        <v>386</v>
      </c>
      <c r="J367" s="296">
        <f>K367-K365</f>
        <v>78.900000000000006</v>
      </c>
      <c r="K367" s="252">
        <f>(K365+C19)</f>
        <v>6773.26</v>
      </c>
      <c r="M367" s="252">
        <v>9.8000000000000007</v>
      </c>
      <c r="N367" s="296" t="s">
        <v>1645</v>
      </c>
      <c r="O367" s="296" t="s">
        <v>1646</v>
      </c>
      <c r="P367" s="252">
        <f>(C148)</f>
        <v>145.19999999999999</v>
      </c>
      <c r="Q367" s="296" t="s">
        <v>1645</v>
      </c>
      <c r="R367" s="252">
        <f t="shared" si="37"/>
        <v>1422.96</v>
      </c>
      <c r="U367" s="252" t="s">
        <v>386</v>
      </c>
      <c r="W367" s="253"/>
      <c r="X367" s="252">
        <f>X365+C19</f>
        <v>6983.18</v>
      </c>
      <c r="Y367" s="252">
        <f>X365+X367+X368+X369+X370+X371</f>
        <v>43412.18</v>
      </c>
      <c r="Z367" s="252">
        <f>Y367/6</f>
        <v>7235.36</v>
      </c>
      <c r="AB367" s="252">
        <v>10.6</v>
      </c>
      <c r="AC367" s="252" t="s">
        <v>868</v>
      </c>
      <c r="AD367" s="296" t="s">
        <v>1712</v>
      </c>
      <c r="AE367" s="252">
        <f>V358</f>
        <v>932</v>
      </c>
      <c r="AF367" s="296" t="s">
        <v>868</v>
      </c>
      <c r="AG367" s="252">
        <f>(AB367*AE367)</f>
        <v>9879.2000000000007</v>
      </c>
    </row>
    <row r="368" spans="1:34" ht="24" customHeight="1">
      <c r="A368" s="363">
        <f t="shared" si="36"/>
        <v>203</v>
      </c>
      <c r="B368" s="365" t="s">
        <v>241</v>
      </c>
      <c r="C368" s="405">
        <v>26.6</v>
      </c>
      <c r="D368" s="406" t="s">
        <v>769</v>
      </c>
      <c r="H368" s="296" t="s">
        <v>388</v>
      </c>
      <c r="J368" s="296">
        <f>K368-K367</f>
        <v>159.19999999999999</v>
      </c>
      <c r="K368" s="252">
        <f>(K367+C20)</f>
        <v>6932.46</v>
      </c>
      <c r="L368" s="252">
        <f>(K367+K368)/2</f>
        <v>6852.86</v>
      </c>
      <c r="N368" s="296" t="s">
        <v>449</v>
      </c>
      <c r="O368" s="296" t="s">
        <v>450</v>
      </c>
      <c r="P368" s="296" t="s">
        <v>975</v>
      </c>
      <c r="Q368" s="296" t="s">
        <v>449</v>
      </c>
      <c r="R368" s="252">
        <v>0</v>
      </c>
      <c r="U368" s="252" t="s">
        <v>388</v>
      </c>
      <c r="W368" s="253"/>
      <c r="X368" s="252">
        <f>X367+C20</f>
        <v>7142.38</v>
      </c>
      <c r="Y368" s="252">
        <f>SUM(X367:X368)/2</f>
        <v>7062.78</v>
      </c>
      <c r="AB368" s="252">
        <v>7.1</v>
      </c>
      <c r="AC368" s="252" t="s">
        <v>868</v>
      </c>
      <c r="AD368" s="296" t="s">
        <v>1902</v>
      </c>
      <c r="AE368" s="252">
        <f>V359</f>
        <v>651</v>
      </c>
      <c r="AF368" s="296" t="s">
        <v>868</v>
      </c>
      <c r="AG368" s="252">
        <f>(AB368*AE368)</f>
        <v>4622.1000000000004</v>
      </c>
      <c r="AH368" s="252">
        <f>(AG377+AG376)/2</f>
        <v>6722.41</v>
      </c>
    </row>
    <row r="369" spans="1:34" ht="24" customHeight="1">
      <c r="A369" s="363">
        <f t="shared" si="36"/>
        <v>204</v>
      </c>
      <c r="B369" s="365" t="s">
        <v>242</v>
      </c>
      <c r="C369" s="405">
        <v>33.89</v>
      </c>
      <c r="D369" s="406" t="s">
        <v>769</v>
      </c>
      <c r="H369" s="296" t="s">
        <v>2232</v>
      </c>
      <c r="J369" s="296">
        <f>K369-K368</f>
        <v>159.19999999999999</v>
      </c>
      <c r="K369" s="252">
        <f>(K368+C21)</f>
        <v>7091.66</v>
      </c>
      <c r="L369" s="252">
        <f>SUM(K367:K369)/3</f>
        <v>6932.46</v>
      </c>
      <c r="R369" s="358" t="s">
        <v>1586</v>
      </c>
      <c r="U369" s="252" t="s">
        <v>2232</v>
      </c>
      <c r="W369" s="253"/>
      <c r="X369" s="252">
        <f>X368+C20</f>
        <v>7301.58</v>
      </c>
      <c r="Y369" s="252">
        <f>SUM(X367:X369)/3</f>
        <v>7142.38</v>
      </c>
      <c r="AB369" s="252">
        <v>21.2</v>
      </c>
      <c r="AC369" s="252" t="s">
        <v>868</v>
      </c>
      <c r="AD369" s="296" t="s">
        <v>320</v>
      </c>
      <c r="AE369" s="252">
        <f>V360</f>
        <v>534</v>
      </c>
      <c r="AF369" s="296" t="s">
        <v>868</v>
      </c>
      <c r="AG369" s="252">
        <f>(AB369*AE369)</f>
        <v>11320.8</v>
      </c>
      <c r="AH369" s="252">
        <f>SUM(AG376:AG378)/3</f>
        <v>6802.01</v>
      </c>
    </row>
    <row r="370" spans="1:34" ht="24" customHeight="1">
      <c r="A370" s="363">
        <f t="shared" si="36"/>
        <v>205</v>
      </c>
      <c r="B370" s="365" t="s">
        <v>973</v>
      </c>
      <c r="C370" s="405"/>
      <c r="D370" s="283"/>
      <c r="H370" s="296" t="s">
        <v>380</v>
      </c>
      <c r="J370" s="296">
        <f>K370-K369</f>
        <v>159.19999999999999</v>
      </c>
      <c r="K370" s="252">
        <f>K369+C21</f>
        <v>7250.86</v>
      </c>
      <c r="O370" s="296" t="s">
        <v>441</v>
      </c>
      <c r="R370" s="252">
        <f>SUM(R362:R368)</f>
        <v>7580.03</v>
      </c>
      <c r="U370" s="252" t="s">
        <v>380</v>
      </c>
      <c r="W370" s="253"/>
      <c r="X370" s="252">
        <f>X369+C20</f>
        <v>7460.78</v>
      </c>
      <c r="AC370" s="252" t="s">
        <v>449</v>
      </c>
      <c r="AD370" s="296" t="s">
        <v>450</v>
      </c>
      <c r="AF370" s="296" t="s">
        <v>449</v>
      </c>
      <c r="AG370" s="252">
        <v>0</v>
      </c>
    </row>
    <row r="371" spans="1:34" ht="24" customHeight="1">
      <c r="A371" s="363">
        <f t="shared" si="36"/>
        <v>206</v>
      </c>
      <c r="B371" s="365" t="s">
        <v>240</v>
      </c>
      <c r="C371" s="405">
        <v>13.29</v>
      </c>
      <c r="D371" s="406" t="s">
        <v>769</v>
      </c>
      <c r="H371" s="296" t="s">
        <v>488</v>
      </c>
      <c r="J371" s="296">
        <f>K371-K370</f>
        <v>159.19999999999999</v>
      </c>
      <c r="K371" s="252">
        <f>K370+C21</f>
        <v>7410.06</v>
      </c>
      <c r="R371" s="358" t="s">
        <v>1586</v>
      </c>
      <c r="U371" s="252" t="s">
        <v>488</v>
      </c>
      <c r="W371" s="253"/>
      <c r="X371" s="252">
        <f>X370+C20</f>
        <v>7619.98</v>
      </c>
      <c r="AF371" s="296"/>
      <c r="AG371" s="358" t="s">
        <v>1586</v>
      </c>
    </row>
    <row r="372" spans="1:34" ht="24" customHeight="1">
      <c r="A372" s="363">
        <f t="shared" si="36"/>
        <v>207</v>
      </c>
      <c r="B372" s="365" t="s">
        <v>241</v>
      </c>
      <c r="C372" s="405">
        <v>18.02</v>
      </c>
      <c r="D372" s="406" t="s">
        <v>769</v>
      </c>
      <c r="H372" s="296" t="s">
        <v>1831</v>
      </c>
      <c r="J372" s="296">
        <f>SUM(K367+K368+K369)/3</f>
        <v>6932.46</v>
      </c>
      <c r="K372" s="252">
        <f>(K367+K368+K369+K370)/4</f>
        <v>7012.06</v>
      </c>
      <c r="O372" s="296" t="s">
        <v>552</v>
      </c>
      <c r="R372" s="252">
        <f>(R370/10)</f>
        <v>758</v>
      </c>
      <c r="U372" s="252" t="s">
        <v>1831</v>
      </c>
      <c r="W372" s="253">
        <v>2171.31</v>
      </c>
      <c r="X372" s="252">
        <f>SUM(X367:X370)/4</f>
        <v>7221.98</v>
      </c>
      <c r="AD372" s="296" t="s">
        <v>614</v>
      </c>
      <c r="AF372" s="296"/>
      <c r="AG372" s="252">
        <f>SUM(AG364:AG370)</f>
        <v>65639.12</v>
      </c>
    </row>
    <row r="373" spans="1:34" ht="24" customHeight="1">
      <c r="A373" s="363">
        <f t="shared" si="36"/>
        <v>208</v>
      </c>
      <c r="B373" s="365" t="s">
        <v>242</v>
      </c>
      <c r="C373" s="405">
        <v>23.17</v>
      </c>
      <c r="D373" s="406" t="s">
        <v>769</v>
      </c>
      <c r="R373" s="358" t="s">
        <v>2055</v>
      </c>
      <c r="W373" s="253"/>
      <c r="AF373" s="296"/>
      <c r="AG373" s="358" t="s">
        <v>1586</v>
      </c>
    </row>
    <row r="374" spans="1:34" ht="24" customHeight="1">
      <c r="A374" s="363">
        <f t="shared" si="36"/>
        <v>209</v>
      </c>
      <c r="B374" s="365" t="s">
        <v>1832</v>
      </c>
      <c r="C374" s="405"/>
      <c r="D374" s="406" t="s">
        <v>975</v>
      </c>
      <c r="H374" s="253" t="s">
        <v>1833</v>
      </c>
      <c r="N374" s="296" t="s">
        <v>2251</v>
      </c>
      <c r="O374" s="296" t="s">
        <v>1834</v>
      </c>
      <c r="U374" s="252" t="s">
        <v>1833</v>
      </c>
      <c r="W374" s="253"/>
      <c r="AD374" s="296" t="s">
        <v>773</v>
      </c>
      <c r="AF374" s="296"/>
      <c r="AG374" s="252">
        <f>(AG372/10)</f>
        <v>6563.91</v>
      </c>
    </row>
    <row r="375" spans="1:34" ht="24" customHeight="1">
      <c r="A375" s="363">
        <f t="shared" si="36"/>
        <v>210</v>
      </c>
      <c r="B375" s="365" t="s">
        <v>240</v>
      </c>
      <c r="C375" s="405">
        <v>9</v>
      </c>
      <c r="D375" s="406" t="s">
        <v>769</v>
      </c>
      <c r="H375" s="358" t="s">
        <v>1586</v>
      </c>
      <c r="O375" s="358" t="s">
        <v>1586</v>
      </c>
      <c r="U375" s="252" t="s">
        <v>1586</v>
      </c>
      <c r="W375" s="253"/>
      <c r="AF375" s="296"/>
      <c r="AG375" s="358" t="s">
        <v>2055</v>
      </c>
    </row>
    <row r="376" spans="1:34" ht="24" customHeight="1">
      <c r="A376" s="363">
        <f t="shared" si="36"/>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D376" s="296" t="s">
        <v>386</v>
      </c>
      <c r="AF376" s="296"/>
      <c r="AG376" s="252">
        <f>(AG374+C19)</f>
        <v>6642.81</v>
      </c>
    </row>
    <row r="377" spans="1:34" ht="24" customHeight="1">
      <c r="A377" s="363">
        <f t="shared" si="36"/>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52" t="s">
        <v>427</v>
      </c>
      <c r="W377" s="253"/>
      <c r="AD377" s="296" t="s">
        <v>388</v>
      </c>
      <c r="AF377" s="296"/>
      <c r="AG377" s="252">
        <f>(AG376+C20)</f>
        <v>6802.01</v>
      </c>
    </row>
    <row r="378" spans="1:34" ht="24" customHeight="1">
      <c r="A378" s="363">
        <f t="shared" si="36"/>
        <v>213</v>
      </c>
      <c r="B378" s="365" t="s">
        <v>1835</v>
      </c>
      <c r="C378" s="405"/>
      <c r="D378" s="283"/>
      <c r="H378" s="358" t="s">
        <v>1586</v>
      </c>
      <c r="M378" s="252">
        <v>0.3</v>
      </c>
      <c r="N378" s="296" t="s">
        <v>868</v>
      </c>
      <c r="O378" s="296" t="s">
        <v>1902</v>
      </c>
      <c r="P378" s="252">
        <f>(C12)</f>
        <v>651</v>
      </c>
      <c r="Q378" s="296" t="s">
        <v>868</v>
      </c>
      <c r="R378" s="252">
        <f>(M378*P378)</f>
        <v>195.3</v>
      </c>
      <c r="U378" s="252" t="s">
        <v>1586</v>
      </c>
      <c r="W378" s="253"/>
      <c r="AD378" s="296" t="s">
        <v>2232</v>
      </c>
      <c r="AF378" s="296"/>
      <c r="AG378" s="252">
        <f>(AG377+C20)</f>
        <v>6961.21</v>
      </c>
    </row>
    <row r="379" spans="1:34" ht="24" customHeight="1">
      <c r="A379" s="363">
        <f t="shared" si="36"/>
        <v>214</v>
      </c>
      <c r="B379" s="365" t="s">
        <v>240</v>
      </c>
      <c r="C379" s="405">
        <v>4.29</v>
      </c>
      <c r="D379" s="406" t="s">
        <v>769</v>
      </c>
      <c r="F379" s="252">
        <f>F311</f>
        <v>4800</v>
      </c>
      <c r="G379" s="252" t="s">
        <v>1425</v>
      </c>
      <c r="H379" s="252" t="str">
        <f>H309</f>
        <v>Bricks of size 22x11x7 cm</v>
      </c>
      <c r="I379" s="252">
        <f>(C80)</f>
        <v>5882.89</v>
      </c>
      <c r="J379" s="296" t="s">
        <v>1594</v>
      </c>
      <c r="K379" s="252">
        <f>(F379*I379)/1000</f>
        <v>28237.87</v>
      </c>
      <c r="M379" s="252">
        <v>1.9</v>
      </c>
      <c r="N379" s="296" t="s">
        <v>868</v>
      </c>
      <c r="O379" s="296" t="s">
        <v>320</v>
      </c>
      <c r="P379" s="252">
        <f>(C13)</f>
        <v>534</v>
      </c>
      <c r="Q379" s="296" t="s">
        <v>868</v>
      </c>
      <c r="R379" s="252">
        <f>(M379*P379)</f>
        <v>1014.6</v>
      </c>
      <c r="S379" s="356">
        <v>4600</v>
      </c>
      <c r="T379" s="252" t="s">
        <v>1425</v>
      </c>
      <c r="U379" s="252" t="s">
        <v>427</v>
      </c>
      <c r="V379" s="252">
        <f>AC41</f>
        <v>6595</v>
      </c>
      <c r="W379" s="253" t="s">
        <v>1594</v>
      </c>
      <c r="X379" s="252">
        <f>S379*V379/1000</f>
        <v>30337</v>
      </c>
      <c r="AD379" s="296" t="s">
        <v>380</v>
      </c>
      <c r="AF379" s="296"/>
      <c r="AG379" s="252">
        <f>AG378+C20</f>
        <v>7120.41</v>
      </c>
    </row>
    <row r="380" spans="1:34" ht="24" customHeight="1">
      <c r="A380" s="363">
        <f t="shared" si="36"/>
        <v>215</v>
      </c>
      <c r="B380" s="365" t="s">
        <v>241</v>
      </c>
      <c r="C380" s="405">
        <v>6.01</v>
      </c>
      <c r="D380" s="406" t="s">
        <v>769</v>
      </c>
      <c r="F380" s="252">
        <v>1.59</v>
      </c>
      <c r="G380" s="252" t="s">
        <v>869</v>
      </c>
      <c r="H380" s="296" t="s">
        <v>1307</v>
      </c>
      <c r="I380" s="252">
        <f>(K40)</f>
        <v>3754.86</v>
      </c>
      <c r="J380" s="296" t="s">
        <v>869</v>
      </c>
      <c r="K380" s="252">
        <f>(F380*I380)</f>
        <v>5970.23</v>
      </c>
      <c r="N380" s="296" t="s">
        <v>449</v>
      </c>
      <c r="O380" s="296" t="s">
        <v>1836</v>
      </c>
      <c r="P380" s="296" t="s">
        <v>975</v>
      </c>
      <c r="Q380" s="296" t="s">
        <v>449</v>
      </c>
      <c r="R380" s="252">
        <v>1.46</v>
      </c>
      <c r="S380" s="356">
        <v>1.59</v>
      </c>
      <c r="T380" s="252" t="s">
        <v>869</v>
      </c>
      <c r="U380" s="252" t="s">
        <v>1307</v>
      </c>
      <c r="V380" s="252">
        <f>I380</f>
        <v>3754.86</v>
      </c>
      <c r="W380" s="253" t="s">
        <v>869</v>
      </c>
      <c r="X380" s="252">
        <f>V380*S380</f>
        <v>5970.23</v>
      </c>
      <c r="AD380" s="296" t="s">
        <v>488</v>
      </c>
      <c r="AF380" s="296"/>
      <c r="AG380" s="252">
        <f>AG379+C20</f>
        <v>7279.61</v>
      </c>
    </row>
    <row r="381" spans="1:34" ht="24" customHeight="1">
      <c r="A381" s="363">
        <f t="shared" si="36"/>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52" t="s">
        <v>2009</v>
      </c>
      <c r="V381" s="252">
        <f>I381</f>
        <v>999</v>
      </c>
      <c r="W381" s="253" t="s">
        <v>868</v>
      </c>
      <c r="X381" s="252">
        <f>V381*S381</f>
        <v>6993</v>
      </c>
      <c r="AD381" s="296" t="s">
        <v>1831</v>
      </c>
      <c r="AF381" s="296"/>
      <c r="AG381" s="252">
        <f>(AG376+AG377+AG378+AG379)/4</f>
        <v>6881.61</v>
      </c>
    </row>
    <row r="382" spans="1:34" ht="24" customHeight="1">
      <c r="A382" s="363">
        <f t="shared" si="36"/>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52" t="s">
        <v>1712</v>
      </c>
      <c r="V382" s="252">
        <f>I382</f>
        <v>932</v>
      </c>
      <c r="W382" s="253" t="s">
        <v>868</v>
      </c>
      <c r="X382" s="252">
        <f>V382*S382</f>
        <v>6617.2</v>
      </c>
      <c r="AF382" s="296"/>
    </row>
    <row r="383" spans="1:34" ht="24" customHeight="1">
      <c r="A383" s="363">
        <f t="shared" si="36"/>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52" t="s">
        <v>1902</v>
      </c>
      <c r="V383" s="252">
        <f>I383</f>
        <v>651</v>
      </c>
      <c r="W383" s="253" t="s">
        <v>868</v>
      </c>
      <c r="X383" s="252">
        <f>V383*S383</f>
        <v>4622.1000000000004</v>
      </c>
      <c r="AD383" s="253" t="s">
        <v>1833</v>
      </c>
      <c r="AF383" s="296"/>
    </row>
    <row r="384" spans="1:34" ht="24" customHeight="1">
      <c r="A384" s="363">
        <f t="shared" si="36"/>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52" t="s">
        <v>320</v>
      </c>
      <c r="V384" s="252">
        <f>I384</f>
        <v>534</v>
      </c>
      <c r="W384" s="253" t="s">
        <v>868</v>
      </c>
      <c r="X384" s="252">
        <f>V384*S384</f>
        <v>11320.8</v>
      </c>
      <c r="AD384" s="358" t="s">
        <v>1586</v>
      </c>
      <c r="AF384" s="296"/>
    </row>
    <row r="385" spans="1:45" ht="24" customHeight="1">
      <c r="A385" s="363">
        <f t="shared" si="36"/>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6"/>
        <v>221</v>
      </c>
      <c r="B386" s="365" t="s">
        <v>1113</v>
      </c>
      <c r="C386" s="405"/>
      <c r="D386" s="283"/>
      <c r="K386" s="358" t="s">
        <v>1586</v>
      </c>
      <c r="W386" s="253"/>
      <c r="X386" s="377" t="s">
        <v>429</v>
      </c>
      <c r="AD386" s="252" t="str">
        <f>AD309</f>
        <v>Bricks of size 23x11.4x7.5 cm</v>
      </c>
      <c r="AF386" s="296"/>
      <c r="AR386" s="296"/>
    </row>
    <row r="387" spans="1:45" ht="24" customHeight="1">
      <c r="A387" s="363">
        <f t="shared" si="36"/>
        <v>222</v>
      </c>
      <c r="B387" s="365" t="s">
        <v>240</v>
      </c>
      <c r="C387" s="405">
        <v>15.87</v>
      </c>
      <c r="D387" s="406" t="s">
        <v>769</v>
      </c>
      <c r="H387" s="296" t="s">
        <v>614</v>
      </c>
      <c r="K387" s="252">
        <f>SUM(K379:K385)</f>
        <v>63761.2</v>
      </c>
      <c r="U387" s="252" t="s">
        <v>614</v>
      </c>
      <c r="W387" s="253"/>
      <c r="X387" s="252">
        <f>SUM(X379:X386)</f>
        <v>65860.33</v>
      </c>
      <c r="AD387" s="358" t="s">
        <v>1586</v>
      </c>
      <c r="AF387" s="296"/>
      <c r="AP387" s="358" t="s">
        <v>1586</v>
      </c>
      <c r="AR387" s="296"/>
    </row>
    <row r="388" spans="1:45" ht="35.25" customHeight="1">
      <c r="A388" s="363">
        <f t="shared" si="36"/>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6"/>
        <v>224</v>
      </c>
      <c r="B389" s="365" t="s">
        <v>242</v>
      </c>
      <c r="C389" s="405">
        <v>22.31</v>
      </c>
      <c r="D389" s="406" t="s">
        <v>769</v>
      </c>
      <c r="H389" s="296" t="s">
        <v>773</v>
      </c>
      <c r="K389" s="252">
        <f>(K387/10)</f>
        <v>6376.12</v>
      </c>
      <c r="O389" s="358" t="s">
        <v>1586</v>
      </c>
      <c r="U389" s="252" t="s">
        <v>773</v>
      </c>
      <c r="W389" s="253"/>
      <c r="X389" s="252">
        <f>X387/10</f>
        <v>6586.03</v>
      </c>
      <c r="AB389" s="252">
        <v>1.27</v>
      </c>
      <c r="AC389" s="252" t="s">
        <v>869</v>
      </c>
      <c r="AD389" s="296" t="s">
        <v>1307</v>
      </c>
      <c r="AE389" s="252">
        <f>V380</f>
        <v>3754.86</v>
      </c>
      <c r="AF389" s="296" t="s">
        <v>869</v>
      </c>
      <c r="AG389" s="252">
        <f>(AB389*AE389)</f>
        <v>4768.67</v>
      </c>
      <c r="AN389" s="252">
        <v>0.11</v>
      </c>
      <c r="AO389" s="252" t="s">
        <v>869</v>
      </c>
      <c r="AP389" s="296" t="s">
        <v>1307</v>
      </c>
      <c r="AQ389" s="252">
        <f>AE389</f>
        <v>3754.86</v>
      </c>
      <c r="AR389" s="296" t="s">
        <v>869</v>
      </c>
      <c r="AS389" s="252">
        <f>(AN389*AQ389)</f>
        <v>413.03</v>
      </c>
    </row>
    <row r="390" spans="1:45" ht="24" customHeight="1">
      <c r="A390" s="363">
        <f t="shared" si="36"/>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6"/>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6"/>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52"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6"/>
        <v>228</v>
      </c>
      <c r="B393" s="365" t="s">
        <v>1117</v>
      </c>
      <c r="C393" s="362">
        <v>128</v>
      </c>
      <c r="D393" s="365" t="s">
        <v>1771</v>
      </c>
      <c r="H393" s="358" t="s">
        <v>1586</v>
      </c>
      <c r="M393" s="252">
        <v>2.7</v>
      </c>
      <c r="N393" s="296" t="s">
        <v>868</v>
      </c>
      <c r="O393" s="296" t="s">
        <v>320</v>
      </c>
      <c r="P393" s="252">
        <f>(C13)</f>
        <v>534</v>
      </c>
      <c r="Q393" s="296" t="s">
        <v>868</v>
      </c>
      <c r="R393" s="252">
        <f>(M393*P393)</f>
        <v>1441.8</v>
      </c>
      <c r="U393" s="252"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6"/>
        <v>229</v>
      </c>
      <c r="B394" s="365" t="s">
        <v>1118</v>
      </c>
      <c r="C394" s="362">
        <v>151.4</v>
      </c>
      <c r="D394" s="365" t="s">
        <v>1771</v>
      </c>
      <c r="F394" s="252">
        <v>1.1000000000000001</v>
      </c>
      <c r="G394" s="252" t="s">
        <v>869</v>
      </c>
      <c r="H394" s="296" t="s">
        <v>1119</v>
      </c>
      <c r="I394" s="252">
        <f>(K389)</f>
        <v>6376.12</v>
      </c>
      <c r="J394" s="296" t="s">
        <v>869</v>
      </c>
      <c r="K394" s="252">
        <f>(F394*I394)</f>
        <v>7013.73</v>
      </c>
      <c r="N394" s="296" t="s">
        <v>449</v>
      </c>
      <c r="O394" s="296" t="s">
        <v>1836</v>
      </c>
      <c r="P394" s="296" t="s">
        <v>975</v>
      </c>
      <c r="Q394" s="296" t="s">
        <v>449</v>
      </c>
      <c r="R394" s="252">
        <v>2.09</v>
      </c>
      <c r="S394" s="356">
        <v>1.1200000000000001</v>
      </c>
      <c r="T394" s="252" t="s">
        <v>869</v>
      </c>
      <c r="U394" s="252" t="s">
        <v>1119</v>
      </c>
      <c r="V394" s="252">
        <f>X389</f>
        <v>6586.03</v>
      </c>
      <c r="W394" s="253" t="s">
        <v>869</v>
      </c>
      <c r="X394" s="252">
        <f>V394*S394</f>
        <v>7376.35</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6"/>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52" t="s">
        <v>2009</v>
      </c>
      <c r="V395" s="252">
        <f>I395</f>
        <v>999</v>
      </c>
      <c r="W395" s="253" t="s">
        <v>868</v>
      </c>
      <c r="X395" s="252">
        <f>V395*S395</f>
        <v>999</v>
      </c>
      <c r="AF395" s="296"/>
      <c r="AG395" s="358" t="s">
        <v>1586</v>
      </c>
      <c r="AR395" s="296"/>
      <c r="AS395" s="358" t="s">
        <v>1586</v>
      </c>
    </row>
    <row r="396" spans="1:45" ht="24" customHeight="1">
      <c r="A396" s="363">
        <f t="shared" si="36"/>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52" t="s">
        <v>450</v>
      </c>
      <c r="V396" s="252" t="s">
        <v>975</v>
      </c>
      <c r="W396" s="253" t="s">
        <v>449</v>
      </c>
      <c r="X396" s="252">
        <v>0</v>
      </c>
      <c r="AD396" s="296" t="s">
        <v>614</v>
      </c>
      <c r="AF396" s="296"/>
      <c r="AG396" s="252">
        <f>SUM(AG388:AG394)</f>
        <v>63132.57</v>
      </c>
      <c r="AP396" s="296" t="s">
        <v>4738</v>
      </c>
      <c r="AR396" s="296"/>
      <c r="AS396" s="252">
        <f>SUM(AS388:AS394)</f>
        <v>6831.43</v>
      </c>
    </row>
    <row r="397" spans="1:45" ht="24" customHeight="1">
      <c r="A397" s="363">
        <f t="shared" si="36"/>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6"/>
        <v>233</v>
      </c>
      <c r="B398" s="296" t="s">
        <v>5296</v>
      </c>
      <c r="C398" s="364"/>
      <c r="D398" s="364"/>
      <c r="H398" s="296" t="s">
        <v>441</v>
      </c>
      <c r="K398" s="252">
        <f>SUM(K394:K396)</f>
        <v>8012.73</v>
      </c>
      <c r="O398" s="296" t="s">
        <v>552</v>
      </c>
      <c r="R398" s="252">
        <f>(R396/100)</f>
        <v>33.549999999999997</v>
      </c>
      <c r="U398" s="252" t="s">
        <v>441</v>
      </c>
      <c r="W398" s="253"/>
      <c r="X398" s="252">
        <f>SUM(X394:X396)</f>
        <v>8375.35</v>
      </c>
      <c r="AD398" s="296" t="s">
        <v>773</v>
      </c>
      <c r="AF398" s="296"/>
      <c r="AG398" s="252">
        <f>(AG396/10)</f>
        <v>6313.26</v>
      </c>
      <c r="AP398" s="296" t="s">
        <v>552</v>
      </c>
      <c r="AR398" s="296"/>
      <c r="AS398" s="252">
        <f>(AS396/10.71)</f>
        <v>637.86</v>
      </c>
    </row>
    <row r="399" spans="1:45" ht="24" customHeight="1">
      <c r="A399" s="363">
        <f t="shared" si="36"/>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6"/>
        <v>235</v>
      </c>
      <c r="B400" s="365" t="s">
        <v>1116</v>
      </c>
      <c r="C400" s="362">
        <v>23.2</v>
      </c>
      <c r="D400" s="365" t="s">
        <v>868</v>
      </c>
      <c r="H400" s="296" t="s">
        <v>552</v>
      </c>
      <c r="K400" s="274">
        <f>(K398/10)</f>
        <v>801.27</v>
      </c>
      <c r="N400" s="296" t="s">
        <v>675</v>
      </c>
      <c r="O400" s="296" t="s">
        <v>349</v>
      </c>
      <c r="U400" s="252" t="s">
        <v>552</v>
      </c>
      <c r="W400" s="253"/>
      <c r="X400" s="252">
        <f>X398/10</f>
        <v>837.54</v>
      </c>
      <c r="AF400" s="296"/>
      <c r="AP400" s="296" t="s">
        <v>386</v>
      </c>
      <c r="AR400" s="296">
        <f>AF411</f>
        <v>8.99</v>
      </c>
      <c r="AS400" s="274">
        <f>AS398+AR400</f>
        <v>646.85</v>
      </c>
    </row>
    <row r="401" spans="1:45" ht="24" customHeight="1">
      <c r="A401" s="363">
        <f t="shared" si="36"/>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38">AS400+AR401</f>
        <v>665</v>
      </c>
    </row>
    <row r="402" spans="1:45" ht="24" customHeight="1">
      <c r="A402" s="363">
        <f t="shared" si="36"/>
        <v>237</v>
      </c>
      <c r="B402" s="365" t="s">
        <v>1118</v>
      </c>
      <c r="C402" s="362">
        <v>69.8</v>
      </c>
      <c r="D402" s="365" t="s">
        <v>868</v>
      </c>
      <c r="H402" s="296" t="s">
        <v>386</v>
      </c>
      <c r="J402" s="296">
        <f>K402-K400</f>
        <v>8.68</v>
      </c>
      <c r="K402" s="274">
        <f>(K400+C19/10*F394)</f>
        <v>809.95</v>
      </c>
      <c r="M402" s="252">
        <v>10</v>
      </c>
      <c r="N402" s="296" t="s">
        <v>609</v>
      </c>
      <c r="O402" s="296" t="s">
        <v>1114</v>
      </c>
      <c r="P402" s="252">
        <f>(R398)</f>
        <v>33.549999999999997</v>
      </c>
      <c r="Q402" s="296" t="s">
        <v>609</v>
      </c>
      <c r="R402" s="252">
        <f>(M402*P402)</f>
        <v>335.5</v>
      </c>
      <c r="U402" s="274" t="s">
        <v>386</v>
      </c>
      <c r="W402" s="253">
        <f>0.112*C19</f>
        <v>8.84</v>
      </c>
      <c r="X402" s="274">
        <f>X400+W402</f>
        <v>846.38</v>
      </c>
      <c r="AD402" s="358" t="s">
        <v>1586</v>
      </c>
      <c r="AF402" s="296"/>
      <c r="AP402" s="296" t="s">
        <v>2232</v>
      </c>
      <c r="AR402" s="296">
        <f>AR401</f>
        <v>18.149999999999999</v>
      </c>
      <c r="AS402" s="274">
        <f t="shared" si="38"/>
        <v>683.15</v>
      </c>
    </row>
    <row r="403" spans="1:45" ht="24" customHeight="1">
      <c r="A403" s="363">
        <f t="shared" si="36"/>
        <v>238</v>
      </c>
      <c r="B403" s="365" t="s">
        <v>1120</v>
      </c>
      <c r="C403" s="362">
        <v>87</v>
      </c>
      <c r="D403" s="365" t="s">
        <v>868</v>
      </c>
      <c r="H403" s="296" t="s">
        <v>388</v>
      </c>
      <c r="J403" s="296">
        <f>K403-K402</f>
        <v>17.510000000000002</v>
      </c>
      <c r="K403" s="274">
        <f>(K402+C20/10*F394)</f>
        <v>827.46</v>
      </c>
      <c r="M403" s="252">
        <v>10</v>
      </c>
      <c r="N403" s="296" t="s">
        <v>609</v>
      </c>
      <c r="O403" s="296" t="s">
        <v>1529</v>
      </c>
      <c r="P403" s="252">
        <f>(R398/2)</f>
        <v>16.78</v>
      </c>
      <c r="Q403" s="296" t="s">
        <v>609</v>
      </c>
      <c r="R403" s="252">
        <f>(M403*P403)</f>
        <v>167.8</v>
      </c>
      <c r="U403" s="274" t="s">
        <v>388</v>
      </c>
      <c r="W403" s="253">
        <f>0.112*C20</f>
        <v>17.829999999999998</v>
      </c>
      <c r="X403" s="274">
        <f>X402+W403</f>
        <v>864.21</v>
      </c>
      <c r="AB403" s="252">
        <v>1.1399999999999999</v>
      </c>
      <c r="AC403" s="252" t="s">
        <v>869</v>
      </c>
      <c r="AD403" s="296" t="s">
        <v>1119</v>
      </c>
      <c r="AE403" s="252">
        <f>(AG398)</f>
        <v>6313.26</v>
      </c>
      <c r="AF403" s="296" t="s">
        <v>869</v>
      </c>
      <c r="AG403" s="252">
        <f>(AB403*AE403)</f>
        <v>7197.12</v>
      </c>
      <c r="AP403" s="296" t="s">
        <v>380</v>
      </c>
      <c r="AR403" s="296">
        <f>AR402</f>
        <v>18.149999999999999</v>
      </c>
      <c r="AS403" s="274">
        <f t="shared" si="38"/>
        <v>701.3</v>
      </c>
    </row>
    <row r="404" spans="1:45" ht="24" customHeight="1">
      <c r="A404" s="363">
        <f t="shared" si="36"/>
        <v>239</v>
      </c>
      <c r="B404" s="365" t="s">
        <v>240</v>
      </c>
      <c r="C404" s="362">
        <v>116.3</v>
      </c>
      <c r="D404" s="365" t="s">
        <v>868</v>
      </c>
      <c r="H404" s="296" t="s">
        <v>2232</v>
      </c>
      <c r="K404" s="274">
        <f>(K403+C21/10*F394)</f>
        <v>844.97</v>
      </c>
      <c r="O404" s="296" t="s">
        <v>1530</v>
      </c>
      <c r="R404" s="358" t="s">
        <v>1586</v>
      </c>
      <c r="U404" s="274" t="s">
        <v>2232</v>
      </c>
      <c r="W404" s="253">
        <f>W403</f>
        <v>17.829999999999998</v>
      </c>
      <c r="X404" s="274">
        <f>X403+W404</f>
        <v>882.04</v>
      </c>
      <c r="AB404" s="252">
        <v>1</v>
      </c>
      <c r="AC404" s="252" t="s">
        <v>769</v>
      </c>
      <c r="AD404" s="296" t="s">
        <v>2009</v>
      </c>
      <c r="AE404" s="252">
        <f>AE390</f>
        <v>999</v>
      </c>
      <c r="AF404" s="296" t="s">
        <v>868</v>
      </c>
      <c r="AG404" s="252">
        <f>(AB404*AE404)</f>
        <v>999</v>
      </c>
      <c r="AP404" s="296" t="s">
        <v>1532</v>
      </c>
      <c r="AR404" s="296">
        <f>AR403</f>
        <v>18.149999999999999</v>
      </c>
      <c r="AS404" s="274">
        <f t="shared" si="38"/>
        <v>719.45</v>
      </c>
    </row>
    <row r="405" spans="1:45" ht="24" customHeight="1">
      <c r="A405" s="363">
        <f t="shared" si="36"/>
        <v>240</v>
      </c>
      <c r="B405" s="409" t="s">
        <v>6026</v>
      </c>
      <c r="C405" s="410">
        <v>278.3</v>
      </c>
      <c r="D405" s="411" t="s">
        <v>868</v>
      </c>
      <c r="H405" s="296" t="s">
        <v>380</v>
      </c>
      <c r="K405" s="274">
        <f>(K404+C21/10*F394)</f>
        <v>862.48</v>
      </c>
      <c r="R405" s="252">
        <f>SUM(R402:R403)</f>
        <v>503.3</v>
      </c>
      <c r="U405" s="274" t="s">
        <v>380</v>
      </c>
      <c r="W405" s="253">
        <f>W403</f>
        <v>17.829999999999998</v>
      </c>
      <c r="X405" s="274">
        <f>X404+W405</f>
        <v>899.87</v>
      </c>
      <c r="AC405" s="252" t="s">
        <v>449</v>
      </c>
      <c r="AD405" s="296" t="s">
        <v>450</v>
      </c>
      <c r="AE405" s="296" t="s">
        <v>975</v>
      </c>
      <c r="AF405" s="296" t="s">
        <v>449</v>
      </c>
      <c r="AG405" s="252">
        <v>0</v>
      </c>
      <c r="AP405" s="296" t="s">
        <v>3562</v>
      </c>
      <c r="AR405" s="296">
        <f>AR404</f>
        <v>18.149999999999999</v>
      </c>
      <c r="AS405" s="274">
        <f t="shared" si="38"/>
        <v>737.6</v>
      </c>
    </row>
    <row r="406" spans="1:45" ht="24" customHeight="1">
      <c r="A406" s="363">
        <f t="shared" si="36"/>
        <v>241</v>
      </c>
      <c r="B406" s="296" t="s">
        <v>5297</v>
      </c>
      <c r="C406" s="364"/>
      <c r="D406" s="365" t="s">
        <v>975</v>
      </c>
      <c r="H406" s="296" t="s">
        <v>1532</v>
      </c>
      <c r="K406" s="274">
        <f>(K405+C21/10*F394)</f>
        <v>879.99</v>
      </c>
      <c r="L406" s="252">
        <f>K406-K405</f>
        <v>17.510000000000002</v>
      </c>
      <c r="O406" s="296" t="s">
        <v>441</v>
      </c>
      <c r="R406" s="358" t="s">
        <v>1586</v>
      </c>
      <c r="U406" s="274" t="s">
        <v>1532</v>
      </c>
      <c r="W406" s="253">
        <f>W405</f>
        <v>17.829999999999998</v>
      </c>
      <c r="X406" s="274">
        <f>X405+W406</f>
        <v>917.7</v>
      </c>
      <c r="AF406" s="296"/>
      <c r="AG406" s="358" t="s">
        <v>1586</v>
      </c>
      <c r="AP406" s="296" t="s">
        <v>3563</v>
      </c>
      <c r="AR406" s="296">
        <f>AR405</f>
        <v>18.149999999999999</v>
      </c>
      <c r="AS406" s="274">
        <f t="shared" si="38"/>
        <v>755.75</v>
      </c>
    </row>
    <row r="407" spans="1:45" ht="24" customHeight="1">
      <c r="A407" s="363">
        <f t="shared" si="36"/>
        <v>242</v>
      </c>
      <c r="B407" s="365" t="s">
        <v>1115</v>
      </c>
      <c r="C407" s="362">
        <v>13.6</v>
      </c>
      <c r="D407" s="365" t="s">
        <v>868</v>
      </c>
      <c r="F407" s="369">
        <v>11</v>
      </c>
      <c r="G407" s="252" t="s">
        <v>2251</v>
      </c>
      <c r="H407" s="296" t="s">
        <v>809</v>
      </c>
      <c r="L407" s="252">
        <f>K406+L406</f>
        <v>897.5</v>
      </c>
      <c r="R407" s="252">
        <f>(R405/10)</f>
        <v>50.33</v>
      </c>
      <c r="S407" s="356">
        <v>11</v>
      </c>
      <c r="T407" s="252" t="s">
        <v>2251</v>
      </c>
      <c r="U407" s="252" t="s">
        <v>809</v>
      </c>
      <c r="W407" s="253"/>
      <c r="AD407" s="296" t="s">
        <v>441</v>
      </c>
      <c r="AF407" s="296"/>
      <c r="AG407" s="252">
        <f>SUM(AG403:AG405)</f>
        <v>8196.1200000000008</v>
      </c>
    </row>
    <row r="408" spans="1:45" ht="24" customHeight="1">
      <c r="A408" s="363">
        <f t="shared" si="36"/>
        <v>243</v>
      </c>
      <c r="B408" s="365" t="s">
        <v>1116</v>
      </c>
      <c r="C408" s="362">
        <v>15.9</v>
      </c>
      <c r="D408" s="365" t="s">
        <v>868</v>
      </c>
      <c r="H408" s="252" t="str">
        <f>H309</f>
        <v>Bricks of size 22x11x7 cm</v>
      </c>
      <c r="O408" s="296" t="s">
        <v>552</v>
      </c>
      <c r="R408" s="358" t="s">
        <v>2055</v>
      </c>
      <c r="U408" s="252" t="s">
        <v>427</v>
      </c>
      <c r="W408" s="253"/>
      <c r="AF408" s="296"/>
      <c r="AG408" s="358" t="s">
        <v>1586</v>
      </c>
    </row>
    <row r="409" spans="1:45" ht="24" customHeight="1">
      <c r="A409" s="363">
        <f t="shared" si="36"/>
        <v>244</v>
      </c>
      <c r="B409" s="365" t="s">
        <v>1117</v>
      </c>
      <c r="C409" s="362">
        <v>28.6</v>
      </c>
      <c r="D409" s="365" t="s">
        <v>868</v>
      </c>
      <c r="H409" s="358" t="s">
        <v>1586</v>
      </c>
      <c r="U409" s="252" t="s">
        <v>1586</v>
      </c>
      <c r="W409" s="253"/>
      <c r="AD409" s="296" t="s">
        <v>552</v>
      </c>
      <c r="AF409" s="296"/>
      <c r="AG409" s="274">
        <f>(AG407/10)</f>
        <v>819.61</v>
      </c>
    </row>
    <row r="410" spans="1:45" ht="24" customHeight="1">
      <c r="A410" s="363">
        <f t="shared" si="36"/>
        <v>245</v>
      </c>
      <c r="B410" s="365" t="s">
        <v>1118</v>
      </c>
      <c r="C410" s="362">
        <v>46.5</v>
      </c>
      <c r="D410" s="365" t="s">
        <v>868</v>
      </c>
      <c r="F410" s="252">
        <f>F311</f>
        <v>4800</v>
      </c>
      <c r="G410" s="252" t="s">
        <v>1425</v>
      </c>
      <c r="H410" s="252" t="str">
        <f>H309</f>
        <v>Bricks of size 22x11x7 cm</v>
      </c>
      <c r="I410" s="252">
        <f>(C80)</f>
        <v>5882.89</v>
      </c>
      <c r="J410" s="296" t="s">
        <v>1533</v>
      </c>
      <c r="K410" s="252">
        <f>(F410*I410)/1000</f>
        <v>28237.87</v>
      </c>
      <c r="N410" s="296" t="s">
        <v>2251</v>
      </c>
      <c r="O410" s="296" t="s">
        <v>1534</v>
      </c>
      <c r="S410" s="356">
        <v>4600</v>
      </c>
      <c r="T410" s="252" t="s">
        <v>1425</v>
      </c>
      <c r="U410" s="252" t="s">
        <v>427</v>
      </c>
      <c r="V410" s="252">
        <f t="shared" ref="V410:V415" si="39">V379</f>
        <v>6595</v>
      </c>
      <c r="W410" s="253" t="s">
        <v>1533</v>
      </c>
      <c r="X410" s="252">
        <f>V410*S410/1000</f>
        <v>30337</v>
      </c>
      <c r="AF410" s="296"/>
      <c r="AG410" s="358" t="s">
        <v>2055</v>
      </c>
    </row>
    <row r="411" spans="1:45" ht="24" customHeight="1">
      <c r="A411" s="363">
        <f t="shared" ref="A411:A421" si="40">(A410+1)</f>
        <v>246</v>
      </c>
      <c r="B411" s="365" t="s">
        <v>1120</v>
      </c>
      <c r="C411" s="362">
        <v>58.1</v>
      </c>
      <c r="D411" s="365" t="s">
        <v>868</v>
      </c>
      <c r="F411" s="252">
        <f>F380</f>
        <v>1.59</v>
      </c>
      <c r="G411" s="252" t="s">
        <v>869</v>
      </c>
      <c r="H411" s="296" t="s">
        <v>1307</v>
      </c>
      <c r="I411" s="252">
        <f>(K40)</f>
        <v>3754.86</v>
      </c>
      <c r="J411" s="296" t="s">
        <v>869</v>
      </c>
      <c r="K411" s="252">
        <f>(F411*I411)</f>
        <v>5970.23</v>
      </c>
      <c r="O411" s="296" t="s">
        <v>1535</v>
      </c>
      <c r="S411" s="356">
        <v>1.59</v>
      </c>
      <c r="T411" s="252" t="s">
        <v>869</v>
      </c>
      <c r="U411" s="252" t="s">
        <v>1307</v>
      </c>
      <c r="V411" s="252">
        <f t="shared" si="39"/>
        <v>3754.86</v>
      </c>
      <c r="W411" s="253" t="s">
        <v>869</v>
      </c>
      <c r="X411" s="252">
        <f t="shared" ref="X411:X416" si="41">V411*S411</f>
        <v>5970.23</v>
      </c>
      <c r="AD411" s="296" t="s">
        <v>386</v>
      </c>
      <c r="AF411" s="296">
        <f>C19*0.114</f>
        <v>8.99</v>
      </c>
      <c r="AG411" s="274">
        <f>AG409+AF411</f>
        <v>828.6</v>
      </c>
    </row>
    <row r="412" spans="1:45" ht="24" customHeight="1">
      <c r="A412" s="363">
        <f t="shared" si="40"/>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52" t="s">
        <v>2009</v>
      </c>
      <c r="V412" s="252">
        <f t="shared" si="39"/>
        <v>999</v>
      </c>
      <c r="W412" s="253" t="s">
        <v>868</v>
      </c>
      <c r="X412" s="252">
        <f t="shared" si="41"/>
        <v>6993</v>
      </c>
      <c r="AD412" s="296" t="s">
        <v>388</v>
      </c>
      <c r="AF412" s="296">
        <f>C20*0.114</f>
        <v>18.149999999999999</v>
      </c>
      <c r="AG412" s="274">
        <f t="shared" ref="AG412:AG420" si="42">AG411+AF412</f>
        <v>846.75</v>
      </c>
    </row>
    <row r="413" spans="1:45" ht="24" customHeight="1">
      <c r="A413" s="363">
        <f t="shared" si="40"/>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52" t="s">
        <v>1712</v>
      </c>
      <c r="V413" s="252">
        <f t="shared" si="39"/>
        <v>932</v>
      </c>
      <c r="W413" s="253" t="s">
        <v>868</v>
      </c>
      <c r="X413" s="252">
        <f t="shared" si="41"/>
        <v>6617.2</v>
      </c>
      <c r="AD413" s="296" t="s">
        <v>2232</v>
      </c>
      <c r="AF413" s="296">
        <f t="shared" ref="AF413:AF422" si="43">AF412</f>
        <v>18.149999999999999</v>
      </c>
      <c r="AG413" s="274">
        <f t="shared" si="42"/>
        <v>864.9</v>
      </c>
    </row>
    <row r="414" spans="1:45" ht="24" customHeight="1">
      <c r="A414" s="363">
        <f t="shared" si="40"/>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52" t="s">
        <v>1902</v>
      </c>
      <c r="V414" s="252">
        <f t="shared" si="39"/>
        <v>651</v>
      </c>
      <c r="W414" s="253" t="s">
        <v>868</v>
      </c>
      <c r="X414" s="252">
        <f t="shared" si="41"/>
        <v>4622.1000000000004</v>
      </c>
      <c r="AD414" s="296" t="s">
        <v>380</v>
      </c>
      <c r="AF414" s="296">
        <f t="shared" si="43"/>
        <v>18.149999999999999</v>
      </c>
      <c r="AG414" s="274">
        <f t="shared" si="42"/>
        <v>883.05</v>
      </c>
    </row>
    <row r="415" spans="1:45" ht="24" customHeight="1">
      <c r="A415" s="363">
        <f t="shared" si="40"/>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52" t="s">
        <v>320</v>
      </c>
      <c r="V415" s="252">
        <f t="shared" si="39"/>
        <v>534</v>
      </c>
      <c r="W415" s="253" t="s">
        <v>868</v>
      </c>
      <c r="X415" s="252">
        <f t="shared" si="41"/>
        <v>11320.8</v>
      </c>
      <c r="AD415" s="296" t="s">
        <v>1532</v>
      </c>
      <c r="AF415" s="296">
        <f t="shared" si="43"/>
        <v>18.149999999999999</v>
      </c>
      <c r="AG415" s="274">
        <f t="shared" si="42"/>
        <v>901.2</v>
      </c>
    </row>
    <row r="416" spans="1:45" ht="24" customHeight="1">
      <c r="A416" s="363">
        <f t="shared" si="40"/>
        <v>251</v>
      </c>
      <c r="B416" s="365" t="s">
        <v>1116</v>
      </c>
      <c r="C416" s="362">
        <v>25.4</v>
      </c>
      <c r="D416" s="365" t="s">
        <v>868</v>
      </c>
      <c r="G416" s="252" t="s">
        <v>449</v>
      </c>
      <c r="H416" s="296" t="s">
        <v>450</v>
      </c>
      <c r="I416" s="296" t="s">
        <v>975</v>
      </c>
      <c r="J416" s="296" t="s">
        <v>449</v>
      </c>
      <c r="K416" s="252">
        <v>0</v>
      </c>
      <c r="R416" s="252">
        <f>SUM(R413:R414)</f>
        <v>733.7</v>
      </c>
      <c r="T416" s="252" t="s">
        <v>449</v>
      </c>
      <c r="U416" s="252" t="s">
        <v>450</v>
      </c>
      <c r="V416" s="252" t="s">
        <v>975</v>
      </c>
      <c r="W416" s="253" t="s">
        <v>449</v>
      </c>
      <c r="X416" s="252">
        <f t="shared" si="41"/>
        <v>0</v>
      </c>
      <c r="AD416" s="296" t="s">
        <v>3562</v>
      </c>
      <c r="AF416" s="296">
        <f t="shared" si="43"/>
        <v>18.149999999999999</v>
      </c>
      <c r="AG416" s="274">
        <f t="shared" si="42"/>
        <v>919.35</v>
      </c>
    </row>
    <row r="417" spans="1:35" ht="24" customHeight="1">
      <c r="A417" s="363">
        <f t="shared" si="40"/>
        <v>252</v>
      </c>
      <c r="B417" s="365" t="s">
        <v>1117</v>
      </c>
      <c r="C417" s="362">
        <v>58.1</v>
      </c>
      <c r="D417" s="365" t="s">
        <v>868</v>
      </c>
      <c r="K417" s="358" t="s">
        <v>1586</v>
      </c>
      <c r="O417" s="296" t="s">
        <v>441</v>
      </c>
      <c r="R417" s="358" t="s">
        <v>1586</v>
      </c>
      <c r="W417" s="253"/>
      <c r="X417" s="377" t="s">
        <v>429</v>
      </c>
      <c r="AD417" s="296" t="s">
        <v>3563</v>
      </c>
      <c r="AF417" s="296">
        <f t="shared" si="43"/>
        <v>18.149999999999999</v>
      </c>
      <c r="AG417" s="274">
        <f t="shared" si="42"/>
        <v>937.5</v>
      </c>
    </row>
    <row r="418" spans="1:35" ht="24" customHeight="1">
      <c r="A418" s="363">
        <f t="shared" si="40"/>
        <v>253</v>
      </c>
      <c r="B418" s="365" t="s">
        <v>1118</v>
      </c>
      <c r="C418" s="362">
        <v>87</v>
      </c>
      <c r="D418" s="365" t="s">
        <v>868</v>
      </c>
      <c r="H418" s="296" t="s">
        <v>614</v>
      </c>
      <c r="K418" s="252">
        <f>SUM(K410:K416)</f>
        <v>63761.2</v>
      </c>
      <c r="R418" s="252">
        <f>(R416/10)</f>
        <v>73.37</v>
      </c>
      <c r="U418" s="252" t="s">
        <v>614</v>
      </c>
      <c r="W418" s="253"/>
      <c r="X418" s="252">
        <f>SUM(X410:X416)</f>
        <v>65860.33</v>
      </c>
      <c r="AD418" s="296" t="s">
        <v>3564</v>
      </c>
      <c r="AF418" s="296">
        <f t="shared" si="43"/>
        <v>18.149999999999999</v>
      </c>
      <c r="AG418" s="274">
        <f t="shared" si="42"/>
        <v>955.65</v>
      </c>
    </row>
    <row r="419" spans="1:35" ht="24" customHeight="1">
      <c r="A419" s="363">
        <f t="shared" si="40"/>
        <v>254</v>
      </c>
      <c r="B419" s="365" t="s">
        <v>1120</v>
      </c>
      <c r="C419" s="362">
        <v>98.6</v>
      </c>
      <c r="D419" s="365" t="s">
        <v>868</v>
      </c>
      <c r="K419" s="358" t="s">
        <v>1586</v>
      </c>
      <c r="O419" s="296" t="s">
        <v>552</v>
      </c>
      <c r="R419" s="358" t="s">
        <v>2055</v>
      </c>
      <c r="W419" s="253"/>
      <c r="X419" s="377" t="s">
        <v>429</v>
      </c>
      <c r="AD419" s="296" t="s">
        <v>3586</v>
      </c>
      <c r="AF419" s="296">
        <f t="shared" si="43"/>
        <v>18.149999999999999</v>
      </c>
      <c r="AG419" s="274">
        <f>AG418+AF419</f>
        <v>973.8</v>
      </c>
    </row>
    <row r="420" spans="1:35" ht="24" customHeight="1">
      <c r="A420" s="363">
        <f t="shared" si="40"/>
        <v>255</v>
      </c>
      <c r="B420" s="365" t="s">
        <v>240</v>
      </c>
      <c r="C420" s="362">
        <v>128</v>
      </c>
      <c r="D420" s="365" t="s">
        <v>868</v>
      </c>
      <c r="H420" s="296" t="s">
        <v>773</v>
      </c>
      <c r="K420" s="252">
        <f>(K418/10)</f>
        <v>6376.12</v>
      </c>
      <c r="U420" s="252" t="s">
        <v>773</v>
      </c>
      <c r="W420" s="253"/>
      <c r="X420" s="252">
        <f>X418/10</f>
        <v>6586.03</v>
      </c>
      <c r="AD420" s="296" t="s">
        <v>3584</v>
      </c>
      <c r="AF420" s="296">
        <f t="shared" si="43"/>
        <v>18.149999999999999</v>
      </c>
      <c r="AG420" s="274">
        <f t="shared" si="42"/>
        <v>991.95</v>
      </c>
    </row>
    <row r="421" spans="1:35" ht="24" customHeight="1">
      <c r="A421" s="363">
        <f t="shared" si="40"/>
        <v>256</v>
      </c>
      <c r="B421" s="411" t="s">
        <v>3522</v>
      </c>
      <c r="C421" s="410">
        <v>345.2</v>
      </c>
      <c r="D421" s="411" t="s">
        <v>868</v>
      </c>
      <c r="K421" s="358" t="s">
        <v>2055</v>
      </c>
      <c r="W421" s="253"/>
      <c r="X421" s="377" t="s">
        <v>32</v>
      </c>
      <c r="AB421" s="369">
        <v>11</v>
      </c>
      <c r="AC421" s="252" t="s">
        <v>2251</v>
      </c>
      <c r="AD421" s="296" t="s">
        <v>809</v>
      </c>
      <c r="AF421" s="296">
        <f t="shared" si="43"/>
        <v>18.149999999999999</v>
      </c>
      <c r="AG421" s="274">
        <f>AG420+AF421</f>
        <v>1010.1</v>
      </c>
    </row>
    <row r="422" spans="1:35" ht="24" customHeight="1">
      <c r="A422" s="364"/>
      <c r="B422" s="364"/>
      <c r="C422" s="364"/>
      <c r="D422" s="364"/>
      <c r="F422" s="296" t="s">
        <v>249</v>
      </c>
      <c r="S422" s="356" t="s">
        <v>249</v>
      </c>
      <c r="W422" s="253"/>
      <c r="AD422" s="252">
        <f>AD307</f>
        <v>0</v>
      </c>
      <c r="AF422" s="296">
        <f t="shared" si="43"/>
        <v>18.149999999999999</v>
      </c>
      <c r="AG422" s="274">
        <f>AG421+AF422</f>
        <v>1028.25</v>
      </c>
      <c r="AH422" s="252" t="s">
        <v>4304</v>
      </c>
      <c r="AI422" s="252">
        <f>AG422+AF422</f>
        <v>1046.4000000000001</v>
      </c>
    </row>
    <row r="423" spans="1:35" ht="24" customHeight="1">
      <c r="A423" s="363">
        <f>(A421+1)</f>
        <v>257</v>
      </c>
      <c r="B423" s="412" t="s">
        <v>4577</v>
      </c>
      <c r="C423" s="364"/>
      <c r="D423" s="365" t="s">
        <v>975</v>
      </c>
      <c r="O423" s="253" t="s">
        <v>1538</v>
      </c>
      <c r="W423" s="253"/>
      <c r="AD423" s="358" t="s">
        <v>1586</v>
      </c>
      <c r="AF423" s="296"/>
      <c r="AH423" s="252" t="s">
        <v>4305</v>
      </c>
      <c r="AI423" s="252">
        <f>AI422+AF422</f>
        <v>1064.55</v>
      </c>
    </row>
    <row r="424" spans="1:35" ht="24" customHeight="1">
      <c r="A424" s="363">
        <f t="shared" ref="A424:A487" si="44">(A423+1)</f>
        <v>258</v>
      </c>
      <c r="B424" s="365" t="s">
        <v>1115</v>
      </c>
      <c r="C424" s="362">
        <v>58.1</v>
      </c>
      <c r="D424" s="365" t="s">
        <v>868</v>
      </c>
      <c r="G424" s="252" t="s">
        <v>1539</v>
      </c>
      <c r="H424" s="296" t="s">
        <v>431</v>
      </c>
      <c r="O424" s="358" t="s">
        <v>1586</v>
      </c>
      <c r="T424" s="252" t="s">
        <v>1539</v>
      </c>
      <c r="U424" s="252" t="s">
        <v>431</v>
      </c>
      <c r="W424" s="253"/>
      <c r="AB424" s="252">
        <f>AB311</f>
        <v>4240</v>
      </c>
      <c r="AC424" s="252" t="s">
        <v>1425</v>
      </c>
      <c r="AD424" s="252" t="str">
        <f>AD311</f>
        <v>Bricks of size 23x11.4x7.5 cm</v>
      </c>
      <c r="AE424" s="252">
        <f t="shared" ref="AE424:AE429" si="45">AE388</f>
        <v>6795</v>
      </c>
      <c r="AF424" s="296" t="s">
        <v>1533</v>
      </c>
      <c r="AG424" s="252">
        <f>(AB424*AE424)/1000</f>
        <v>28810.799999999999</v>
      </c>
    </row>
    <row r="425" spans="1:35" ht="24" customHeight="1">
      <c r="A425" s="363">
        <f t="shared" si="44"/>
        <v>259</v>
      </c>
      <c r="B425" s="365" t="s">
        <v>1116</v>
      </c>
      <c r="C425" s="362">
        <v>69.8</v>
      </c>
      <c r="D425" s="365" t="s">
        <v>868</v>
      </c>
      <c r="H425" s="358" t="s">
        <v>1586</v>
      </c>
      <c r="N425" s="296" t="s">
        <v>2251</v>
      </c>
      <c r="O425" s="296" t="s">
        <v>2047</v>
      </c>
      <c r="U425" s="252" t="s">
        <v>1586</v>
      </c>
      <c r="W425" s="253"/>
      <c r="AB425" s="252">
        <v>1.27</v>
      </c>
      <c r="AC425" s="252" t="s">
        <v>869</v>
      </c>
      <c r="AD425" s="296" t="s">
        <v>1307</v>
      </c>
      <c r="AE425" s="252">
        <f t="shared" si="45"/>
        <v>3754.86</v>
      </c>
      <c r="AF425" s="296" t="s">
        <v>869</v>
      </c>
      <c r="AG425" s="252">
        <f>(AB425*AE425)</f>
        <v>4768.67</v>
      </c>
    </row>
    <row r="426" spans="1:35" ht="24" customHeight="1">
      <c r="A426" s="363">
        <f t="shared" si="44"/>
        <v>260</v>
      </c>
      <c r="B426" s="365" t="s">
        <v>1117</v>
      </c>
      <c r="C426" s="362">
        <v>98.6</v>
      </c>
      <c r="D426" s="365" t="s">
        <v>868</v>
      </c>
      <c r="F426" s="252">
        <v>0.7</v>
      </c>
      <c r="G426" s="252" t="s">
        <v>869</v>
      </c>
      <c r="H426" s="296" t="s">
        <v>2279</v>
      </c>
      <c r="I426" s="252">
        <f>(K420)</f>
        <v>6376.12</v>
      </c>
      <c r="J426" s="296" t="s">
        <v>868</v>
      </c>
      <c r="K426" s="252">
        <f>(F426*I426)</f>
        <v>4463.28</v>
      </c>
      <c r="O426" s="296" t="s">
        <v>2048</v>
      </c>
      <c r="S426" s="356">
        <v>0.7</v>
      </c>
      <c r="T426" s="252" t="s">
        <v>869</v>
      </c>
      <c r="U426" s="252" t="s">
        <v>2279</v>
      </c>
      <c r="V426" s="252">
        <f>X420</f>
        <v>6586.03</v>
      </c>
      <c r="W426" s="253" t="s">
        <v>868</v>
      </c>
      <c r="X426" s="252">
        <f>V426*S426</f>
        <v>4610.22</v>
      </c>
      <c r="AB426" s="252">
        <v>7</v>
      </c>
      <c r="AC426" s="252" t="s">
        <v>868</v>
      </c>
      <c r="AD426" s="296" t="s">
        <v>2009</v>
      </c>
      <c r="AE426" s="252">
        <f t="shared" si="45"/>
        <v>999</v>
      </c>
      <c r="AF426" s="296" t="s">
        <v>868</v>
      </c>
      <c r="AG426" s="252">
        <f>(AB426*AE426)</f>
        <v>6993</v>
      </c>
    </row>
    <row r="427" spans="1:35" ht="24" customHeight="1">
      <c r="A427" s="363">
        <f t="shared" si="44"/>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52" t="s">
        <v>2009</v>
      </c>
      <c r="V427" s="252">
        <f>V395</f>
        <v>999</v>
      </c>
      <c r="W427" s="253" t="s">
        <v>868</v>
      </c>
      <c r="X427" s="252">
        <f>V427*S427</f>
        <v>999</v>
      </c>
      <c r="AB427" s="252">
        <v>7.1</v>
      </c>
      <c r="AC427" s="252" t="s">
        <v>868</v>
      </c>
      <c r="AD427" s="296" t="s">
        <v>1712</v>
      </c>
      <c r="AE427" s="252">
        <f t="shared" si="45"/>
        <v>932</v>
      </c>
      <c r="AF427" s="296" t="s">
        <v>868</v>
      </c>
      <c r="AG427" s="252">
        <f>(AB427*AE427)</f>
        <v>6617.2</v>
      </c>
    </row>
    <row r="428" spans="1:35" ht="24" customHeight="1">
      <c r="A428" s="363">
        <f t="shared" si="44"/>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B428" s="252">
        <f>AB315</f>
        <v>7.1</v>
      </c>
      <c r="AC428" s="252" t="s">
        <v>868</v>
      </c>
      <c r="AD428" s="296" t="s">
        <v>1902</v>
      </c>
      <c r="AE428" s="252">
        <f t="shared" si="45"/>
        <v>651</v>
      </c>
      <c r="AF428" s="296" t="s">
        <v>868</v>
      </c>
      <c r="AG428" s="252">
        <f>(AB428*AE428)</f>
        <v>4622.1000000000004</v>
      </c>
    </row>
    <row r="429" spans="1:35" ht="39" customHeight="1">
      <c r="A429" s="363">
        <f t="shared" si="44"/>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5"/>
        <v>534</v>
      </c>
      <c r="AF429" s="296" t="s">
        <v>868</v>
      </c>
      <c r="AG429" s="252">
        <f>(AB429*AE429)</f>
        <v>11320.8</v>
      </c>
    </row>
    <row r="430" spans="1:35" ht="34.5" customHeight="1">
      <c r="A430" s="363">
        <f t="shared" si="44"/>
        <v>264</v>
      </c>
      <c r="B430" s="411" t="s">
        <v>1121</v>
      </c>
      <c r="C430" s="410">
        <v>551</v>
      </c>
      <c r="D430" s="411" t="s">
        <v>868</v>
      </c>
      <c r="H430" s="296" t="s">
        <v>441</v>
      </c>
      <c r="K430" s="252">
        <f>SUM(K426:K428)</f>
        <v>5462.28</v>
      </c>
      <c r="O430" s="358" t="s">
        <v>1586</v>
      </c>
      <c r="U430" s="252" t="s">
        <v>441</v>
      </c>
      <c r="W430" s="253"/>
      <c r="X430" s="252">
        <f>SUM(X426:X428)</f>
        <v>5609.22</v>
      </c>
      <c r="AB430" s="252">
        <f>AB317</f>
        <v>0</v>
      </c>
      <c r="AC430" s="252" t="s">
        <v>449</v>
      </c>
      <c r="AD430" s="296" t="s">
        <v>450</v>
      </c>
      <c r="AE430" s="296" t="s">
        <v>975</v>
      </c>
      <c r="AF430" s="296" t="s">
        <v>449</v>
      </c>
      <c r="AG430" s="252">
        <v>0</v>
      </c>
    </row>
    <row r="431" spans="1:35" ht="24" customHeight="1">
      <c r="A431" s="363">
        <f t="shared" si="44"/>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4"/>
        <v>266</v>
      </c>
      <c r="B432" s="365" t="s">
        <v>1115</v>
      </c>
      <c r="C432" s="314">
        <v>1.8</v>
      </c>
      <c r="D432" s="365" t="s">
        <v>868</v>
      </c>
      <c r="H432" s="296" t="s">
        <v>552</v>
      </c>
      <c r="K432" s="252">
        <f>(K430/10)</f>
        <v>546.23</v>
      </c>
      <c r="M432" s="252">
        <v>8.1</v>
      </c>
      <c r="N432" s="296" t="s">
        <v>869</v>
      </c>
      <c r="O432" s="296" t="s">
        <v>2157</v>
      </c>
      <c r="P432" s="252">
        <f>(C26)</f>
        <v>38.950000000000003</v>
      </c>
      <c r="Q432" s="296" t="s">
        <v>869</v>
      </c>
      <c r="R432" s="252">
        <f>(M432*P432)</f>
        <v>315.5</v>
      </c>
      <c r="U432" s="252" t="s">
        <v>552</v>
      </c>
      <c r="W432" s="253"/>
      <c r="X432" s="252">
        <f>X430/10</f>
        <v>560.91999999999996</v>
      </c>
      <c r="AB432" s="252">
        <f>AB319</f>
        <v>0</v>
      </c>
      <c r="AD432" s="296" t="s">
        <v>614</v>
      </c>
      <c r="AF432" s="296"/>
      <c r="AG432" s="252">
        <f>SUM(AG424:AG431)</f>
        <v>63132.57</v>
      </c>
    </row>
    <row r="433" spans="1:33" ht="42" customHeight="1">
      <c r="A433" s="363">
        <f t="shared" si="44"/>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4"/>
        <v>268</v>
      </c>
      <c r="B434" s="365" t="s">
        <v>1117</v>
      </c>
      <c r="C434" s="314">
        <v>4</v>
      </c>
      <c r="D434" s="365" t="s">
        <v>868</v>
      </c>
      <c r="H434" s="296" t="s">
        <v>386</v>
      </c>
      <c r="K434" s="274">
        <f>(K432+C19/10*F426)</f>
        <v>551.75</v>
      </c>
      <c r="O434" s="296" t="s">
        <v>2159</v>
      </c>
      <c r="U434" s="274" t="s">
        <v>386</v>
      </c>
      <c r="W434" s="253">
        <f>0.07*C19</f>
        <v>5.52</v>
      </c>
      <c r="X434" s="274">
        <f>X432+W434</f>
        <v>566.44000000000005</v>
      </c>
      <c r="AD434" s="296" t="s">
        <v>773</v>
      </c>
      <c r="AF434" s="296"/>
      <c r="AG434" s="252">
        <f>(AG432/10)</f>
        <v>6313.26</v>
      </c>
    </row>
    <row r="435" spans="1:33" ht="24" customHeight="1">
      <c r="A435" s="363">
        <f t="shared" si="44"/>
        <v>269</v>
      </c>
      <c r="B435" s="365" t="s">
        <v>1118</v>
      </c>
      <c r="C435" s="314">
        <v>6.86</v>
      </c>
      <c r="D435" s="365" t="s">
        <v>868</v>
      </c>
      <c r="H435" s="296" t="s">
        <v>388</v>
      </c>
      <c r="K435" s="274">
        <f>(K434+C20/10*F426)</f>
        <v>562.89</v>
      </c>
      <c r="O435" s="296" t="s">
        <v>2160</v>
      </c>
      <c r="U435" s="274" t="s">
        <v>388</v>
      </c>
      <c r="W435" s="253">
        <f>0.07*C20</f>
        <v>11.14</v>
      </c>
      <c r="X435" s="274">
        <f>X434+W435</f>
        <v>577.58000000000004</v>
      </c>
      <c r="AF435" s="296"/>
      <c r="AG435" s="358" t="s">
        <v>2055</v>
      </c>
    </row>
    <row r="436" spans="1:33" ht="24" customHeight="1">
      <c r="A436" s="363">
        <f t="shared" si="44"/>
        <v>270</v>
      </c>
      <c r="B436" s="365" t="s">
        <v>1120</v>
      </c>
      <c r="C436" s="314">
        <v>9.15</v>
      </c>
      <c r="D436" s="365" t="s">
        <v>868</v>
      </c>
      <c r="H436" s="296" t="s">
        <v>2232</v>
      </c>
      <c r="K436" s="274">
        <f>(K435+C21/10*F426)</f>
        <v>574.03</v>
      </c>
      <c r="O436" s="296" t="s">
        <v>2161</v>
      </c>
      <c r="U436" s="274" t="s">
        <v>2232</v>
      </c>
      <c r="W436" s="253">
        <f>W435</f>
        <v>11.14</v>
      </c>
      <c r="X436" s="274">
        <f>X435+W436</f>
        <v>588.72</v>
      </c>
      <c r="AB436" s="296" t="s">
        <v>249</v>
      </c>
      <c r="AF436" s="296"/>
    </row>
    <row r="437" spans="1:33" ht="24" customHeight="1">
      <c r="A437" s="363">
        <f t="shared" si="44"/>
        <v>271</v>
      </c>
      <c r="B437" s="365" t="s">
        <v>240</v>
      </c>
      <c r="C437" s="314">
        <v>14.59</v>
      </c>
      <c r="D437" s="365" t="s">
        <v>868</v>
      </c>
      <c r="H437" s="296" t="s">
        <v>380</v>
      </c>
      <c r="K437" s="274">
        <f>(K436+C21/10*F426)</f>
        <v>585.16999999999996</v>
      </c>
      <c r="O437" s="296" t="s">
        <v>2164</v>
      </c>
      <c r="U437" s="274" t="s">
        <v>380</v>
      </c>
      <c r="W437" s="253">
        <f>W436</f>
        <v>11.14</v>
      </c>
      <c r="X437" s="274">
        <f>X436+W437</f>
        <v>599.86</v>
      </c>
      <c r="AF437" s="296"/>
    </row>
    <row r="438" spans="1:33" ht="24" customHeight="1">
      <c r="A438" s="363"/>
      <c r="B438" s="365"/>
      <c r="C438" s="314"/>
      <c r="D438" s="365"/>
      <c r="H438" s="296" t="s">
        <v>833</v>
      </c>
      <c r="K438" s="274">
        <f>(K437+C20/10*F426)</f>
        <v>596.30999999999995</v>
      </c>
      <c r="O438" s="296"/>
      <c r="U438" s="274" t="s">
        <v>833</v>
      </c>
      <c r="W438" s="253">
        <f>W437</f>
        <v>11.14</v>
      </c>
      <c r="X438" s="274">
        <f>X437+W438</f>
        <v>611</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4"/>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6313.26</v>
      </c>
      <c r="AF440" s="296" t="s">
        <v>868</v>
      </c>
      <c r="AG440" s="252">
        <f>(AB440*AE440)</f>
        <v>4734.95</v>
      </c>
    </row>
    <row r="441" spans="1:33" ht="38.25" customHeight="1">
      <c r="A441" s="363">
        <f t="shared" si="44"/>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4"/>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4"/>
        <v>276</v>
      </c>
      <c r="B443" s="365" t="s">
        <v>1117</v>
      </c>
      <c r="C443" s="362">
        <v>81.400000000000006</v>
      </c>
      <c r="D443" s="365" t="s">
        <v>868</v>
      </c>
      <c r="H443" s="358" t="s">
        <v>1586</v>
      </c>
      <c r="R443" s="358" t="s">
        <v>1586</v>
      </c>
      <c r="W443" s="253"/>
      <c r="AF443" s="296"/>
      <c r="AG443" s="358" t="s">
        <v>1586</v>
      </c>
    </row>
    <row r="444" spans="1:33" ht="24" customHeight="1">
      <c r="A444" s="363">
        <f t="shared" si="44"/>
        <v>277</v>
      </c>
      <c r="B444" s="365" t="s">
        <v>1118</v>
      </c>
      <c r="C444" s="362">
        <v>98.6</v>
      </c>
      <c r="D444" s="365" t="s">
        <v>868</v>
      </c>
      <c r="F444" s="252">
        <v>6570</v>
      </c>
      <c r="G444" s="252" t="s">
        <v>1425</v>
      </c>
      <c r="H444" s="296" t="s">
        <v>1566</v>
      </c>
      <c r="I444" s="252">
        <f>(C77)</f>
        <v>4472.8900000000003</v>
      </c>
      <c r="J444" s="296" t="s">
        <v>1594</v>
      </c>
      <c r="K444" s="252">
        <f>(F444*I444)/1000</f>
        <v>29386.89</v>
      </c>
      <c r="O444" s="296" t="s">
        <v>1544</v>
      </c>
      <c r="R444" s="252">
        <f>SUM(R431:R442)</f>
        <v>2474.41</v>
      </c>
      <c r="W444" s="253"/>
      <c r="AD444" s="296" t="s">
        <v>441</v>
      </c>
      <c r="AF444" s="296"/>
      <c r="AG444" s="252">
        <f>SUM(AG440:AG442)</f>
        <v>5733.95</v>
      </c>
    </row>
    <row r="445" spans="1:33" ht="24" customHeight="1">
      <c r="A445" s="363">
        <f t="shared" si="44"/>
        <v>278</v>
      </c>
      <c r="B445" s="365" t="s">
        <v>1120</v>
      </c>
      <c r="C445" s="362">
        <v>110.2</v>
      </c>
      <c r="D445" s="365" t="s">
        <v>868</v>
      </c>
      <c r="F445" s="252">
        <v>1.91</v>
      </c>
      <c r="G445" s="252" t="s">
        <v>869</v>
      </c>
      <c r="H445" s="296" t="s">
        <v>1307</v>
      </c>
      <c r="I445" s="252">
        <f>(K40)</f>
        <v>3754.86</v>
      </c>
      <c r="J445" s="296" t="s">
        <v>869</v>
      </c>
      <c r="K445" s="252">
        <f>(F445*I445)</f>
        <v>7171.78</v>
      </c>
      <c r="R445" s="358" t="s">
        <v>1586</v>
      </c>
      <c r="W445" s="253"/>
      <c r="AF445" s="296"/>
      <c r="AG445" s="358" t="s">
        <v>1586</v>
      </c>
    </row>
    <row r="446" spans="1:33" ht="24" customHeight="1">
      <c r="A446" s="363">
        <f t="shared" si="44"/>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573.4</v>
      </c>
    </row>
    <row r="447" spans="1:33" ht="24" customHeight="1">
      <c r="A447" s="363">
        <f t="shared" si="44"/>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4"/>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579.32000000000005</v>
      </c>
    </row>
    <row r="449" spans="1:36" ht="24" customHeight="1">
      <c r="A449" s="363">
        <f t="shared" si="44"/>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6">AG448+AF449</f>
        <v>591.26</v>
      </c>
    </row>
    <row r="450" spans="1:36" ht="39" customHeight="1">
      <c r="A450" s="363">
        <f t="shared" si="44"/>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6"/>
        <v>603.20000000000005</v>
      </c>
    </row>
    <row r="451" spans="1:36" ht="24" customHeight="1">
      <c r="A451" s="363">
        <f t="shared" si="44"/>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7">AF450</f>
        <v>11.94</v>
      </c>
      <c r="AG451" s="274">
        <f t="shared" si="46"/>
        <v>615.14</v>
      </c>
    </row>
    <row r="452" spans="1:36" ht="24" customHeight="1">
      <c r="A452" s="363">
        <f t="shared" si="44"/>
        <v>285</v>
      </c>
      <c r="B452" s="365" t="s">
        <v>1118</v>
      </c>
      <c r="C452" s="362">
        <v>58.1</v>
      </c>
      <c r="D452" s="365" t="s">
        <v>868</v>
      </c>
      <c r="H452" s="296" t="s">
        <v>614</v>
      </c>
      <c r="K452" s="252">
        <f>SUM(K444:K450)</f>
        <v>59058.37</v>
      </c>
      <c r="M452" s="252">
        <v>30</v>
      </c>
      <c r="N452" s="296" t="s">
        <v>1771</v>
      </c>
      <c r="O452" s="296" t="s">
        <v>2158</v>
      </c>
      <c r="P452" s="252">
        <f>(C42)</f>
        <v>5</v>
      </c>
      <c r="Q452" s="296" t="s">
        <v>1771</v>
      </c>
      <c r="R452" s="252">
        <f>(M452*P452)</f>
        <v>150</v>
      </c>
      <c r="W452" s="253"/>
      <c r="AD452" s="296" t="s">
        <v>833</v>
      </c>
      <c r="AF452" s="296">
        <f t="shared" si="47"/>
        <v>11.94</v>
      </c>
      <c r="AG452" s="274">
        <f t="shared" si="46"/>
        <v>627.08000000000004</v>
      </c>
      <c r="AJ452" s="252">
        <f>40.81*0.075</f>
        <v>3.06</v>
      </c>
    </row>
    <row r="453" spans="1:36" ht="24" customHeight="1">
      <c r="A453" s="363">
        <f t="shared" si="44"/>
        <v>286</v>
      </c>
      <c r="B453" s="365" t="s">
        <v>1120</v>
      </c>
      <c r="C453" s="362">
        <v>69.8</v>
      </c>
      <c r="D453" s="365" t="s">
        <v>868</v>
      </c>
      <c r="K453" s="358" t="s">
        <v>1586</v>
      </c>
      <c r="O453" s="296" t="s">
        <v>2159</v>
      </c>
      <c r="W453" s="253"/>
      <c r="AD453" s="296" t="s">
        <v>3562</v>
      </c>
      <c r="AE453" s="370">
        <f t="shared" ref="AE453:AE458" si="48">AG453</f>
        <v>639.02</v>
      </c>
      <c r="AF453" s="296">
        <f t="shared" si="47"/>
        <v>11.94</v>
      </c>
      <c r="AG453" s="274">
        <f t="shared" si="46"/>
        <v>639.02</v>
      </c>
    </row>
    <row r="454" spans="1:36" ht="24" customHeight="1">
      <c r="A454" s="363">
        <f t="shared" si="44"/>
        <v>287</v>
      </c>
      <c r="B454" s="365" t="s">
        <v>240</v>
      </c>
      <c r="C454" s="362">
        <v>87</v>
      </c>
      <c r="D454" s="365" t="s">
        <v>868</v>
      </c>
      <c r="H454" s="296" t="s">
        <v>773</v>
      </c>
      <c r="K454" s="252">
        <f>(K452/10)</f>
        <v>5905.84</v>
      </c>
      <c r="O454" s="296" t="s">
        <v>2160</v>
      </c>
      <c r="W454" s="253"/>
      <c r="AD454" s="296" t="s">
        <v>3563</v>
      </c>
      <c r="AE454" s="370">
        <f t="shared" si="48"/>
        <v>650.96</v>
      </c>
      <c r="AF454" s="296">
        <f t="shared" si="47"/>
        <v>11.94</v>
      </c>
      <c r="AG454" s="274">
        <f t="shared" si="46"/>
        <v>650.96</v>
      </c>
    </row>
    <row r="455" spans="1:36" ht="24" customHeight="1">
      <c r="A455" s="363">
        <f t="shared" si="44"/>
        <v>288</v>
      </c>
      <c r="B455" s="411" t="s">
        <v>3523</v>
      </c>
      <c r="C455" s="410">
        <v>18.600000000000001</v>
      </c>
      <c r="D455" s="411" t="s">
        <v>868</v>
      </c>
      <c r="K455" s="358" t="s">
        <v>2055</v>
      </c>
      <c r="O455" s="296" t="s">
        <v>2161</v>
      </c>
      <c r="W455" s="253"/>
      <c r="AD455" s="296" t="s">
        <v>3564</v>
      </c>
      <c r="AE455" s="370">
        <f t="shared" si="48"/>
        <v>662.9</v>
      </c>
      <c r="AF455" s="296">
        <f t="shared" si="47"/>
        <v>11.94</v>
      </c>
      <c r="AG455" s="274">
        <f t="shared" si="46"/>
        <v>662.9</v>
      </c>
    </row>
    <row r="456" spans="1:36" ht="24" customHeight="1">
      <c r="A456" s="363">
        <f t="shared" si="44"/>
        <v>289</v>
      </c>
      <c r="B456" s="365" t="s">
        <v>2288</v>
      </c>
      <c r="C456" s="364"/>
      <c r="D456" s="365" t="s">
        <v>975</v>
      </c>
      <c r="O456" s="296" t="s">
        <v>2164</v>
      </c>
      <c r="W456" s="253"/>
      <c r="AD456" s="296" t="s">
        <v>3586</v>
      </c>
      <c r="AE456" s="370">
        <f t="shared" si="48"/>
        <v>674.84</v>
      </c>
      <c r="AF456" s="296">
        <f t="shared" si="47"/>
        <v>11.94</v>
      </c>
      <c r="AG456" s="274">
        <f t="shared" si="46"/>
        <v>674.84</v>
      </c>
    </row>
    <row r="457" spans="1:36" ht="24" customHeight="1">
      <c r="A457" s="363">
        <f t="shared" si="44"/>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48"/>
        <v>686.78</v>
      </c>
      <c r="AF457" s="296">
        <f t="shared" si="47"/>
        <v>11.94</v>
      </c>
      <c r="AG457" s="274">
        <f t="shared" si="46"/>
        <v>686.78</v>
      </c>
    </row>
    <row r="458" spans="1:36" ht="24" customHeight="1">
      <c r="A458" s="363">
        <f t="shared" si="44"/>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48"/>
        <v>698.72</v>
      </c>
      <c r="AF458" s="296">
        <f t="shared" si="47"/>
        <v>11.94</v>
      </c>
      <c r="AG458" s="274">
        <f t="shared" si="46"/>
        <v>698.72</v>
      </c>
    </row>
    <row r="459" spans="1:36" ht="24" customHeight="1">
      <c r="A459" s="363">
        <f t="shared" si="44"/>
        <v>292</v>
      </c>
      <c r="B459" s="365" t="s">
        <v>1117</v>
      </c>
      <c r="C459" s="413">
        <v>789.6</v>
      </c>
      <c r="D459" s="365" t="s">
        <v>975</v>
      </c>
      <c r="F459" s="252">
        <v>0.5</v>
      </c>
      <c r="G459" s="252" t="s">
        <v>869</v>
      </c>
      <c r="H459" s="296" t="s">
        <v>2279</v>
      </c>
      <c r="I459" s="252">
        <f>(K454)</f>
        <v>5905.84</v>
      </c>
      <c r="J459" s="296" t="s">
        <v>868</v>
      </c>
      <c r="K459" s="252">
        <f>(F459*I459)</f>
        <v>2952.92</v>
      </c>
      <c r="M459" s="252">
        <v>1</v>
      </c>
      <c r="N459" s="296" t="s">
        <v>449</v>
      </c>
      <c r="O459" s="296" t="s">
        <v>1684</v>
      </c>
      <c r="P459" s="252">
        <f>(C56)</f>
        <v>12.1</v>
      </c>
      <c r="Q459" s="296" t="s">
        <v>449</v>
      </c>
      <c r="R459" s="252">
        <f>(M459*P459)</f>
        <v>12.1</v>
      </c>
      <c r="U459" s="414" t="s">
        <v>4015</v>
      </c>
      <c r="W459" s="253"/>
      <c r="Y459" s="356"/>
      <c r="AA459" s="414" t="s">
        <v>4136</v>
      </c>
      <c r="AE459" s="370">
        <f>AG459</f>
        <v>710.66</v>
      </c>
      <c r="AF459" s="296">
        <f>AF458</f>
        <v>11.94</v>
      </c>
      <c r="AG459" s="274">
        <f>AG458+AF459</f>
        <v>710.66</v>
      </c>
    </row>
    <row r="460" spans="1:36" ht="24" customHeight="1">
      <c r="A460" s="363">
        <f t="shared" si="44"/>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296" t="s">
        <v>882</v>
      </c>
      <c r="W460" s="253"/>
      <c r="Y460" s="253" t="s">
        <v>1610</v>
      </c>
      <c r="Z460" s="252" t="s">
        <v>2251</v>
      </c>
      <c r="AA460" s="296" t="s">
        <v>882</v>
      </c>
      <c r="AC460" s="296"/>
      <c r="AE460" s="370">
        <f>AG460</f>
        <v>722.6</v>
      </c>
      <c r="AF460" s="296">
        <f>AF459</f>
        <v>11.94</v>
      </c>
      <c r="AG460" s="274">
        <f>AG459+AF460</f>
        <v>722.6</v>
      </c>
    </row>
    <row r="461" spans="1:36" ht="24" customHeight="1">
      <c r="A461" s="363">
        <f t="shared" si="44"/>
        <v>294</v>
      </c>
      <c r="B461" s="365" t="s">
        <v>4581</v>
      </c>
      <c r="C461" s="252">
        <f>AE50</f>
        <v>5.25</v>
      </c>
      <c r="D461" s="365" t="s">
        <v>868</v>
      </c>
      <c r="G461" s="252" t="s">
        <v>449</v>
      </c>
      <c r="H461" s="296" t="s">
        <v>450</v>
      </c>
      <c r="I461" s="296" t="s">
        <v>975</v>
      </c>
      <c r="J461" s="296" t="s">
        <v>449</v>
      </c>
      <c r="K461" s="252">
        <v>0</v>
      </c>
      <c r="R461" s="358" t="s">
        <v>1586</v>
      </c>
      <c r="S461" s="252"/>
      <c r="U461" s="296" t="s">
        <v>1095</v>
      </c>
      <c r="W461" s="253"/>
      <c r="AA461" s="296" t="s">
        <v>1095</v>
      </c>
      <c r="AC461" s="296"/>
      <c r="AE461" s="370">
        <f t="shared" ref="AE461:AE524" si="49">AG461</f>
        <v>734.54</v>
      </c>
      <c r="AF461" s="296">
        <f>AF460</f>
        <v>11.94</v>
      </c>
      <c r="AG461" s="274">
        <f>AG460+AF461</f>
        <v>734.54</v>
      </c>
    </row>
    <row r="462" spans="1:36" ht="24" customHeight="1">
      <c r="A462" s="363">
        <f t="shared" si="44"/>
        <v>295</v>
      </c>
      <c r="B462" s="365" t="s">
        <v>1081</v>
      </c>
      <c r="C462" s="387">
        <v>350</v>
      </c>
      <c r="D462" s="387">
        <v>375</v>
      </c>
      <c r="K462" s="358" t="s">
        <v>1586</v>
      </c>
      <c r="O462" s="296" t="s">
        <v>1544</v>
      </c>
      <c r="R462" s="252">
        <f>SUM(R450:R460)</f>
        <v>2475.61</v>
      </c>
      <c r="S462" s="252"/>
      <c r="U462" s="296" t="s">
        <v>4008</v>
      </c>
      <c r="W462" s="253"/>
      <c r="AA462" s="296" t="s">
        <v>4008</v>
      </c>
      <c r="AC462" s="296"/>
      <c r="AE462" s="370">
        <f t="shared" si="49"/>
        <v>746.48</v>
      </c>
      <c r="AF462" s="296">
        <f>AF461</f>
        <v>11.94</v>
      </c>
      <c r="AG462" s="274">
        <f>AG461+AF462</f>
        <v>746.48</v>
      </c>
    </row>
    <row r="463" spans="1:36" ht="24" customHeight="1">
      <c r="A463" s="363">
        <f t="shared" si="44"/>
        <v>296</v>
      </c>
      <c r="B463" s="365" t="s">
        <v>2096</v>
      </c>
      <c r="C463" s="387">
        <v>400</v>
      </c>
      <c r="D463" s="387">
        <v>425</v>
      </c>
      <c r="H463" s="296" t="s">
        <v>441</v>
      </c>
      <c r="K463" s="252">
        <f>SUM(K459:K461)</f>
        <v>3951.92</v>
      </c>
      <c r="R463" s="358" t="s">
        <v>1586</v>
      </c>
      <c r="S463" s="252"/>
      <c r="U463" s="358" t="s">
        <v>1586</v>
      </c>
      <c r="W463" s="253"/>
      <c r="AA463" s="358" t="s">
        <v>1586</v>
      </c>
      <c r="AC463" s="296"/>
      <c r="AE463" s="370">
        <f t="shared" si="49"/>
        <v>758.42</v>
      </c>
      <c r="AF463" s="296">
        <f>AF462</f>
        <v>11.94</v>
      </c>
      <c r="AG463" s="274">
        <f>AG462+AF463</f>
        <v>758.42</v>
      </c>
    </row>
    <row r="464" spans="1:36" ht="60.75" customHeight="1">
      <c r="A464" s="363">
        <f t="shared" si="44"/>
        <v>297</v>
      </c>
      <c r="B464" s="365" t="s">
        <v>1058</v>
      </c>
      <c r="C464" s="387">
        <v>450</v>
      </c>
      <c r="D464" s="387">
        <v>500</v>
      </c>
      <c r="K464" s="358" t="s">
        <v>1586</v>
      </c>
      <c r="O464" s="296" t="s">
        <v>1545</v>
      </c>
      <c r="R464" s="252">
        <f>(R462/30)</f>
        <v>82.52</v>
      </c>
      <c r="S464" s="252">
        <v>0.01</v>
      </c>
      <c r="T464" s="252" t="s">
        <v>869</v>
      </c>
      <c r="U464" s="389" t="s">
        <v>4016</v>
      </c>
      <c r="V464" s="252">
        <f>Z718</f>
        <v>7681.28</v>
      </c>
      <c r="W464" s="253" t="s">
        <v>869</v>
      </c>
      <c r="X464" s="252">
        <f>(S464*V464)</f>
        <v>76.81</v>
      </c>
      <c r="Y464" s="252">
        <v>0.01</v>
      </c>
      <c r="Z464" s="252" t="s">
        <v>869</v>
      </c>
      <c r="AA464" s="389" t="s">
        <v>4137</v>
      </c>
      <c r="AB464" s="252">
        <f>Y688</f>
        <v>8225.5400000000009</v>
      </c>
      <c r="AC464" s="296" t="s">
        <v>869</v>
      </c>
      <c r="AD464" s="252">
        <f>(Y464*AB464)</f>
        <v>82.26</v>
      </c>
      <c r="AE464" s="370" t="str">
        <f t="shared" si="49"/>
        <v>|</v>
      </c>
      <c r="AG464" s="296" t="s">
        <v>2259</v>
      </c>
    </row>
    <row r="465" spans="1:33" ht="24" customHeight="1">
      <c r="A465" s="363">
        <f t="shared" si="44"/>
        <v>298</v>
      </c>
      <c r="B465" s="365" t="s">
        <v>1953</v>
      </c>
      <c r="C465" s="387">
        <v>77.819999999999993</v>
      </c>
      <c r="D465" s="365" t="s">
        <v>868</v>
      </c>
      <c r="H465" s="296" t="s">
        <v>552</v>
      </c>
      <c r="K465" s="252">
        <f>(K463/10)</f>
        <v>395.19</v>
      </c>
      <c r="R465" s="358" t="s">
        <v>1586</v>
      </c>
      <c r="S465" s="252">
        <v>0.01</v>
      </c>
      <c r="T465" s="252" t="s">
        <v>869</v>
      </c>
      <c r="U465" s="296" t="s">
        <v>985</v>
      </c>
      <c r="W465" s="253" t="s">
        <v>449</v>
      </c>
      <c r="X465" s="252">
        <v>1.1499999999999999</v>
      </c>
      <c r="Y465" s="252">
        <v>0.01</v>
      </c>
      <c r="Z465" s="252" t="s">
        <v>869</v>
      </c>
      <c r="AA465" s="296" t="s">
        <v>985</v>
      </c>
      <c r="AC465" s="296" t="s">
        <v>449</v>
      </c>
      <c r="AD465" s="252">
        <v>1.1499999999999999</v>
      </c>
      <c r="AE465" s="370" t="str">
        <f t="shared" si="49"/>
        <v>|</v>
      </c>
      <c r="AG465" s="296" t="s">
        <v>2259</v>
      </c>
    </row>
    <row r="466" spans="1:33" ht="24" customHeight="1">
      <c r="A466" s="363">
        <f t="shared" si="44"/>
        <v>299</v>
      </c>
      <c r="B466" s="365" t="s">
        <v>1954</v>
      </c>
      <c r="C466" s="387">
        <v>99.74</v>
      </c>
      <c r="D466" s="365" t="s">
        <v>868</v>
      </c>
      <c r="K466" s="358" t="s">
        <v>2055</v>
      </c>
      <c r="N466" s="296" t="s">
        <v>1955</v>
      </c>
      <c r="O466" s="253" t="s">
        <v>1956</v>
      </c>
      <c r="S466" s="252"/>
      <c r="U466" s="296" t="s">
        <v>130</v>
      </c>
      <c r="W466" s="253"/>
      <c r="AA466" s="296" t="s">
        <v>130</v>
      </c>
      <c r="AC466" s="296"/>
      <c r="AE466" s="370" t="str">
        <f t="shared" si="49"/>
        <v>|</v>
      </c>
      <c r="AG466" s="296" t="s">
        <v>2259</v>
      </c>
    </row>
    <row r="467" spans="1:33" ht="24" customHeight="1">
      <c r="A467" s="363">
        <f t="shared" si="44"/>
        <v>300</v>
      </c>
      <c r="B467" s="365" t="s">
        <v>1117</v>
      </c>
      <c r="C467" s="387">
        <v>165</v>
      </c>
      <c r="D467" s="365" t="s">
        <v>868</v>
      </c>
      <c r="H467" s="296" t="s">
        <v>386</v>
      </c>
      <c r="K467" s="274">
        <f>(K465+C19/10*F459)</f>
        <v>399.14</v>
      </c>
      <c r="O467" s="358" t="s">
        <v>1586</v>
      </c>
      <c r="S467" s="252"/>
      <c r="W467" s="253"/>
      <c r="X467" s="358" t="s">
        <v>1586</v>
      </c>
      <c r="AC467" s="296"/>
      <c r="AD467" s="358" t="s">
        <v>1586</v>
      </c>
      <c r="AE467" s="370" t="str">
        <f t="shared" si="49"/>
        <v>|</v>
      </c>
      <c r="AG467" s="296" t="s">
        <v>2259</v>
      </c>
    </row>
    <row r="468" spans="1:33" ht="24" customHeight="1">
      <c r="A468" s="363">
        <f t="shared" si="44"/>
        <v>301</v>
      </c>
      <c r="B468" s="365" t="s">
        <v>1118</v>
      </c>
      <c r="C468" s="387">
        <v>258</v>
      </c>
      <c r="D468" s="365" t="s">
        <v>868</v>
      </c>
      <c r="H468" s="296" t="s">
        <v>388</v>
      </c>
      <c r="K468" s="274">
        <f>(K467+C20/10*F459)</f>
        <v>407.1</v>
      </c>
      <c r="M468" s="252">
        <v>8.1</v>
      </c>
      <c r="N468" s="296" t="s">
        <v>869</v>
      </c>
      <c r="O468" s="296" t="s">
        <v>617</v>
      </c>
      <c r="P468" s="252">
        <f>(C61)*2</f>
        <v>224.1</v>
      </c>
      <c r="Q468" s="296" t="s">
        <v>869</v>
      </c>
      <c r="R468" s="252">
        <f>(M468*P468)</f>
        <v>1815.21</v>
      </c>
      <c r="S468" s="252"/>
      <c r="U468" s="296" t="s">
        <v>1486</v>
      </c>
      <c r="W468" s="253"/>
      <c r="X468" s="252">
        <f>SUM(X464:X466)</f>
        <v>77.959999999999994</v>
      </c>
      <c r="AA468" s="296" t="s">
        <v>1486</v>
      </c>
      <c r="AC468" s="296"/>
      <c r="AD468" s="252">
        <f>SUM(AD464:AD466)</f>
        <v>83.41</v>
      </c>
      <c r="AE468" s="370" t="str">
        <f t="shared" si="49"/>
        <v>|</v>
      </c>
      <c r="AG468" s="296" t="s">
        <v>2259</v>
      </c>
    </row>
    <row r="469" spans="1:33" ht="24" customHeight="1">
      <c r="A469" s="363">
        <f t="shared" si="44"/>
        <v>302</v>
      </c>
      <c r="B469" s="365" t="s">
        <v>1120</v>
      </c>
      <c r="C469" s="387">
        <v>298</v>
      </c>
      <c r="D469" s="365" t="s">
        <v>868</v>
      </c>
      <c r="H469" s="296" t="s">
        <v>2232</v>
      </c>
      <c r="K469" s="274">
        <f>(K468+C21/10*F459)</f>
        <v>415.06</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49"/>
        <v>|</v>
      </c>
      <c r="AG469" s="296" t="s">
        <v>2259</v>
      </c>
    </row>
    <row r="470" spans="1:33" ht="24" customHeight="1">
      <c r="A470" s="363">
        <f t="shared" si="44"/>
        <v>303</v>
      </c>
      <c r="B470" s="365" t="s">
        <v>240</v>
      </c>
      <c r="C470" s="387">
        <v>398</v>
      </c>
      <c r="D470" s="365" t="s">
        <v>868</v>
      </c>
      <c r="H470" s="296" t="s">
        <v>380</v>
      </c>
      <c r="K470" s="274">
        <f>(K469+C21/10*F459)</f>
        <v>423.02</v>
      </c>
      <c r="L470" s="252">
        <f t="shared" ref="L470:L476" si="50">K470-K469</f>
        <v>7.96</v>
      </c>
      <c r="M470" s="252">
        <v>30</v>
      </c>
      <c r="N470" s="296" t="s">
        <v>1771</v>
      </c>
      <c r="O470" s="296" t="s">
        <v>2158</v>
      </c>
      <c r="P470" s="252">
        <f>(C42)</f>
        <v>5</v>
      </c>
      <c r="Q470" s="296" t="s">
        <v>1771</v>
      </c>
      <c r="R470" s="252">
        <f>(M470*P470)</f>
        <v>150</v>
      </c>
      <c r="S470" s="252"/>
      <c r="U470" s="296" t="s">
        <v>773</v>
      </c>
      <c r="W470" s="253"/>
      <c r="X470" s="252">
        <f>ROUND(X468*100,0)</f>
        <v>7796</v>
      </c>
      <c r="AA470" s="296" t="s">
        <v>773</v>
      </c>
      <c r="AC470" s="296"/>
      <c r="AD470" s="252">
        <f>ROUND(AD468*100,0)</f>
        <v>8341</v>
      </c>
      <c r="AE470" s="370" t="str">
        <f t="shared" si="49"/>
        <v>|</v>
      </c>
      <c r="AG470" s="296" t="s">
        <v>2259</v>
      </c>
    </row>
    <row r="471" spans="1:33" ht="15.75">
      <c r="A471" s="363">
        <f t="shared" si="44"/>
        <v>304</v>
      </c>
      <c r="B471" s="365" t="s">
        <v>1121</v>
      </c>
      <c r="C471" s="387"/>
      <c r="D471" s="365" t="s">
        <v>868</v>
      </c>
      <c r="H471" s="296" t="s">
        <v>1532</v>
      </c>
      <c r="K471" s="274">
        <f>(K470+C21/10*F459)</f>
        <v>430.98</v>
      </c>
      <c r="L471" s="252">
        <f t="shared" si="50"/>
        <v>7.96</v>
      </c>
      <c r="O471" s="296" t="s">
        <v>2159</v>
      </c>
      <c r="S471" s="296" t="s">
        <v>975</v>
      </c>
      <c r="W471" s="253"/>
      <c r="Y471" s="296" t="s">
        <v>975</v>
      </c>
      <c r="AC471" s="296"/>
      <c r="AE471" s="370" t="str">
        <f t="shared" si="49"/>
        <v>|</v>
      </c>
      <c r="AG471" s="296" t="s">
        <v>2259</v>
      </c>
    </row>
    <row r="472" spans="1:33" ht="15.75">
      <c r="A472" s="363"/>
      <c r="B472" s="365"/>
      <c r="C472" s="364"/>
      <c r="D472" s="365"/>
      <c r="H472" s="296">
        <v>5</v>
      </c>
      <c r="K472" s="274">
        <f>(K471+C21/10*F459)</f>
        <v>438.94</v>
      </c>
      <c r="L472" s="252">
        <f t="shared" si="50"/>
        <v>7.96</v>
      </c>
      <c r="O472" s="296"/>
      <c r="S472" s="252"/>
      <c r="W472" s="253"/>
      <c r="X472" s="358" t="s">
        <v>2055</v>
      </c>
      <c r="AC472" s="296"/>
      <c r="AD472" s="358" t="s">
        <v>2055</v>
      </c>
      <c r="AE472" s="370"/>
      <c r="AG472" s="296"/>
    </row>
    <row r="473" spans="1:33" ht="15.75">
      <c r="A473" s="363"/>
      <c r="B473" s="365"/>
      <c r="C473" s="364"/>
      <c r="D473" s="365"/>
      <c r="H473" s="296">
        <v>6</v>
      </c>
      <c r="K473" s="274">
        <f>(K472+C21/10*F459)</f>
        <v>446.9</v>
      </c>
      <c r="L473" s="252">
        <f t="shared" si="50"/>
        <v>7.96</v>
      </c>
      <c r="O473" s="296"/>
      <c r="S473" s="252"/>
      <c r="T473" s="252" t="s">
        <v>675</v>
      </c>
      <c r="U473" s="296" t="s">
        <v>990</v>
      </c>
      <c r="W473" s="253"/>
      <c r="Z473" s="252" t="s">
        <v>675</v>
      </c>
      <c r="AA473" s="296" t="s">
        <v>990</v>
      </c>
      <c r="AC473" s="296"/>
      <c r="AE473" s="370"/>
      <c r="AG473" s="296"/>
    </row>
    <row r="474" spans="1:33" ht="15.75">
      <c r="A474" s="363"/>
      <c r="B474" s="365"/>
      <c r="C474" s="364"/>
      <c r="D474" s="365"/>
      <c r="H474" s="296">
        <v>7</v>
      </c>
      <c r="K474" s="274">
        <f>(K473+C21/10*F459)</f>
        <v>454.86</v>
      </c>
      <c r="L474" s="252">
        <f t="shared" si="50"/>
        <v>7.96</v>
      </c>
      <c r="O474" s="296"/>
      <c r="S474" s="252"/>
      <c r="U474" s="296" t="s">
        <v>1653</v>
      </c>
      <c r="W474" s="253"/>
      <c r="AA474" s="296" t="s">
        <v>1653</v>
      </c>
      <c r="AC474" s="296"/>
      <c r="AE474" s="370"/>
      <c r="AG474" s="296"/>
    </row>
    <row r="475" spans="1:33" ht="15.75">
      <c r="A475" s="363"/>
      <c r="B475" s="365"/>
      <c r="C475" s="364"/>
      <c r="D475" s="365"/>
      <c r="H475" s="296">
        <v>8</v>
      </c>
      <c r="K475" s="274">
        <f>(K474+C21/10*F459)</f>
        <v>462.82</v>
      </c>
      <c r="L475" s="252">
        <f t="shared" si="50"/>
        <v>7.96</v>
      </c>
      <c r="O475" s="296"/>
      <c r="S475" s="252"/>
      <c r="U475" s="358" t="s">
        <v>1586</v>
      </c>
      <c r="W475" s="253"/>
      <c r="AA475" s="358" t="s">
        <v>1586</v>
      </c>
      <c r="AC475" s="296"/>
      <c r="AE475" s="370"/>
      <c r="AG475" s="296"/>
    </row>
    <row r="476" spans="1:33" ht="15.75">
      <c r="A476" s="363"/>
      <c r="B476" s="365"/>
      <c r="C476" s="364"/>
      <c r="D476" s="365"/>
      <c r="H476" s="296">
        <v>9</v>
      </c>
      <c r="K476" s="274">
        <f>(K475+C21/10*F459)</f>
        <v>470.78</v>
      </c>
      <c r="L476" s="252">
        <f t="shared" si="50"/>
        <v>7.96</v>
      </c>
      <c r="O476" s="296"/>
      <c r="S476" s="356">
        <v>1.4E-2</v>
      </c>
      <c r="T476" s="252" t="s">
        <v>869</v>
      </c>
      <c r="U476" s="296" t="s">
        <v>1325</v>
      </c>
      <c r="V476" s="252">
        <f>X470</f>
        <v>7796</v>
      </c>
      <c r="W476" s="253" t="s">
        <v>869</v>
      </c>
      <c r="X476" s="252">
        <f>(S476*V476)</f>
        <v>109.14</v>
      </c>
      <c r="Y476" s="356">
        <v>1.4E-2</v>
      </c>
      <c r="Z476" s="252" t="s">
        <v>869</v>
      </c>
      <c r="AA476" s="296" t="s">
        <v>1325</v>
      </c>
      <c r="AB476" s="252">
        <f>AD470</f>
        <v>8341</v>
      </c>
      <c r="AC476" s="296" t="s">
        <v>869</v>
      </c>
      <c r="AD476" s="252">
        <f>(Y476*AB476)</f>
        <v>116.77</v>
      </c>
      <c r="AE476" s="370"/>
      <c r="AG476" s="296"/>
    </row>
    <row r="477" spans="1:33" ht="15.75">
      <c r="A477" s="363"/>
      <c r="B477" s="365"/>
      <c r="C477" s="364"/>
      <c r="D477" s="365"/>
      <c r="H477" s="296">
        <v>10</v>
      </c>
      <c r="K477" s="274">
        <f>(K476+C21/10*F459)</f>
        <v>478.74</v>
      </c>
      <c r="L477" s="252">
        <f>K477-K476</f>
        <v>7.96</v>
      </c>
      <c r="O477" s="296"/>
      <c r="U477" s="296"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486.7</v>
      </c>
      <c r="L478" s="252">
        <f>K478-K477</f>
        <v>7.96</v>
      </c>
      <c r="O478" s="296"/>
      <c r="S478" s="252">
        <v>0.5</v>
      </c>
      <c r="T478" s="252" t="s">
        <v>769</v>
      </c>
      <c r="U478" s="296"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5865</v>
      </c>
      <c r="C479" s="364"/>
      <c r="D479" s="365" t="s">
        <v>868</v>
      </c>
      <c r="F479" s="253" t="s">
        <v>1957</v>
      </c>
      <c r="G479" s="252" t="s">
        <v>2251</v>
      </c>
      <c r="H479" s="296" t="s">
        <v>1958</v>
      </c>
      <c r="K479" s="274">
        <f>(K478+C21/10*F459)</f>
        <v>494.66</v>
      </c>
      <c r="L479" s="252">
        <f>K479-K478</f>
        <v>7.96</v>
      </c>
      <c r="O479" s="296" t="s">
        <v>2160</v>
      </c>
      <c r="S479" s="252">
        <v>0.75</v>
      </c>
      <c r="T479" s="252" t="s">
        <v>769</v>
      </c>
      <c r="U479" s="296"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49"/>
        <v>|</v>
      </c>
      <c r="AG479" s="296" t="s">
        <v>2259</v>
      </c>
    </row>
    <row r="480" spans="1:33" ht="50.25" customHeight="1">
      <c r="A480" s="363">
        <f t="shared" si="44"/>
        <v>306</v>
      </c>
      <c r="B480" s="365" t="s">
        <v>1115</v>
      </c>
      <c r="C480" s="413">
        <v>168</v>
      </c>
      <c r="D480" s="365" t="s">
        <v>868</v>
      </c>
      <c r="H480" s="296" t="s">
        <v>2238</v>
      </c>
      <c r="O480" s="296" t="s">
        <v>2161</v>
      </c>
      <c r="S480" s="252"/>
      <c r="T480" s="252" t="s">
        <v>449</v>
      </c>
      <c r="U480" s="296" t="s">
        <v>450</v>
      </c>
      <c r="W480" s="253" t="s">
        <v>449</v>
      </c>
      <c r="X480" s="252">
        <v>0</v>
      </c>
      <c r="Z480" s="252" t="s">
        <v>449</v>
      </c>
      <c r="AA480" s="296" t="s">
        <v>450</v>
      </c>
      <c r="AB480" s="252">
        <f>V480</f>
        <v>0</v>
      </c>
      <c r="AC480" s="296" t="s">
        <v>449</v>
      </c>
      <c r="AD480" s="252">
        <v>0</v>
      </c>
      <c r="AE480" s="370" t="str">
        <f t="shared" si="49"/>
        <v>|</v>
      </c>
      <c r="AG480" s="296" t="s">
        <v>2259</v>
      </c>
    </row>
    <row r="481" spans="1:33" ht="30.75" customHeight="1">
      <c r="A481" s="363">
        <f t="shared" si="44"/>
        <v>307</v>
      </c>
      <c r="B481" s="365" t="s">
        <v>1116</v>
      </c>
      <c r="C481" s="362">
        <v>350</v>
      </c>
      <c r="D481" s="365" t="s">
        <v>868</v>
      </c>
      <c r="H481" s="358" t="s">
        <v>1586</v>
      </c>
      <c r="O481" s="296" t="s">
        <v>2164</v>
      </c>
      <c r="S481" s="252"/>
      <c r="W481" s="253"/>
      <c r="X481" s="358" t="s">
        <v>1586</v>
      </c>
      <c r="AC481" s="296"/>
      <c r="AD481" s="358" t="s">
        <v>1586</v>
      </c>
      <c r="AE481" s="370" t="str">
        <f t="shared" si="49"/>
        <v>|</v>
      </c>
      <c r="AG481" s="296" t="s">
        <v>2259</v>
      </c>
    </row>
    <row r="482" spans="1:33" ht="24" customHeight="1">
      <c r="A482" s="363">
        <f t="shared" si="44"/>
        <v>308</v>
      </c>
      <c r="B482" s="365" t="s">
        <v>1117</v>
      </c>
      <c r="C482" s="362">
        <v>592</v>
      </c>
      <c r="D482" s="365" t="s">
        <v>868</v>
      </c>
      <c r="F482" s="252">
        <v>1</v>
      </c>
      <c r="G482" s="252" t="s">
        <v>869</v>
      </c>
      <c r="H482" s="296" t="s">
        <v>6044</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296" t="s">
        <v>102</v>
      </c>
      <c r="W482" s="253"/>
      <c r="X482" s="252">
        <f>SUM(X476:X480)</f>
        <v>1096.8900000000001</v>
      </c>
      <c r="AA482" s="296" t="s">
        <v>102</v>
      </c>
      <c r="AC482" s="296"/>
      <c r="AD482" s="252">
        <f>SUM(AD476:AD480)</f>
        <v>1104.52</v>
      </c>
      <c r="AE482" s="370" t="str">
        <f t="shared" si="49"/>
        <v>|</v>
      </c>
      <c r="AG482" s="296" t="s">
        <v>2259</v>
      </c>
    </row>
    <row r="483" spans="1:33" ht="24" customHeight="1">
      <c r="A483" s="363">
        <f t="shared" si="44"/>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49"/>
        <v>|</v>
      </c>
      <c r="AG483" s="296" t="s">
        <v>2259</v>
      </c>
    </row>
    <row r="484" spans="1:33" ht="24" customHeight="1">
      <c r="A484" s="363">
        <f t="shared" si="44"/>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2948.63</v>
      </c>
      <c r="AA484" s="296" t="s">
        <v>552</v>
      </c>
      <c r="AC484" s="296"/>
      <c r="AD484" s="252">
        <f>(AD482/0.372)</f>
        <v>2969.14</v>
      </c>
      <c r="AE484" s="370" t="str">
        <f t="shared" si="49"/>
        <v>|</v>
      </c>
      <c r="AG484" s="296" t="s">
        <v>2259</v>
      </c>
    </row>
    <row r="485" spans="1:33" ht="24" customHeight="1">
      <c r="A485" s="363">
        <f t="shared" si="44"/>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49"/>
        <v>|</v>
      </c>
      <c r="AG485" s="296" t="s">
        <v>2259</v>
      </c>
    </row>
    <row r="486" spans="1:33" ht="24" customHeight="1">
      <c r="A486" s="363">
        <f t="shared" si="44"/>
        <v>312</v>
      </c>
      <c r="B486" s="365" t="s">
        <v>1121</v>
      </c>
      <c r="C486" s="362">
        <v>1523</v>
      </c>
      <c r="D486" s="365" t="s">
        <v>868</v>
      </c>
      <c r="F486" s="296" t="s">
        <v>975</v>
      </c>
      <c r="H486" s="358" t="s">
        <v>2299</v>
      </c>
      <c r="R486" s="358" t="s">
        <v>1586</v>
      </c>
      <c r="S486" s="252"/>
      <c r="U486" s="296" t="s">
        <v>386</v>
      </c>
      <c r="V486" s="252">
        <f>X484</f>
        <v>2948.63</v>
      </c>
      <c r="W486" s="253">
        <f>J659</f>
        <v>4.51</v>
      </c>
      <c r="X486" s="274">
        <f>V486+W486</f>
        <v>2953.14</v>
      </c>
      <c r="AA486" s="296" t="s">
        <v>386</v>
      </c>
      <c r="AB486" s="252">
        <f>AD484</f>
        <v>2969.14</v>
      </c>
      <c r="AC486" s="296">
        <f>W486</f>
        <v>4.51</v>
      </c>
      <c r="AD486" s="274">
        <f>AB486+AC486</f>
        <v>2973.65</v>
      </c>
      <c r="AE486" s="370" t="str">
        <f t="shared" si="49"/>
        <v>|</v>
      </c>
      <c r="AG486" s="296" t="s">
        <v>2259</v>
      </c>
    </row>
    <row r="487" spans="1:33" ht="24" customHeight="1">
      <c r="A487" s="363">
        <f t="shared" si="44"/>
        <v>313</v>
      </c>
      <c r="B487" s="412" t="s">
        <v>5866</v>
      </c>
      <c r="C487" s="364"/>
      <c r="D487" s="365"/>
      <c r="F487" s="252">
        <v>0.13</v>
      </c>
      <c r="G487" s="252" t="s">
        <v>869</v>
      </c>
      <c r="H487" s="296" t="s">
        <v>1307</v>
      </c>
      <c r="I487" s="252">
        <f>(K40)</f>
        <v>3754.86</v>
      </c>
      <c r="J487" s="296" t="s">
        <v>869</v>
      </c>
      <c r="K487" s="252">
        <f t="shared" ref="K487:K492" si="51">(F487*I487)</f>
        <v>488.13</v>
      </c>
      <c r="O487" s="296" t="s">
        <v>1544</v>
      </c>
      <c r="R487" s="252">
        <f>SUM(R468:R485)</f>
        <v>2606.81</v>
      </c>
      <c r="S487" s="252"/>
      <c r="U487" s="296" t="s">
        <v>388</v>
      </c>
      <c r="V487" s="252">
        <f>X486</f>
        <v>2953.14</v>
      </c>
      <c r="W487" s="253">
        <f>J662</f>
        <v>8.89</v>
      </c>
      <c r="X487" s="274">
        <f>V487+W487</f>
        <v>2962.03</v>
      </c>
      <c r="AA487" s="296" t="s">
        <v>388</v>
      </c>
      <c r="AB487" s="252">
        <f>AD486</f>
        <v>2973.65</v>
      </c>
      <c r="AC487" s="296">
        <f>W487</f>
        <v>8.89</v>
      </c>
      <c r="AD487" s="274">
        <f>AB487+AC487</f>
        <v>2982.54</v>
      </c>
      <c r="AE487" s="370" t="str">
        <f t="shared" si="49"/>
        <v>|</v>
      </c>
      <c r="AG487" s="296" t="s">
        <v>2259</v>
      </c>
    </row>
    <row r="488" spans="1:33" ht="24" customHeight="1">
      <c r="A488" s="363">
        <f t="shared" ref="A488:A494" si="52">(A487+1)</f>
        <v>314</v>
      </c>
      <c r="B488" s="365" t="s">
        <v>1115</v>
      </c>
      <c r="C488" s="362">
        <v>169</v>
      </c>
      <c r="D488" s="365" t="s">
        <v>868</v>
      </c>
      <c r="F488" s="252">
        <v>0.7</v>
      </c>
      <c r="G488" s="252" t="s">
        <v>769</v>
      </c>
      <c r="H488" s="296" t="s">
        <v>2009</v>
      </c>
      <c r="I488" s="252">
        <f>(C10)</f>
        <v>999</v>
      </c>
      <c r="J488" s="296" t="s">
        <v>769</v>
      </c>
      <c r="K488" s="252">
        <f t="shared" si="51"/>
        <v>699.3</v>
      </c>
      <c r="R488" s="358" t="s">
        <v>1586</v>
      </c>
      <c r="S488" s="252"/>
      <c r="U488" s="296" t="s">
        <v>2232</v>
      </c>
      <c r="V488" s="252">
        <f>X487</f>
        <v>2962.03</v>
      </c>
      <c r="W488" s="253">
        <f>J663</f>
        <v>8.89</v>
      </c>
      <c r="X488" s="274">
        <f>V488+W488</f>
        <v>2970.92</v>
      </c>
      <c r="AA488" s="296" t="s">
        <v>2232</v>
      </c>
      <c r="AB488" s="252">
        <f>AD487</f>
        <v>2982.54</v>
      </c>
      <c r="AC488" s="296">
        <f>W488</f>
        <v>8.89</v>
      </c>
      <c r="AD488" s="274">
        <f>AB488+AC488</f>
        <v>2991.43</v>
      </c>
      <c r="AE488" s="370" t="str">
        <f t="shared" si="49"/>
        <v>|</v>
      </c>
      <c r="AG488" s="296" t="s">
        <v>2259</v>
      </c>
    </row>
    <row r="489" spans="1:33" ht="33.75" customHeight="1">
      <c r="A489" s="363">
        <f t="shared" si="52"/>
        <v>315</v>
      </c>
      <c r="B489" s="365" t="s">
        <v>1116</v>
      </c>
      <c r="C489" s="362">
        <v>241</v>
      </c>
      <c r="D489" s="365" t="s">
        <v>868</v>
      </c>
      <c r="F489" s="252">
        <v>0.7</v>
      </c>
      <c r="G489" s="252" t="s">
        <v>769</v>
      </c>
      <c r="H489" s="296" t="s">
        <v>1712</v>
      </c>
      <c r="I489" s="252">
        <f>(C11)</f>
        <v>932</v>
      </c>
      <c r="J489" s="296" t="s">
        <v>769</v>
      </c>
      <c r="K489" s="252">
        <f t="shared" si="51"/>
        <v>652.4</v>
      </c>
      <c r="O489" s="296" t="s">
        <v>1545</v>
      </c>
      <c r="R489" s="252">
        <f>(R487/30)</f>
        <v>86.89</v>
      </c>
      <c r="S489" s="252"/>
      <c r="U489" s="296" t="s">
        <v>380</v>
      </c>
      <c r="V489" s="252">
        <f>X488</f>
        <v>2970.92</v>
      </c>
      <c r="W489" s="253">
        <f>J664</f>
        <v>8.89</v>
      </c>
      <c r="X489" s="274">
        <f>V489+W489</f>
        <v>2979.81</v>
      </c>
      <c r="AA489" s="296" t="s">
        <v>380</v>
      </c>
      <c r="AB489" s="252">
        <f>AD488</f>
        <v>2991.43</v>
      </c>
      <c r="AC489" s="296">
        <f>W489</f>
        <v>8.89</v>
      </c>
      <c r="AD489" s="274">
        <f>AB489+AC489</f>
        <v>3000.32</v>
      </c>
      <c r="AE489" s="370" t="str">
        <f t="shared" si="49"/>
        <v>|</v>
      </c>
      <c r="AG489" s="296" t="s">
        <v>2259</v>
      </c>
    </row>
    <row r="490" spans="1:33" ht="24" customHeight="1">
      <c r="A490" s="363">
        <f t="shared" si="52"/>
        <v>316</v>
      </c>
      <c r="B490" s="365" t="s">
        <v>1117</v>
      </c>
      <c r="C490" s="362">
        <v>351</v>
      </c>
      <c r="D490" s="365" t="s">
        <v>868</v>
      </c>
      <c r="F490" s="252">
        <v>1.5</v>
      </c>
      <c r="G490" s="252" t="s">
        <v>769</v>
      </c>
      <c r="H490" s="296" t="s">
        <v>1902</v>
      </c>
      <c r="I490" s="252">
        <f>(C12)</f>
        <v>651</v>
      </c>
      <c r="J490" s="296" t="s">
        <v>769</v>
      </c>
      <c r="K490" s="252">
        <f t="shared" si="51"/>
        <v>976.5</v>
      </c>
      <c r="R490" s="358" t="s">
        <v>1586</v>
      </c>
      <c r="S490" s="252"/>
      <c r="U490" s="296" t="s">
        <v>1364</v>
      </c>
      <c r="V490" s="252">
        <f>X489</f>
        <v>2979.81</v>
      </c>
      <c r="W490" s="253">
        <f>J665</f>
        <v>8.89</v>
      </c>
      <c r="X490" s="274">
        <f>V490+W490</f>
        <v>2988.7</v>
      </c>
      <c r="AA490" s="296" t="s">
        <v>1364</v>
      </c>
      <c r="AB490" s="252">
        <f>AD489</f>
        <v>3000.32</v>
      </c>
      <c r="AC490" s="296">
        <f>W490</f>
        <v>8.89</v>
      </c>
      <c r="AD490" s="274">
        <f>AB490+AC490</f>
        <v>3009.21</v>
      </c>
      <c r="AE490" s="370" t="str">
        <f t="shared" si="49"/>
        <v>|</v>
      </c>
      <c r="AG490" s="296" t="s">
        <v>2259</v>
      </c>
    </row>
    <row r="491" spans="1:33" ht="24" customHeight="1">
      <c r="A491" s="363">
        <f t="shared" si="52"/>
        <v>317</v>
      </c>
      <c r="B491" s="365" t="s">
        <v>1118</v>
      </c>
      <c r="C491" s="362">
        <v>513</v>
      </c>
      <c r="D491" s="365" t="s">
        <v>868</v>
      </c>
      <c r="F491" s="252">
        <v>0.5</v>
      </c>
      <c r="G491" s="252" t="s">
        <v>769</v>
      </c>
      <c r="H491" s="296" t="s">
        <v>320</v>
      </c>
      <c r="I491" s="252">
        <f>(C13)</f>
        <v>534</v>
      </c>
      <c r="J491" s="296" t="s">
        <v>769</v>
      </c>
      <c r="K491" s="252">
        <f t="shared" si="51"/>
        <v>267</v>
      </c>
      <c r="M491" s="296" t="s">
        <v>975</v>
      </c>
      <c r="W491" s="253"/>
      <c r="Y491" s="356"/>
      <c r="AA491" s="296" t="s">
        <v>3562</v>
      </c>
      <c r="AC491" s="296">
        <f t="shared" ref="AC491:AC497" si="53">AC490</f>
        <v>8.89</v>
      </c>
      <c r="AD491" s="274">
        <f t="shared" ref="AD491:AD497" si="54">AD490+AC491</f>
        <v>3018.1</v>
      </c>
      <c r="AE491" s="370" t="str">
        <f t="shared" si="49"/>
        <v>|</v>
      </c>
      <c r="AG491" s="296" t="s">
        <v>2259</v>
      </c>
    </row>
    <row r="492" spans="1:33" ht="24" customHeight="1">
      <c r="A492" s="363">
        <f t="shared" si="52"/>
        <v>318</v>
      </c>
      <c r="B492" s="365" t="s">
        <v>1120</v>
      </c>
      <c r="C492" s="362">
        <v>652</v>
      </c>
      <c r="D492" s="365" t="s">
        <v>868</v>
      </c>
      <c r="F492" s="252">
        <v>0.94</v>
      </c>
      <c r="G492" s="252" t="s">
        <v>1645</v>
      </c>
      <c r="H492" s="296" t="s">
        <v>911</v>
      </c>
      <c r="I492" s="252">
        <f>C653</f>
        <v>42.7</v>
      </c>
      <c r="J492" s="296" t="s">
        <v>1645</v>
      </c>
      <c r="K492" s="252">
        <f t="shared" si="51"/>
        <v>40.14</v>
      </c>
      <c r="N492" s="296" t="s">
        <v>2251</v>
      </c>
      <c r="O492" s="296" t="s">
        <v>2047</v>
      </c>
      <c r="W492" s="253"/>
      <c r="Y492" s="356"/>
      <c r="AA492" s="296" t="s">
        <v>3563</v>
      </c>
      <c r="AC492" s="296">
        <f t="shared" si="53"/>
        <v>8.89</v>
      </c>
      <c r="AD492" s="274">
        <f t="shared" si="54"/>
        <v>3026.99</v>
      </c>
      <c r="AE492" s="370" t="str">
        <f t="shared" si="49"/>
        <v>|</v>
      </c>
      <c r="AG492" s="296" t="s">
        <v>2259</v>
      </c>
    </row>
    <row r="493" spans="1:33" ht="24" customHeight="1">
      <c r="A493" s="363">
        <f t="shared" si="52"/>
        <v>319</v>
      </c>
      <c r="B493" s="365" t="s">
        <v>240</v>
      </c>
      <c r="C493" s="387">
        <v>584</v>
      </c>
      <c r="D493" s="365" t="s">
        <v>868</v>
      </c>
      <c r="H493" s="296" t="s">
        <v>450</v>
      </c>
      <c r="I493" s="296" t="s">
        <v>975</v>
      </c>
      <c r="J493" s="296" t="s">
        <v>449</v>
      </c>
      <c r="K493" s="252">
        <v>0</v>
      </c>
      <c r="O493" s="296" t="s">
        <v>2048</v>
      </c>
      <c r="W493" s="253"/>
      <c r="Y493" s="356"/>
      <c r="AA493" s="296" t="s">
        <v>3564</v>
      </c>
      <c r="AC493" s="296">
        <f t="shared" si="53"/>
        <v>8.89</v>
      </c>
      <c r="AD493" s="252">
        <f t="shared" si="54"/>
        <v>3035.88</v>
      </c>
      <c r="AE493" s="370" t="str">
        <f t="shared" si="49"/>
        <v>|</v>
      </c>
      <c r="AG493" s="296" t="s">
        <v>2259</v>
      </c>
    </row>
    <row r="494" spans="1:33" ht="24" customHeight="1">
      <c r="A494" s="363">
        <f t="shared" si="52"/>
        <v>320</v>
      </c>
      <c r="B494" s="365" t="s">
        <v>1121</v>
      </c>
      <c r="C494" s="364"/>
      <c r="D494" s="365" t="s">
        <v>868</v>
      </c>
      <c r="K494" s="358" t="s">
        <v>1586</v>
      </c>
      <c r="O494" s="296" t="s">
        <v>948</v>
      </c>
      <c r="W494" s="253"/>
      <c r="Y494" s="356"/>
      <c r="AA494" s="296" t="s">
        <v>3565</v>
      </c>
      <c r="AC494" s="296">
        <f t="shared" si="53"/>
        <v>8.89</v>
      </c>
      <c r="AD494" s="252">
        <f t="shared" si="54"/>
        <v>3044.77</v>
      </c>
      <c r="AE494" s="370" t="str">
        <f t="shared" si="49"/>
        <v>|</v>
      </c>
      <c r="AG494" s="296" t="s">
        <v>2259</v>
      </c>
    </row>
    <row r="495" spans="1:33" ht="24" customHeight="1">
      <c r="A495" s="363">
        <f>(A494+1)</f>
        <v>321</v>
      </c>
      <c r="B495" s="412" t="s">
        <v>5867</v>
      </c>
      <c r="C495" s="364"/>
      <c r="D495" s="365" t="s">
        <v>868</v>
      </c>
      <c r="H495" s="296" t="s">
        <v>441</v>
      </c>
      <c r="K495" s="252">
        <f>SUM(K486:K493)</f>
        <v>3123.47</v>
      </c>
      <c r="O495" s="358" t="s">
        <v>1586</v>
      </c>
      <c r="W495" s="253"/>
      <c r="Y495" s="356"/>
      <c r="AA495" s="296" t="s">
        <v>3584</v>
      </c>
      <c r="AC495" s="296">
        <f t="shared" si="53"/>
        <v>8.89</v>
      </c>
      <c r="AD495" s="274">
        <f t="shared" si="54"/>
        <v>3053.66</v>
      </c>
      <c r="AE495" s="370" t="str">
        <f t="shared" si="49"/>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3"/>
        <v>8.89</v>
      </c>
      <c r="AD496" s="274">
        <f t="shared" si="54"/>
        <v>3062.55</v>
      </c>
      <c r="AE496" s="370" t="str">
        <f t="shared" si="49"/>
        <v>|</v>
      </c>
      <c r="AG496" s="296" t="s">
        <v>2259</v>
      </c>
    </row>
    <row r="497" spans="1:33" ht="33.75" customHeight="1">
      <c r="A497" s="363">
        <f>(A496+1)</f>
        <v>323</v>
      </c>
      <c r="B497" s="365" t="s">
        <v>744</v>
      </c>
      <c r="C497" s="387">
        <v>11.5</v>
      </c>
      <c r="D497" s="365" t="s">
        <v>868</v>
      </c>
      <c r="H497" s="255" t="s">
        <v>552</v>
      </c>
      <c r="K497" s="274">
        <f>(K495/10)</f>
        <v>312.35000000000002</v>
      </c>
      <c r="O497" s="358" t="s">
        <v>1586</v>
      </c>
      <c r="W497" s="253"/>
      <c r="Y497" s="356"/>
      <c r="AA497" s="296" t="s">
        <v>4624</v>
      </c>
      <c r="AC497" s="296">
        <f t="shared" si="53"/>
        <v>8.89</v>
      </c>
      <c r="AD497" s="274">
        <f t="shared" si="54"/>
        <v>3071.44</v>
      </c>
      <c r="AE497" s="370" t="str">
        <f t="shared" si="49"/>
        <v>|</v>
      </c>
      <c r="AG497" s="296" t="s">
        <v>2259</v>
      </c>
    </row>
    <row r="498" spans="1:33" ht="36" customHeight="1">
      <c r="A498" s="364"/>
      <c r="B498" s="364"/>
      <c r="C498" s="364"/>
      <c r="D498" s="364"/>
      <c r="F498" s="296" t="s">
        <v>975</v>
      </c>
      <c r="W498" s="253"/>
      <c r="AD498" s="274">
        <f>AD497+AC497</f>
        <v>3080.33</v>
      </c>
      <c r="AE498" s="370" t="str">
        <f t="shared" si="49"/>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49"/>
        <v>|</v>
      </c>
      <c r="AG499" s="296" t="s">
        <v>2259</v>
      </c>
    </row>
    <row r="500" spans="1:33" ht="24" customHeight="1">
      <c r="A500" s="363">
        <f t="shared" ref="A500:A562" si="55">(A499+1)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49"/>
        <v>|</v>
      </c>
      <c r="AG500" s="296" t="s">
        <v>2259</v>
      </c>
    </row>
    <row r="501" spans="1:33" ht="24" customHeight="1">
      <c r="A501" s="363">
        <f t="shared" si="55"/>
        <v>326</v>
      </c>
      <c r="B501" s="365" t="s">
        <v>1668</v>
      </c>
      <c r="C501" s="387">
        <v>56.74</v>
      </c>
      <c r="D501" s="365" t="s">
        <v>868</v>
      </c>
      <c r="H501" s="296" t="s">
        <v>2269</v>
      </c>
      <c r="M501" s="252">
        <v>8</v>
      </c>
      <c r="N501" s="296" t="s">
        <v>868</v>
      </c>
      <c r="O501" s="296" t="s">
        <v>2144</v>
      </c>
      <c r="P501" s="252">
        <f>(C43)</f>
        <v>9.35</v>
      </c>
      <c r="Q501" s="296" t="s">
        <v>868</v>
      </c>
      <c r="R501" s="252">
        <f t="shared" ref="R501:R506" si="56">(M501*P501)</f>
        <v>74.8</v>
      </c>
      <c r="W501" s="253"/>
      <c r="AE501" s="370" t="str">
        <f t="shared" si="49"/>
        <v>|</v>
      </c>
      <c r="AG501" s="296" t="s">
        <v>2259</v>
      </c>
    </row>
    <row r="502" spans="1:33" ht="45.75" customHeight="1">
      <c r="A502" s="363">
        <f t="shared" si="55"/>
        <v>327</v>
      </c>
      <c r="B502" s="412" t="s">
        <v>5868</v>
      </c>
      <c r="C502" s="364"/>
      <c r="D502" s="365" t="s">
        <v>975</v>
      </c>
      <c r="H502" s="358" t="s">
        <v>1586</v>
      </c>
      <c r="M502" s="252">
        <v>8</v>
      </c>
      <c r="N502" s="296" t="s">
        <v>868</v>
      </c>
      <c r="O502" s="296" t="s">
        <v>467</v>
      </c>
      <c r="P502" s="252">
        <f>(C50)</f>
        <v>13.35</v>
      </c>
      <c r="Q502" s="296" t="s">
        <v>868</v>
      </c>
      <c r="R502" s="252">
        <f t="shared" si="56"/>
        <v>106.8</v>
      </c>
      <c r="W502" s="253"/>
      <c r="AE502" s="370" t="str">
        <f t="shared" si="49"/>
        <v>|</v>
      </c>
      <c r="AG502" s="296" t="s">
        <v>2259</v>
      </c>
    </row>
    <row r="503" spans="1:33" ht="24" customHeight="1">
      <c r="A503" s="363">
        <f t="shared" si="55"/>
        <v>328</v>
      </c>
      <c r="B503" s="365" t="s">
        <v>952</v>
      </c>
      <c r="C503" s="362">
        <v>69.8</v>
      </c>
      <c r="D503" s="365" t="s">
        <v>868</v>
      </c>
      <c r="F503" s="252">
        <v>9</v>
      </c>
      <c r="G503" s="252" t="s">
        <v>869</v>
      </c>
      <c r="H503" s="296" t="s">
        <v>1670</v>
      </c>
      <c r="I503" s="252">
        <f>(C70)</f>
        <v>969.85</v>
      </c>
      <c r="J503" s="296" t="s">
        <v>869</v>
      </c>
      <c r="K503" s="252">
        <f t="shared" ref="K503:K508" si="57">(F503*I503)</f>
        <v>8728.65</v>
      </c>
      <c r="M503" s="252">
        <v>3</v>
      </c>
      <c r="N503" s="296" t="s">
        <v>868</v>
      </c>
      <c r="O503" s="296" t="s">
        <v>1845</v>
      </c>
      <c r="P503" s="252">
        <f>(C41)</f>
        <v>738</v>
      </c>
      <c r="Q503" s="296" t="s">
        <v>868</v>
      </c>
      <c r="R503" s="252">
        <f t="shared" si="56"/>
        <v>2214</v>
      </c>
      <c r="W503" s="253"/>
      <c r="AE503" s="370" t="str">
        <f t="shared" si="49"/>
        <v>|</v>
      </c>
      <c r="AG503" s="296" t="s">
        <v>2259</v>
      </c>
    </row>
    <row r="504" spans="1:33" ht="24" customHeight="1">
      <c r="A504" s="363">
        <f t="shared" si="55"/>
        <v>329</v>
      </c>
      <c r="B504" s="365" t="s">
        <v>744</v>
      </c>
      <c r="C504" s="387">
        <v>15.6</v>
      </c>
      <c r="D504" s="365" t="s">
        <v>868</v>
      </c>
      <c r="F504" s="356">
        <v>3.2309999999999999</v>
      </c>
      <c r="G504" s="252" t="s">
        <v>861</v>
      </c>
      <c r="H504" s="296" t="s">
        <v>862</v>
      </c>
      <c r="I504" s="252">
        <f>(C67)</f>
        <v>6040</v>
      </c>
      <c r="J504" s="296" t="s">
        <v>861</v>
      </c>
      <c r="K504" s="252">
        <f t="shared" si="57"/>
        <v>19515.240000000002</v>
      </c>
      <c r="M504" s="252">
        <v>1</v>
      </c>
      <c r="N504" s="296" t="s">
        <v>868</v>
      </c>
      <c r="O504" s="296" t="s">
        <v>1846</v>
      </c>
      <c r="P504" s="252">
        <f>(C10)</f>
        <v>999</v>
      </c>
      <c r="Q504" s="296" t="s">
        <v>868</v>
      </c>
      <c r="R504" s="252">
        <f t="shared" si="56"/>
        <v>999</v>
      </c>
      <c r="W504" s="253"/>
      <c r="AE504" s="370" t="str">
        <f t="shared" si="49"/>
        <v>|</v>
      </c>
      <c r="AG504" s="296" t="s">
        <v>2259</v>
      </c>
    </row>
    <row r="505" spans="1:33" ht="24" customHeight="1">
      <c r="A505" s="363">
        <f t="shared" si="55"/>
        <v>330</v>
      </c>
      <c r="B505" s="365" t="s">
        <v>1663</v>
      </c>
      <c r="C505" s="362">
        <v>75.3</v>
      </c>
      <c r="D505" s="365" t="s">
        <v>868</v>
      </c>
      <c r="F505" s="252">
        <v>4.5</v>
      </c>
      <c r="G505" s="252" t="s">
        <v>869</v>
      </c>
      <c r="H505" s="296" t="s">
        <v>870</v>
      </c>
      <c r="I505" s="252">
        <f>(C78)</f>
        <v>1464.46</v>
      </c>
      <c r="J505" s="296" t="s">
        <v>869</v>
      </c>
      <c r="K505" s="252">
        <f t="shared" si="57"/>
        <v>6590.07</v>
      </c>
      <c r="M505" s="252">
        <v>2</v>
      </c>
      <c r="N505" s="296" t="s">
        <v>868</v>
      </c>
      <c r="O505" s="296" t="s">
        <v>1902</v>
      </c>
      <c r="P505" s="252">
        <f>(C12)</f>
        <v>651</v>
      </c>
      <c r="Q505" s="296" t="s">
        <v>868</v>
      </c>
      <c r="R505" s="252">
        <f t="shared" si="56"/>
        <v>1302</v>
      </c>
      <c r="W505" s="253"/>
      <c r="AE505" s="370" t="str">
        <f t="shared" si="49"/>
        <v>|</v>
      </c>
      <c r="AG505" s="296" t="s">
        <v>2259</v>
      </c>
    </row>
    <row r="506" spans="1:33" ht="24" customHeight="1">
      <c r="A506" s="363">
        <f t="shared" si="55"/>
        <v>331</v>
      </c>
      <c r="B506" s="365" t="s">
        <v>1665</v>
      </c>
      <c r="C506" s="387">
        <v>100.3</v>
      </c>
      <c r="D506" s="365" t="s">
        <v>868</v>
      </c>
      <c r="F506" s="252">
        <v>3.5</v>
      </c>
      <c r="G506" s="252" t="s">
        <v>868</v>
      </c>
      <c r="H506" s="296" t="s">
        <v>1712</v>
      </c>
      <c r="I506" s="252">
        <f>(C11)</f>
        <v>932</v>
      </c>
      <c r="J506" s="296" t="s">
        <v>868</v>
      </c>
      <c r="K506" s="252">
        <f t="shared" si="57"/>
        <v>3262</v>
      </c>
      <c r="M506" s="252">
        <v>1</v>
      </c>
      <c r="N506" s="296" t="s">
        <v>868</v>
      </c>
      <c r="O506" s="296" t="s">
        <v>320</v>
      </c>
      <c r="P506" s="252">
        <f>(C13)</f>
        <v>534</v>
      </c>
      <c r="Q506" s="296" t="s">
        <v>868</v>
      </c>
      <c r="R506" s="252">
        <f t="shared" si="56"/>
        <v>534</v>
      </c>
      <c r="W506" s="253"/>
      <c r="AE506" s="370" t="str">
        <f t="shared" si="49"/>
        <v>|</v>
      </c>
      <c r="AG506" s="296" t="s">
        <v>2259</v>
      </c>
    </row>
    <row r="507" spans="1:33" ht="24" customHeight="1">
      <c r="A507" s="363">
        <f t="shared" si="55"/>
        <v>332</v>
      </c>
      <c r="B507" s="365" t="s">
        <v>1668</v>
      </c>
      <c r="C507" s="387">
        <v>100.3</v>
      </c>
      <c r="D507" s="365" t="s">
        <v>868</v>
      </c>
      <c r="F507" s="252">
        <v>21.2</v>
      </c>
      <c r="G507" s="252" t="s">
        <v>868</v>
      </c>
      <c r="H507" s="296" t="s">
        <v>1902</v>
      </c>
      <c r="I507" s="252">
        <f>(C12)</f>
        <v>651</v>
      </c>
      <c r="J507" s="296" t="s">
        <v>868</v>
      </c>
      <c r="K507" s="252">
        <f t="shared" si="57"/>
        <v>13801.2</v>
      </c>
      <c r="N507" s="296" t="s">
        <v>449</v>
      </c>
      <c r="O507" s="296" t="s">
        <v>1847</v>
      </c>
      <c r="P507" s="296" t="s">
        <v>975</v>
      </c>
      <c r="Q507" s="296" t="s">
        <v>449</v>
      </c>
      <c r="R507" s="252">
        <f>(C56)</f>
        <v>12.1</v>
      </c>
      <c r="W507" s="253"/>
      <c r="AE507" s="370" t="str">
        <f t="shared" si="49"/>
        <v>|</v>
      </c>
      <c r="AG507" s="296" t="s">
        <v>2259</v>
      </c>
    </row>
    <row r="508" spans="1:33" ht="24" customHeight="1">
      <c r="A508" s="363">
        <f t="shared" si="55"/>
        <v>333</v>
      </c>
      <c r="B508" s="412" t="s">
        <v>5869</v>
      </c>
      <c r="C508" s="364"/>
      <c r="D508" s="365" t="s">
        <v>975</v>
      </c>
      <c r="F508" s="252">
        <v>35.299999999999997</v>
      </c>
      <c r="G508" s="252" t="s">
        <v>868</v>
      </c>
      <c r="H508" s="296" t="s">
        <v>320</v>
      </c>
      <c r="I508" s="252">
        <f>(C13)</f>
        <v>534</v>
      </c>
      <c r="J508" s="296" t="s">
        <v>868</v>
      </c>
      <c r="K508" s="252">
        <f t="shared" si="57"/>
        <v>18850.2</v>
      </c>
      <c r="O508" s="296" t="s">
        <v>1849</v>
      </c>
      <c r="P508" s="296" t="s">
        <v>975</v>
      </c>
      <c r="R508" s="296" t="s">
        <v>975</v>
      </c>
      <c r="W508" s="253"/>
      <c r="AE508" s="370" t="str">
        <f t="shared" si="49"/>
        <v>|</v>
      </c>
      <c r="AG508" s="296" t="s">
        <v>2259</v>
      </c>
    </row>
    <row r="509" spans="1:33" ht="24" customHeight="1">
      <c r="A509" s="363">
        <f t="shared" si="55"/>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49"/>
        <v>|</v>
      </c>
      <c r="AG509" s="296" t="s">
        <v>2259</v>
      </c>
    </row>
    <row r="510" spans="1:33" ht="24" customHeight="1">
      <c r="A510" s="363">
        <f t="shared" si="55"/>
        <v>335</v>
      </c>
      <c r="B510" s="365" t="s">
        <v>744</v>
      </c>
      <c r="C510" s="415">
        <v>47</v>
      </c>
      <c r="D510" s="365" t="s">
        <v>868</v>
      </c>
      <c r="K510" s="358" t="s">
        <v>1586</v>
      </c>
      <c r="R510" s="358" t="s">
        <v>1586</v>
      </c>
      <c r="W510" s="253"/>
      <c r="AE510" s="370" t="str">
        <f t="shared" si="49"/>
        <v>|</v>
      </c>
      <c r="AG510" s="296" t="s">
        <v>2259</v>
      </c>
    </row>
    <row r="511" spans="1:33" ht="24" customHeight="1">
      <c r="A511" s="363">
        <f t="shared" si="55"/>
        <v>336</v>
      </c>
      <c r="B511" s="365" t="s">
        <v>1663</v>
      </c>
      <c r="C511" s="362">
        <v>52</v>
      </c>
      <c r="D511" s="365" t="s">
        <v>868</v>
      </c>
      <c r="H511" s="296" t="s">
        <v>2171</v>
      </c>
      <c r="K511" s="252">
        <f>SUM(K503:K509)</f>
        <v>70747.360000000001</v>
      </c>
      <c r="O511" s="296" t="s">
        <v>1850</v>
      </c>
      <c r="R511" s="252">
        <f>SUM(R499:R509)</f>
        <v>5392.7</v>
      </c>
      <c r="W511" s="253"/>
      <c r="AE511" s="370" t="str">
        <f t="shared" si="49"/>
        <v>|</v>
      </c>
      <c r="AG511" s="296" t="s">
        <v>2259</v>
      </c>
    </row>
    <row r="512" spans="1:33" ht="24" customHeight="1">
      <c r="A512" s="363">
        <f t="shared" si="55"/>
        <v>337</v>
      </c>
      <c r="B512" s="365" t="s">
        <v>1851</v>
      </c>
      <c r="C512" s="387">
        <v>36.61</v>
      </c>
      <c r="D512" s="365" t="s">
        <v>868</v>
      </c>
      <c r="K512" s="358" t="s">
        <v>1586</v>
      </c>
      <c r="R512" s="358" t="s">
        <v>1586</v>
      </c>
      <c r="W512" s="253"/>
      <c r="AE512" s="370" t="str">
        <f t="shared" si="49"/>
        <v>|</v>
      </c>
      <c r="AG512" s="296" t="s">
        <v>2259</v>
      </c>
    </row>
    <row r="513" spans="1:37" ht="24" customHeight="1">
      <c r="A513" s="363">
        <f t="shared" si="55"/>
        <v>338</v>
      </c>
      <c r="B513" s="365" t="s">
        <v>1665</v>
      </c>
      <c r="C513" s="387">
        <v>78.709999999999994</v>
      </c>
      <c r="D513" s="365" t="s">
        <v>868</v>
      </c>
      <c r="H513" s="296" t="s">
        <v>773</v>
      </c>
      <c r="K513" s="252">
        <f>(K511/10)+0.01</f>
        <v>7074.75</v>
      </c>
      <c r="O513" s="296" t="s">
        <v>1545</v>
      </c>
      <c r="R513" s="252">
        <f>(R511/30)</f>
        <v>179.76</v>
      </c>
      <c r="W513" s="253"/>
      <c r="AE513" s="370" t="str">
        <f t="shared" si="49"/>
        <v>|</v>
      </c>
      <c r="AG513" s="296" t="s">
        <v>2259</v>
      </c>
    </row>
    <row r="514" spans="1:37" ht="24" customHeight="1">
      <c r="A514" s="363">
        <f t="shared" si="55"/>
        <v>339</v>
      </c>
      <c r="B514" s="365" t="s">
        <v>1668</v>
      </c>
      <c r="C514" s="387">
        <v>78.709999999999994</v>
      </c>
      <c r="D514" s="365" t="s">
        <v>868</v>
      </c>
      <c r="R514" s="358" t="s">
        <v>1586</v>
      </c>
      <c r="W514" s="253"/>
      <c r="AE514" s="370">
        <f t="shared" si="49"/>
        <v>0</v>
      </c>
    </row>
    <row r="515" spans="1:37" ht="24" customHeight="1">
      <c r="A515" s="363">
        <f t="shared" si="55"/>
        <v>340</v>
      </c>
      <c r="B515" s="365" t="s">
        <v>1852</v>
      </c>
      <c r="C515" s="364"/>
      <c r="D515" s="365" t="s">
        <v>216</v>
      </c>
      <c r="F515" s="252">
        <v>1</v>
      </c>
      <c r="G515" s="252" t="s">
        <v>869</v>
      </c>
      <c r="H515" s="296" t="s">
        <v>44</v>
      </c>
      <c r="K515" s="252">
        <f>C25</f>
        <v>94.2</v>
      </c>
      <c r="N515" s="296" t="s">
        <v>1555</v>
      </c>
      <c r="O515" s="253" t="s">
        <v>217</v>
      </c>
      <c r="W515" s="253"/>
      <c r="AE515" s="370" t="str">
        <f t="shared" si="49"/>
        <v>|</v>
      </c>
      <c r="AG515" s="296" t="s">
        <v>2259</v>
      </c>
    </row>
    <row r="516" spans="1:37" ht="24" customHeight="1">
      <c r="A516" s="363">
        <f t="shared" si="55"/>
        <v>341</v>
      </c>
      <c r="B516" s="365" t="s">
        <v>4257</v>
      </c>
      <c r="C516" s="314">
        <v>20.55</v>
      </c>
      <c r="D516" s="365" t="s">
        <v>1771</v>
      </c>
      <c r="K516" s="358" t="s">
        <v>1586</v>
      </c>
      <c r="O516" s="358" t="s">
        <v>1586</v>
      </c>
      <c r="W516" s="253"/>
      <c r="AE516" s="370" t="str">
        <f t="shared" si="49"/>
        <v>|</v>
      </c>
      <c r="AG516" s="296" t="s">
        <v>2259</v>
      </c>
    </row>
    <row r="517" spans="1:37" ht="24" customHeight="1">
      <c r="A517" s="363">
        <f t="shared" si="55"/>
        <v>342</v>
      </c>
      <c r="B517" s="365" t="s">
        <v>2907</v>
      </c>
      <c r="C517" s="314">
        <v>26</v>
      </c>
      <c r="D517" s="365" t="s">
        <v>1771</v>
      </c>
      <c r="E517" s="362">
        <v>98.6</v>
      </c>
      <c r="H517" s="296" t="s">
        <v>1240</v>
      </c>
      <c r="K517" s="252">
        <f>SUM(K513:K515)</f>
        <v>7168.95</v>
      </c>
      <c r="M517" s="252">
        <v>30</v>
      </c>
      <c r="N517" s="296" t="s">
        <v>1771</v>
      </c>
      <c r="O517" s="296" t="s">
        <v>1664</v>
      </c>
      <c r="P517" s="252">
        <f>(C42)</f>
        <v>5</v>
      </c>
      <c r="Q517" s="296" t="s">
        <v>1771</v>
      </c>
      <c r="R517" s="252">
        <f>(M517*P517)</f>
        <v>150</v>
      </c>
      <c r="W517" s="253"/>
      <c r="AE517" s="370" t="str">
        <f t="shared" si="49"/>
        <v>|</v>
      </c>
      <c r="AG517" s="296" t="s">
        <v>2259</v>
      </c>
    </row>
    <row r="518" spans="1:37" ht="24" customHeight="1">
      <c r="A518" s="363">
        <f t="shared" si="55"/>
        <v>343</v>
      </c>
      <c r="B518" s="365" t="s">
        <v>1241</v>
      </c>
      <c r="C518" s="314">
        <v>35</v>
      </c>
      <c r="D518" s="365" t="s">
        <v>1771</v>
      </c>
      <c r="K518" s="358" t="s">
        <v>1586</v>
      </c>
      <c r="M518" s="296" t="s">
        <v>975</v>
      </c>
      <c r="O518" s="296" t="s">
        <v>1667</v>
      </c>
      <c r="P518" s="296" t="s">
        <v>975</v>
      </c>
      <c r="R518" s="296" t="s">
        <v>975</v>
      </c>
      <c r="W518" s="253"/>
      <c r="AE518" s="370" t="str">
        <f t="shared" si="49"/>
        <v>|</v>
      </c>
      <c r="AG518" s="296" t="s">
        <v>2259</v>
      </c>
    </row>
    <row r="519" spans="1:37" ht="24" customHeight="1">
      <c r="A519" s="363">
        <f t="shared" si="55"/>
        <v>344</v>
      </c>
      <c r="B519" s="365" t="s">
        <v>1242</v>
      </c>
      <c r="C519" s="314">
        <v>52</v>
      </c>
      <c r="D519" s="365" t="s">
        <v>1771</v>
      </c>
      <c r="G519" s="252" t="s">
        <v>1243</v>
      </c>
      <c r="H519" s="296" t="s">
        <v>386</v>
      </c>
      <c r="K519" s="252">
        <f>(K517+C22)</f>
        <v>7288.8</v>
      </c>
      <c r="L519" s="252">
        <f>K519-K517</f>
        <v>119.85</v>
      </c>
      <c r="M519" s="252">
        <v>8</v>
      </c>
      <c r="N519" s="296" t="s">
        <v>868</v>
      </c>
      <c r="O519" s="296" t="s">
        <v>2144</v>
      </c>
      <c r="P519" s="252">
        <f>(C44)</f>
        <v>9.35</v>
      </c>
      <c r="Q519" s="296" t="s">
        <v>868</v>
      </c>
      <c r="R519" s="252">
        <f t="shared" ref="R519:R524" si="58">(M519*P519)</f>
        <v>74.8</v>
      </c>
      <c r="W519" s="253"/>
      <c r="AE519" s="370" t="str">
        <f t="shared" si="49"/>
        <v>|</v>
      </c>
      <c r="AG519" s="296" t="s">
        <v>2259</v>
      </c>
    </row>
    <row r="520" spans="1:37" ht="24" customHeight="1">
      <c r="A520" s="363">
        <f t="shared" si="55"/>
        <v>345</v>
      </c>
      <c r="B520" s="365" t="s">
        <v>1244</v>
      </c>
      <c r="C520" s="314">
        <v>65</v>
      </c>
      <c r="D520" s="364">
        <v>21</v>
      </c>
      <c r="G520" s="252" t="s">
        <v>1245</v>
      </c>
      <c r="H520" s="296" t="s">
        <v>388</v>
      </c>
      <c r="K520" s="252">
        <f>(K519+C23)</f>
        <v>7524.9</v>
      </c>
      <c r="M520" s="252">
        <v>8</v>
      </c>
      <c r="N520" s="296" t="s">
        <v>868</v>
      </c>
      <c r="O520" s="296" t="s">
        <v>467</v>
      </c>
      <c r="P520" s="252">
        <f>(C51)</f>
        <v>13.5</v>
      </c>
      <c r="Q520" s="296" t="s">
        <v>868</v>
      </c>
      <c r="R520" s="252">
        <f t="shared" si="58"/>
        <v>108</v>
      </c>
      <c r="W520" s="253"/>
      <c r="AE520" s="370" t="str">
        <f t="shared" si="49"/>
        <v>|</v>
      </c>
      <c r="AG520" s="296" t="s">
        <v>2259</v>
      </c>
    </row>
    <row r="521" spans="1:37" ht="24" customHeight="1">
      <c r="A521" s="363">
        <f t="shared" si="55"/>
        <v>346</v>
      </c>
      <c r="B521" s="365" t="s">
        <v>376</v>
      </c>
      <c r="C521" s="314">
        <v>82</v>
      </c>
      <c r="D521" s="364">
        <v>37.15</v>
      </c>
      <c r="G521" s="252" t="s">
        <v>426</v>
      </c>
      <c r="H521" s="296" t="s">
        <v>2232</v>
      </c>
      <c r="K521" s="252">
        <f>(K520+C24)</f>
        <v>7761</v>
      </c>
      <c r="M521" s="252">
        <v>3</v>
      </c>
      <c r="N521" s="296" t="s">
        <v>868</v>
      </c>
      <c r="O521" s="296" t="s">
        <v>1845</v>
      </c>
      <c r="P521" s="252">
        <f>(C41)</f>
        <v>738</v>
      </c>
      <c r="Q521" s="296" t="s">
        <v>868</v>
      </c>
      <c r="R521" s="252">
        <f t="shared" si="58"/>
        <v>2214</v>
      </c>
      <c r="W521" s="253"/>
      <c r="AE521" s="370" t="str">
        <f t="shared" si="49"/>
        <v>|</v>
      </c>
      <c r="AG521" s="296" t="s">
        <v>2259</v>
      </c>
    </row>
    <row r="522" spans="1:37" ht="24" customHeight="1">
      <c r="A522" s="363">
        <f t="shared" si="55"/>
        <v>347</v>
      </c>
      <c r="B522" s="365" t="s">
        <v>993</v>
      </c>
      <c r="C522" s="364"/>
      <c r="D522" s="365" t="s">
        <v>975</v>
      </c>
      <c r="G522" s="252" t="s">
        <v>994</v>
      </c>
      <c r="H522" s="296" t="s">
        <v>380</v>
      </c>
      <c r="K522" s="252">
        <f>(K521+C24)</f>
        <v>7997.1</v>
      </c>
      <c r="M522" s="252">
        <v>1</v>
      </c>
      <c r="N522" s="296" t="s">
        <v>868</v>
      </c>
      <c r="O522" s="296" t="s">
        <v>1846</v>
      </c>
      <c r="P522" s="252">
        <f>(C10)</f>
        <v>999</v>
      </c>
      <c r="Q522" s="296" t="s">
        <v>868</v>
      </c>
      <c r="R522" s="252">
        <f t="shared" si="58"/>
        <v>999</v>
      </c>
      <c r="W522" s="253"/>
      <c r="AE522" s="370" t="str">
        <f t="shared" si="49"/>
        <v>|::</v>
      </c>
      <c r="AG522" s="296" t="s">
        <v>321</v>
      </c>
    </row>
    <row r="523" spans="1:37" ht="24" customHeight="1">
      <c r="A523" s="363">
        <f t="shared" si="55"/>
        <v>348</v>
      </c>
      <c r="B523" s="365" t="s">
        <v>1115</v>
      </c>
      <c r="C523" s="314">
        <v>4.1900000000000004</v>
      </c>
      <c r="D523" s="365" t="s">
        <v>868</v>
      </c>
      <c r="M523" s="252">
        <v>2</v>
      </c>
      <c r="N523" s="296" t="s">
        <v>868</v>
      </c>
      <c r="O523" s="296" t="s">
        <v>1902</v>
      </c>
      <c r="P523" s="252">
        <f>(C12)</f>
        <v>651</v>
      </c>
      <c r="Q523" s="296" t="s">
        <v>868</v>
      </c>
      <c r="R523" s="252">
        <f t="shared" si="58"/>
        <v>1302</v>
      </c>
      <c r="W523" s="253"/>
      <c r="AE523" s="370">
        <f t="shared" si="49"/>
        <v>0</v>
      </c>
    </row>
    <row r="524" spans="1:37" ht="24" customHeight="1">
      <c r="A524" s="363">
        <f t="shared" si="55"/>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58"/>
        <v>534</v>
      </c>
      <c r="W524" s="253"/>
      <c r="AE524" s="370">
        <f t="shared" si="49"/>
        <v>0</v>
      </c>
    </row>
    <row r="525" spans="1:37" ht="24" customHeight="1">
      <c r="A525" s="363">
        <f t="shared" si="55"/>
        <v>350</v>
      </c>
      <c r="B525" s="365" t="s">
        <v>1117</v>
      </c>
      <c r="C525" s="314">
        <v>8.06</v>
      </c>
      <c r="D525" s="365" t="s">
        <v>868</v>
      </c>
      <c r="H525" s="358" t="s">
        <v>1586</v>
      </c>
      <c r="N525" s="296" t="s">
        <v>449</v>
      </c>
      <c r="O525" s="296" t="s">
        <v>1847</v>
      </c>
      <c r="P525" s="296" t="s">
        <v>975</v>
      </c>
      <c r="Q525" s="296" t="s">
        <v>449</v>
      </c>
      <c r="R525" s="252">
        <f>(C56)</f>
        <v>12.1</v>
      </c>
      <c r="U525" s="416" t="s">
        <v>3996</v>
      </c>
      <c r="W525" s="253"/>
      <c r="AA525" s="416" t="s">
        <v>4138</v>
      </c>
      <c r="AE525" s="370">
        <f t="shared" ref="AE525:AE596" si="59">AG525</f>
        <v>0</v>
      </c>
      <c r="AH525" s="416" t="s">
        <v>4739</v>
      </c>
    </row>
    <row r="526" spans="1:37" ht="24" customHeight="1">
      <c r="A526" s="363">
        <f t="shared" si="55"/>
        <v>351</v>
      </c>
      <c r="B526" s="365" t="s">
        <v>1118</v>
      </c>
      <c r="C526" s="314">
        <v>11.86</v>
      </c>
      <c r="D526" s="365" t="s">
        <v>868</v>
      </c>
      <c r="F526" s="356">
        <v>1.4999999999999999E-2</v>
      </c>
      <c r="G526" s="252" t="s">
        <v>869</v>
      </c>
      <c r="H526" s="296" t="s">
        <v>997</v>
      </c>
      <c r="I526" s="252">
        <f>(K513)</f>
        <v>7074.75</v>
      </c>
      <c r="J526" s="296" t="s">
        <v>869</v>
      </c>
      <c r="K526" s="252">
        <f>(F526*I526)</f>
        <v>106.12</v>
      </c>
      <c r="O526" s="296" t="s">
        <v>1849</v>
      </c>
      <c r="P526" s="296" t="s">
        <v>975</v>
      </c>
      <c r="R526" s="296" t="s">
        <v>975</v>
      </c>
      <c r="S526" s="253" t="s">
        <v>995</v>
      </c>
      <c r="T526" s="252" t="s">
        <v>2251</v>
      </c>
      <c r="U526" s="296" t="s">
        <v>6108</v>
      </c>
      <c r="W526" s="253"/>
      <c r="Y526" s="253" t="s">
        <v>995</v>
      </c>
      <c r="Z526" s="252" t="s">
        <v>2251</v>
      </c>
      <c r="AA526" s="296" t="s">
        <v>6109</v>
      </c>
      <c r="AC526" s="296"/>
      <c r="AE526" s="370" t="str">
        <f t="shared" si="59"/>
        <v>*</v>
      </c>
      <c r="AF526" s="253" t="s">
        <v>995</v>
      </c>
      <c r="AG526" s="252" t="s">
        <v>2251</v>
      </c>
      <c r="AH526" s="296" t="s">
        <v>6110</v>
      </c>
      <c r="AJ526" s="296"/>
    </row>
    <row r="527" spans="1:37" ht="24" customHeight="1">
      <c r="A527" s="363">
        <f t="shared" si="55"/>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358" t="s">
        <v>1586</v>
      </c>
      <c r="W527" s="253"/>
      <c r="AA527" s="358" t="s">
        <v>1586</v>
      </c>
      <c r="AC527" s="296"/>
      <c r="AE527" s="370">
        <f t="shared" si="59"/>
        <v>0</v>
      </c>
      <c r="AH527" s="358" t="s">
        <v>1586</v>
      </c>
      <c r="AJ527" s="296"/>
    </row>
    <row r="528" spans="1:37" ht="24" customHeight="1">
      <c r="A528" s="363">
        <f t="shared" si="55"/>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296" t="s">
        <v>997</v>
      </c>
      <c r="V528" s="252">
        <f>X657</f>
        <v>7180.76</v>
      </c>
      <c r="W528" s="253" t="s">
        <v>869</v>
      </c>
      <c r="X528" s="252">
        <f>(S528*V528)</f>
        <v>107.71</v>
      </c>
      <c r="Y528" s="356">
        <v>1.4999999999999999E-2</v>
      </c>
      <c r="Z528" s="252" t="s">
        <v>869</v>
      </c>
      <c r="AA528" s="296" t="s">
        <v>997</v>
      </c>
      <c r="AB528" s="252">
        <f>AF657</f>
        <v>7725.02</v>
      </c>
      <c r="AC528" s="296" t="s">
        <v>869</v>
      </c>
      <c r="AD528" s="252">
        <f>(Y528*AB528)</f>
        <v>115.88</v>
      </c>
      <c r="AE528" s="370" t="str">
        <f t="shared" si="59"/>
        <v>CUM</v>
      </c>
      <c r="AF528" s="356">
        <v>1.4999999999999999E-2</v>
      </c>
      <c r="AG528" s="252" t="s">
        <v>869</v>
      </c>
      <c r="AH528" s="296" t="s">
        <v>997</v>
      </c>
      <c r="AI528" s="252">
        <f>Y742</f>
        <v>7869.93</v>
      </c>
      <c r="AJ528" s="296" t="s">
        <v>869</v>
      </c>
      <c r="AK528" s="252">
        <f>(AF528*AI528)</f>
        <v>118.05</v>
      </c>
    </row>
    <row r="529" spans="1:37" ht="24" customHeight="1">
      <c r="A529" s="363">
        <f t="shared" si="55"/>
        <v>354</v>
      </c>
      <c r="B529" s="365" t="s">
        <v>682</v>
      </c>
      <c r="C529" s="314"/>
      <c r="D529" s="365" t="s">
        <v>975</v>
      </c>
      <c r="G529" s="252" t="s">
        <v>449</v>
      </c>
      <c r="H529" s="296" t="s">
        <v>450</v>
      </c>
      <c r="J529" s="296" t="s">
        <v>449</v>
      </c>
      <c r="K529" s="252">
        <v>0</v>
      </c>
      <c r="O529" s="296" t="s">
        <v>1850</v>
      </c>
      <c r="R529" s="252">
        <f>SUM(R517:R527)</f>
        <v>5393.9</v>
      </c>
      <c r="S529" s="252">
        <v>0.5</v>
      </c>
      <c r="T529" s="252" t="s">
        <v>769</v>
      </c>
      <c r="U529" s="296"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59"/>
        <v>NO</v>
      </c>
      <c r="AF529" s="252">
        <v>0.5</v>
      </c>
      <c r="AG529" s="252" t="s">
        <v>769</v>
      </c>
      <c r="AH529" s="296" t="s">
        <v>2009</v>
      </c>
      <c r="AI529" s="252">
        <f>AB529</f>
        <v>999</v>
      </c>
      <c r="AJ529" s="296" t="s">
        <v>769</v>
      </c>
      <c r="AK529" s="252">
        <f>(AF529*AI529)</f>
        <v>499.5</v>
      </c>
    </row>
    <row r="530" spans="1:37" ht="24" customHeight="1">
      <c r="A530" s="363">
        <f t="shared" si="55"/>
        <v>355</v>
      </c>
      <c r="B530" s="365" t="s">
        <v>1115</v>
      </c>
      <c r="C530" s="314">
        <v>4.62</v>
      </c>
      <c r="D530" s="365" t="s">
        <v>868</v>
      </c>
      <c r="K530" s="358" t="s">
        <v>1586</v>
      </c>
      <c r="R530" s="358" t="s">
        <v>1586</v>
      </c>
      <c r="S530" s="252">
        <v>0.75</v>
      </c>
      <c r="T530" s="252" t="s">
        <v>769</v>
      </c>
      <c r="U530" s="296"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59"/>
        <v>NO</v>
      </c>
      <c r="AF530" s="252">
        <v>0.75</v>
      </c>
      <c r="AG530" s="252" t="s">
        <v>769</v>
      </c>
      <c r="AH530" s="296" t="s">
        <v>1902</v>
      </c>
      <c r="AI530" s="252">
        <f>AB530</f>
        <v>651</v>
      </c>
      <c r="AJ530" s="296" t="s">
        <v>769</v>
      </c>
      <c r="AK530" s="252">
        <f>(AF530*AI530)</f>
        <v>488.25</v>
      </c>
    </row>
    <row r="531" spans="1:37" ht="24" customHeight="1">
      <c r="A531" s="363">
        <f t="shared" si="55"/>
        <v>356</v>
      </c>
      <c r="B531" s="365" t="s">
        <v>1116</v>
      </c>
      <c r="C531" s="314">
        <v>7.83</v>
      </c>
      <c r="D531" s="365" t="s">
        <v>868</v>
      </c>
      <c r="H531" s="296" t="s">
        <v>1748</v>
      </c>
      <c r="K531" s="252">
        <f>SUM(K526:K529)</f>
        <v>1093.8699999999999</v>
      </c>
      <c r="O531" s="296" t="s">
        <v>1545</v>
      </c>
      <c r="R531" s="252">
        <f>(R529/30)</f>
        <v>179.8</v>
      </c>
      <c r="S531" s="252"/>
      <c r="T531" s="252" t="s">
        <v>449</v>
      </c>
      <c r="U531" s="296" t="s">
        <v>450</v>
      </c>
      <c r="W531" s="253" t="s">
        <v>449</v>
      </c>
      <c r="X531" s="252">
        <v>0</v>
      </c>
      <c r="Z531" s="252" t="s">
        <v>449</v>
      </c>
      <c r="AA531" s="296" t="s">
        <v>450</v>
      </c>
      <c r="AB531" s="252">
        <f>V531</f>
        <v>0</v>
      </c>
      <c r="AC531" s="296" t="s">
        <v>449</v>
      </c>
      <c r="AD531" s="252">
        <v>0</v>
      </c>
      <c r="AE531" s="370" t="str">
        <f t="shared" si="59"/>
        <v>L.S</v>
      </c>
      <c r="AG531" s="252" t="s">
        <v>449</v>
      </c>
      <c r="AH531" s="296" t="s">
        <v>450</v>
      </c>
      <c r="AI531" s="252">
        <f>AB531</f>
        <v>0</v>
      </c>
      <c r="AJ531" s="296" t="s">
        <v>449</v>
      </c>
      <c r="AK531" s="252">
        <v>0</v>
      </c>
    </row>
    <row r="532" spans="1:37" ht="24" customHeight="1">
      <c r="A532" s="363">
        <f t="shared" si="55"/>
        <v>357</v>
      </c>
      <c r="B532" s="365" t="s">
        <v>1117</v>
      </c>
      <c r="C532" s="314">
        <v>11.38</v>
      </c>
      <c r="D532" s="365" t="s">
        <v>868</v>
      </c>
      <c r="K532" s="358" t="s">
        <v>1586</v>
      </c>
      <c r="R532" s="358" t="s">
        <v>1586</v>
      </c>
      <c r="S532" s="252"/>
      <c r="W532" s="253"/>
      <c r="X532" s="358" t="s">
        <v>1586</v>
      </c>
      <c r="AC532" s="296"/>
      <c r="AD532" s="358" t="s">
        <v>1586</v>
      </c>
      <c r="AE532" s="370">
        <f t="shared" si="59"/>
        <v>0</v>
      </c>
      <c r="AJ532" s="296"/>
      <c r="AK532" s="358" t="s">
        <v>1586</v>
      </c>
    </row>
    <row r="533" spans="1:37" ht="24" customHeight="1">
      <c r="A533" s="363">
        <f t="shared" si="55"/>
        <v>358</v>
      </c>
      <c r="B533" s="365" t="s">
        <v>1118</v>
      </c>
      <c r="C533" s="314">
        <v>18.75</v>
      </c>
      <c r="D533" s="365" t="s">
        <v>868</v>
      </c>
      <c r="H533" s="296" t="s">
        <v>552</v>
      </c>
      <c r="K533" s="252">
        <f>(K531/0.743)</f>
        <v>1472.23</v>
      </c>
      <c r="S533" s="252"/>
      <c r="U533" s="296" t="s">
        <v>1748</v>
      </c>
      <c r="W533" s="253"/>
      <c r="X533" s="252">
        <f>SUM(X528:X531)</f>
        <v>1095.46</v>
      </c>
      <c r="AA533" s="296" t="s">
        <v>1748</v>
      </c>
      <c r="AC533" s="296"/>
      <c r="AD533" s="252">
        <f>SUM(AD528:AD531)</f>
        <v>1103.6300000000001</v>
      </c>
      <c r="AE533" s="370">
        <f t="shared" si="59"/>
        <v>0</v>
      </c>
      <c r="AH533" s="296" t="s">
        <v>1748</v>
      </c>
      <c r="AJ533" s="296"/>
      <c r="AK533" s="252">
        <f>SUM(AK528:AK531)</f>
        <v>1105.8</v>
      </c>
    </row>
    <row r="534" spans="1:37" ht="24" customHeight="1">
      <c r="A534" s="363">
        <f t="shared" si="55"/>
        <v>359</v>
      </c>
      <c r="B534" s="365" t="s">
        <v>1120</v>
      </c>
      <c r="C534" s="314">
        <v>35.1</v>
      </c>
      <c r="D534" s="365" t="s">
        <v>868</v>
      </c>
      <c r="K534" s="358" t="s">
        <v>2055</v>
      </c>
      <c r="S534" s="252"/>
      <c r="W534" s="253"/>
      <c r="X534" s="358" t="s">
        <v>1586</v>
      </c>
      <c r="AC534" s="296"/>
      <c r="AD534" s="358" t="s">
        <v>1586</v>
      </c>
      <c r="AE534" s="370">
        <f t="shared" si="59"/>
        <v>0</v>
      </c>
      <c r="AJ534" s="296"/>
      <c r="AK534" s="358" t="s">
        <v>1586</v>
      </c>
    </row>
    <row r="535" spans="1:37" ht="24" customHeight="1">
      <c r="A535" s="363">
        <f t="shared" si="55"/>
        <v>360</v>
      </c>
      <c r="B535" s="365" t="s">
        <v>240</v>
      </c>
      <c r="C535" s="314">
        <v>45.57</v>
      </c>
      <c r="D535" s="365" t="s">
        <v>868</v>
      </c>
      <c r="H535" s="296" t="s">
        <v>386</v>
      </c>
      <c r="I535" s="252">
        <f>K533</f>
        <v>1472.23</v>
      </c>
      <c r="J535" s="296">
        <f>C22*0.015/0.743</f>
        <v>2.42</v>
      </c>
      <c r="K535" s="274">
        <f>I535+J535</f>
        <v>1474.65</v>
      </c>
      <c r="N535" s="296" t="s">
        <v>1955</v>
      </c>
      <c r="O535" s="253" t="s">
        <v>1272</v>
      </c>
      <c r="S535" s="252"/>
      <c r="U535" s="296" t="s">
        <v>552</v>
      </c>
      <c r="W535" s="253"/>
      <c r="X535" s="252">
        <f>(X533/0.743)</f>
        <v>1474.37</v>
      </c>
      <c r="AA535" s="296" t="s">
        <v>552</v>
      </c>
      <c r="AC535" s="296"/>
      <c r="AD535" s="252">
        <f>(AD533/0.743)</f>
        <v>1485.37</v>
      </c>
      <c r="AE535" s="370">
        <f t="shared" si="59"/>
        <v>0</v>
      </c>
      <c r="AH535" s="296" t="s">
        <v>552</v>
      </c>
      <c r="AJ535" s="296"/>
      <c r="AK535" s="252">
        <f>(AK533/0.743)</f>
        <v>1488.29</v>
      </c>
    </row>
    <row r="536" spans="1:37" ht="24" customHeight="1">
      <c r="A536" s="363">
        <f t="shared" si="55"/>
        <v>361</v>
      </c>
      <c r="B536" s="365" t="s">
        <v>1127</v>
      </c>
      <c r="C536" s="314"/>
      <c r="D536" s="365" t="s">
        <v>975</v>
      </c>
      <c r="H536" s="296" t="s">
        <v>388</v>
      </c>
      <c r="I536" s="252">
        <f>K535</f>
        <v>1474.65</v>
      </c>
      <c r="J536" s="296">
        <f>C23*0.015/0.743</f>
        <v>4.7699999999999996</v>
      </c>
      <c r="K536" s="274">
        <f>I536+J536</f>
        <v>1479.42</v>
      </c>
      <c r="O536" s="358" t="s">
        <v>1586</v>
      </c>
      <c r="S536" s="252"/>
      <c r="W536" s="253"/>
      <c r="X536" s="358" t="s">
        <v>2055</v>
      </c>
      <c r="AC536" s="296"/>
      <c r="AD536" s="358" t="s">
        <v>2055</v>
      </c>
      <c r="AE536" s="370">
        <f t="shared" si="59"/>
        <v>0</v>
      </c>
      <c r="AJ536" s="296"/>
      <c r="AK536" s="358" t="s">
        <v>2055</v>
      </c>
    </row>
    <row r="537" spans="1:37" ht="24" customHeight="1">
      <c r="A537" s="363">
        <f t="shared" si="55"/>
        <v>362</v>
      </c>
      <c r="B537" s="365" t="s">
        <v>1115</v>
      </c>
      <c r="C537" s="314">
        <v>7.8</v>
      </c>
      <c r="D537" s="365" t="s">
        <v>868</v>
      </c>
      <c r="H537" s="296" t="s">
        <v>2232</v>
      </c>
      <c r="I537" s="252">
        <f>K536</f>
        <v>1479.42</v>
      </c>
      <c r="J537" s="296">
        <f>J536</f>
        <v>4.7699999999999996</v>
      </c>
      <c r="K537" s="274">
        <f>I537+J537</f>
        <v>1484.19</v>
      </c>
      <c r="M537" s="252">
        <v>30</v>
      </c>
      <c r="N537" s="296" t="s">
        <v>1771</v>
      </c>
      <c r="O537" s="296" t="s">
        <v>1664</v>
      </c>
      <c r="P537" s="252">
        <f>(C42)</f>
        <v>5</v>
      </c>
      <c r="Q537" s="296" t="s">
        <v>1771</v>
      </c>
      <c r="R537" s="252">
        <f>(M537*P537)</f>
        <v>150</v>
      </c>
      <c r="S537" s="252"/>
      <c r="U537" s="296" t="s">
        <v>386</v>
      </c>
      <c r="V537" s="252">
        <f>X535</f>
        <v>1474.37</v>
      </c>
      <c r="W537" s="253">
        <f>J535</f>
        <v>2.42</v>
      </c>
      <c r="X537" s="274">
        <f>V537+W537</f>
        <v>1476.79</v>
      </c>
      <c r="AA537" s="296" t="s">
        <v>386</v>
      </c>
      <c r="AB537" s="252">
        <f>AD535</f>
        <v>1485.37</v>
      </c>
      <c r="AC537" s="296">
        <f>W537</f>
        <v>2.42</v>
      </c>
      <c r="AD537" s="274">
        <f>AB537+AC537</f>
        <v>1487.79</v>
      </c>
      <c r="AE537" s="370">
        <f t="shared" si="59"/>
        <v>0</v>
      </c>
      <c r="AH537" s="296" t="s">
        <v>386</v>
      </c>
      <c r="AI537" s="252">
        <f>AK535</f>
        <v>1488.29</v>
      </c>
      <c r="AJ537" s="296">
        <f>AC537</f>
        <v>2.42</v>
      </c>
      <c r="AK537" s="274">
        <f>AI537+AJ537</f>
        <v>1490.71</v>
      </c>
    </row>
    <row r="538" spans="1:37" ht="24" customHeight="1">
      <c r="A538" s="363">
        <f t="shared" si="55"/>
        <v>363</v>
      </c>
      <c r="B538" s="365" t="s">
        <v>1116</v>
      </c>
      <c r="C538" s="314">
        <v>9.49</v>
      </c>
      <c r="D538" s="365" t="s">
        <v>868</v>
      </c>
      <c r="H538" s="296" t="s">
        <v>380</v>
      </c>
      <c r="I538" s="252">
        <f>K537</f>
        <v>1484.19</v>
      </c>
      <c r="J538" s="296">
        <f>J537</f>
        <v>4.7699999999999996</v>
      </c>
      <c r="K538" s="274">
        <f>I538+J538</f>
        <v>1488.96</v>
      </c>
      <c r="M538" s="296" t="s">
        <v>975</v>
      </c>
      <c r="O538" s="296" t="s">
        <v>1667</v>
      </c>
      <c r="P538" s="296" t="s">
        <v>975</v>
      </c>
      <c r="R538" s="296" t="s">
        <v>975</v>
      </c>
      <c r="S538" s="252"/>
      <c r="U538" s="296" t="s">
        <v>388</v>
      </c>
      <c r="V538" s="252">
        <f>X537</f>
        <v>1476.79</v>
      </c>
      <c r="W538" s="253">
        <f t="shared" ref="W538:W549" si="60">J538</f>
        <v>4.7699999999999996</v>
      </c>
      <c r="X538" s="274">
        <f>V538+W538</f>
        <v>1481.56</v>
      </c>
      <c r="AA538" s="296" t="s">
        <v>388</v>
      </c>
      <c r="AB538" s="252">
        <f>AD537</f>
        <v>1487.79</v>
      </c>
      <c r="AC538" s="296">
        <f t="shared" ref="AC538:AC549" si="61">W538</f>
        <v>4.7699999999999996</v>
      </c>
      <c r="AD538" s="274">
        <f>AB538+AC538</f>
        <v>1492.56</v>
      </c>
      <c r="AE538" s="370">
        <f t="shared" si="59"/>
        <v>0</v>
      </c>
      <c r="AH538" s="296" t="s">
        <v>388</v>
      </c>
      <c r="AI538" s="252">
        <f>AK537</f>
        <v>1490.71</v>
      </c>
      <c r="AJ538" s="296">
        <f t="shared" ref="AJ538:AJ548" si="62">AC538</f>
        <v>4.7699999999999996</v>
      </c>
      <c r="AK538" s="274">
        <f>AI538+AJ538</f>
        <v>1495.48</v>
      </c>
    </row>
    <row r="539" spans="1:37" ht="24" customHeight="1">
      <c r="A539" s="363">
        <f t="shared" si="55"/>
        <v>364</v>
      </c>
      <c r="B539" s="365" t="s">
        <v>1117</v>
      </c>
      <c r="C539" s="314">
        <v>13.91</v>
      </c>
      <c r="D539" s="365" t="s">
        <v>868</v>
      </c>
      <c r="H539" s="296" t="s">
        <v>388</v>
      </c>
      <c r="I539" s="252">
        <f>K538</f>
        <v>1488.96</v>
      </c>
      <c r="J539" s="296">
        <f>J538</f>
        <v>4.7699999999999996</v>
      </c>
      <c r="K539" s="274">
        <f>I539+J539</f>
        <v>1493.73</v>
      </c>
      <c r="M539" s="252">
        <v>8</v>
      </c>
      <c r="N539" s="296" t="s">
        <v>868</v>
      </c>
      <c r="O539" s="296" t="s">
        <v>2144</v>
      </c>
      <c r="P539" s="252">
        <f>(C45)</f>
        <v>11.2</v>
      </c>
      <c r="Q539" s="296" t="s">
        <v>868</v>
      </c>
      <c r="R539" s="252">
        <f>(M539*P539)</f>
        <v>89.6</v>
      </c>
      <c r="S539" s="252"/>
      <c r="U539" s="296" t="s">
        <v>2232</v>
      </c>
      <c r="V539" s="252">
        <f>X538</f>
        <v>1481.56</v>
      </c>
      <c r="W539" s="253">
        <f t="shared" si="60"/>
        <v>4.7699999999999996</v>
      </c>
      <c r="X539" s="274">
        <f>V539+W539</f>
        <v>1486.33</v>
      </c>
      <c r="AA539" s="296" t="s">
        <v>2232</v>
      </c>
      <c r="AB539" s="252">
        <f>AD538</f>
        <v>1492.56</v>
      </c>
      <c r="AC539" s="296">
        <f t="shared" si="61"/>
        <v>4.7699999999999996</v>
      </c>
      <c r="AD539" s="274">
        <f>AB539+AC539</f>
        <v>1497.33</v>
      </c>
      <c r="AE539" s="370">
        <f t="shared" si="59"/>
        <v>0</v>
      </c>
      <c r="AH539" s="296" t="s">
        <v>2232</v>
      </c>
      <c r="AI539" s="252">
        <f>AK538</f>
        <v>1495.48</v>
      </c>
      <c r="AJ539" s="296">
        <f t="shared" si="62"/>
        <v>4.7699999999999996</v>
      </c>
      <c r="AK539" s="274">
        <f>AI539+AJ539</f>
        <v>1500.25</v>
      </c>
    </row>
    <row r="540" spans="1:37" ht="24" customHeight="1">
      <c r="A540" s="363"/>
      <c r="B540" s="365"/>
      <c r="C540" s="364"/>
      <c r="D540" s="365"/>
      <c r="H540" s="296">
        <v>5</v>
      </c>
      <c r="I540" s="252">
        <f t="shared" ref="I540:I545" si="63">K539</f>
        <v>1493.73</v>
      </c>
      <c r="J540" s="296">
        <f t="shared" ref="J540:J547" si="64">J539</f>
        <v>4.7699999999999996</v>
      </c>
      <c r="K540" s="274">
        <f t="shared" ref="K540:K545" si="65">I540+J540</f>
        <v>1498.5</v>
      </c>
      <c r="N540" s="296"/>
      <c r="O540" s="296"/>
      <c r="Q540" s="296"/>
      <c r="S540" s="252"/>
      <c r="U540" s="296" t="s">
        <v>380</v>
      </c>
      <c r="V540" s="252">
        <f>X539</f>
        <v>1486.33</v>
      </c>
      <c r="W540" s="253">
        <f t="shared" si="60"/>
        <v>4.7699999999999996</v>
      </c>
      <c r="X540" s="274">
        <f>V540+W540</f>
        <v>1491.1</v>
      </c>
      <c r="AA540" s="296" t="s">
        <v>380</v>
      </c>
      <c r="AB540" s="252">
        <f>AD539</f>
        <v>1497.33</v>
      </c>
      <c r="AC540" s="296">
        <f t="shared" si="61"/>
        <v>4.7699999999999996</v>
      </c>
      <c r="AD540" s="274">
        <f>AB540+AC540</f>
        <v>1502.1</v>
      </c>
      <c r="AE540" s="370"/>
      <c r="AH540" s="296" t="s">
        <v>380</v>
      </c>
      <c r="AI540" s="252">
        <f>AK539</f>
        <v>1500.25</v>
      </c>
      <c r="AJ540" s="296">
        <f t="shared" si="62"/>
        <v>4.7699999999999996</v>
      </c>
      <c r="AK540" s="274">
        <f>AI540+AJ540</f>
        <v>1505.02</v>
      </c>
    </row>
    <row r="541" spans="1:37" ht="24" customHeight="1">
      <c r="A541" s="363"/>
      <c r="B541" s="365"/>
      <c r="C541" s="364"/>
      <c r="D541" s="365"/>
      <c r="H541" s="296">
        <v>6</v>
      </c>
      <c r="I541" s="252">
        <f t="shared" si="63"/>
        <v>1498.5</v>
      </c>
      <c r="J541" s="296">
        <f t="shared" si="64"/>
        <v>4.7699999999999996</v>
      </c>
      <c r="K541" s="274">
        <f t="shared" si="65"/>
        <v>1503.27</v>
      </c>
      <c r="N541" s="296"/>
      <c r="O541" s="296"/>
      <c r="Q541" s="296"/>
      <c r="S541" s="252"/>
      <c r="U541" s="296" t="s">
        <v>388</v>
      </c>
      <c r="V541" s="252">
        <f>X540</f>
        <v>1491.1</v>
      </c>
      <c r="W541" s="253">
        <f t="shared" si="60"/>
        <v>4.7699999999999996</v>
      </c>
      <c r="X541" s="274">
        <f>V541+W541</f>
        <v>1495.87</v>
      </c>
      <c r="AA541" s="296" t="s">
        <v>388</v>
      </c>
      <c r="AB541" s="252">
        <f>AD540</f>
        <v>1502.1</v>
      </c>
      <c r="AC541" s="296">
        <f t="shared" si="61"/>
        <v>4.7699999999999996</v>
      </c>
      <c r="AD541" s="274">
        <f>AB541+AC541</f>
        <v>1506.87</v>
      </c>
      <c r="AE541" s="370"/>
      <c r="AH541" s="296" t="s">
        <v>388</v>
      </c>
      <c r="AI541" s="252">
        <f>AK540</f>
        <v>1505.02</v>
      </c>
      <c r="AJ541" s="296">
        <f t="shared" si="62"/>
        <v>4.7699999999999996</v>
      </c>
      <c r="AK541" s="274">
        <f>AI541+AJ541</f>
        <v>1509.79</v>
      </c>
    </row>
    <row r="542" spans="1:37" ht="24" customHeight="1">
      <c r="A542" s="363"/>
      <c r="B542" s="365"/>
      <c r="C542" s="364"/>
      <c r="D542" s="365"/>
      <c r="H542" s="296">
        <v>7</v>
      </c>
      <c r="I542" s="252">
        <f t="shared" si="63"/>
        <v>1503.27</v>
      </c>
      <c r="J542" s="296">
        <f t="shared" si="64"/>
        <v>4.7699999999999996</v>
      </c>
      <c r="K542" s="274">
        <f t="shared" si="65"/>
        <v>1508.04</v>
      </c>
      <c r="N542" s="296"/>
      <c r="O542" s="296"/>
      <c r="Q542" s="296"/>
      <c r="S542" s="252"/>
      <c r="U542" s="296">
        <v>5</v>
      </c>
      <c r="V542" s="252">
        <f t="shared" ref="V542:V547" si="66">X541</f>
        <v>1495.87</v>
      </c>
      <c r="W542" s="253">
        <f t="shared" si="60"/>
        <v>4.7699999999999996</v>
      </c>
      <c r="X542" s="274">
        <f t="shared" ref="X542:X547" si="67">V542+W542</f>
        <v>1500.64</v>
      </c>
      <c r="AA542" s="296">
        <v>5</v>
      </c>
      <c r="AB542" s="252">
        <f t="shared" ref="AB542:AB547" si="68">AD541</f>
        <v>1506.87</v>
      </c>
      <c r="AC542" s="296">
        <f t="shared" si="61"/>
        <v>4.7699999999999996</v>
      </c>
      <c r="AD542" s="274">
        <f t="shared" ref="AD542:AD547" si="69">AB542+AC542</f>
        <v>1511.64</v>
      </c>
      <c r="AE542" s="370"/>
      <c r="AH542" s="296">
        <v>5</v>
      </c>
      <c r="AI542" s="252">
        <f t="shared" ref="AI542:AI547" si="70">AK541</f>
        <v>1509.79</v>
      </c>
      <c r="AJ542" s="296">
        <f t="shared" si="62"/>
        <v>4.7699999999999996</v>
      </c>
      <c r="AK542" s="274">
        <f t="shared" ref="AK542:AK547" si="71">AI542+AJ542</f>
        <v>1514.56</v>
      </c>
    </row>
    <row r="543" spans="1:37" ht="24" customHeight="1">
      <c r="A543" s="363"/>
      <c r="B543" s="365"/>
      <c r="C543" s="364"/>
      <c r="D543" s="365"/>
      <c r="H543" s="296">
        <v>8</v>
      </c>
      <c r="I543" s="252">
        <f t="shared" si="63"/>
        <v>1508.04</v>
      </c>
      <c r="J543" s="296">
        <f t="shared" si="64"/>
        <v>4.7699999999999996</v>
      </c>
      <c r="K543" s="274">
        <f t="shared" si="65"/>
        <v>1512.81</v>
      </c>
      <c r="N543" s="296"/>
      <c r="O543" s="296"/>
      <c r="Q543" s="296"/>
      <c r="S543" s="252"/>
      <c r="U543" s="296">
        <v>6</v>
      </c>
      <c r="V543" s="252">
        <f t="shared" si="66"/>
        <v>1500.64</v>
      </c>
      <c r="W543" s="253">
        <f t="shared" si="60"/>
        <v>4.7699999999999996</v>
      </c>
      <c r="X543" s="274">
        <f t="shared" si="67"/>
        <v>1505.41</v>
      </c>
      <c r="AA543" s="296">
        <v>6</v>
      </c>
      <c r="AB543" s="252">
        <f t="shared" si="68"/>
        <v>1511.64</v>
      </c>
      <c r="AC543" s="296">
        <f t="shared" si="61"/>
        <v>4.7699999999999996</v>
      </c>
      <c r="AD543" s="274">
        <f t="shared" si="69"/>
        <v>1516.41</v>
      </c>
      <c r="AE543" s="370"/>
      <c r="AH543" s="296">
        <v>6</v>
      </c>
      <c r="AI543" s="252">
        <f t="shared" si="70"/>
        <v>1514.56</v>
      </c>
      <c r="AJ543" s="296">
        <f t="shared" si="62"/>
        <v>4.7699999999999996</v>
      </c>
      <c r="AK543" s="274">
        <f t="shared" si="71"/>
        <v>1519.33</v>
      </c>
    </row>
    <row r="544" spans="1:37" ht="24" customHeight="1">
      <c r="A544" s="363"/>
      <c r="B544" s="365"/>
      <c r="C544" s="364"/>
      <c r="D544" s="365"/>
      <c r="H544" s="296">
        <v>9</v>
      </c>
      <c r="I544" s="252">
        <f t="shared" si="63"/>
        <v>1512.81</v>
      </c>
      <c r="J544" s="296">
        <f t="shared" si="64"/>
        <v>4.7699999999999996</v>
      </c>
      <c r="K544" s="274">
        <f t="shared" si="65"/>
        <v>1517.58</v>
      </c>
      <c r="N544" s="296"/>
      <c r="O544" s="296"/>
      <c r="Q544" s="296"/>
      <c r="S544" s="252"/>
      <c r="U544" s="296">
        <v>7</v>
      </c>
      <c r="V544" s="252">
        <f t="shared" si="66"/>
        <v>1505.41</v>
      </c>
      <c r="W544" s="253">
        <f t="shared" si="60"/>
        <v>4.7699999999999996</v>
      </c>
      <c r="X544" s="274">
        <f t="shared" si="67"/>
        <v>1510.18</v>
      </c>
      <c r="AA544" s="296">
        <v>7</v>
      </c>
      <c r="AB544" s="252">
        <f t="shared" si="68"/>
        <v>1516.41</v>
      </c>
      <c r="AC544" s="296">
        <f t="shared" si="61"/>
        <v>4.7699999999999996</v>
      </c>
      <c r="AD544" s="274">
        <f t="shared" si="69"/>
        <v>1521.18</v>
      </c>
      <c r="AE544" s="370"/>
      <c r="AH544" s="296">
        <v>7</v>
      </c>
      <c r="AI544" s="252">
        <f t="shared" si="70"/>
        <v>1519.33</v>
      </c>
      <c r="AJ544" s="296">
        <f t="shared" si="62"/>
        <v>4.7699999999999996</v>
      </c>
      <c r="AK544" s="274">
        <f t="shared" si="71"/>
        <v>1524.1</v>
      </c>
    </row>
    <row r="545" spans="1:37" ht="24" customHeight="1">
      <c r="A545" s="363"/>
      <c r="B545" s="365"/>
      <c r="C545" s="364"/>
      <c r="D545" s="365"/>
      <c r="H545" s="296">
        <v>10</v>
      </c>
      <c r="I545" s="252">
        <f t="shared" si="63"/>
        <v>1517.58</v>
      </c>
      <c r="J545" s="296">
        <f t="shared" si="64"/>
        <v>4.7699999999999996</v>
      </c>
      <c r="K545" s="274">
        <f t="shared" si="65"/>
        <v>1522.35</v>
      </c>
      <c r="N545" s="296"/>
      <c r="O545" s="296"/>
      <c r="Q545" s="296"/>
      <c r="S545" s="252"/>
      <c r="U545" s="296">
        <v>8</v>
      </c>
      <c r="V545" s="252">
        <f t="shared" si="66"/>
        <v>1510.18</v>
      </c>
      <c r="W545" s="253">
        <f t="shared" si="60"/>
        <v>4.7699999999999996</v>
      </c>
      <c r="X545" s="274">
        <f t="shared" si="67"/>
        <v>1514.95</v>
      </c>
      <c r="AA545" s="296">
        <v>8</v>
      </c>
      <c r="AB545" s="252">
        <f t="shared" si="68"/>
        <v>1521.18</v>
      </c>
      <c r="AC545" s="296">
        <f t="shared" si="61"/>
        <v>4.7699999999999996</v>
      </c>
      <c r="AD545" s="274">
        <f t="shared" si="69"/>
        <v>1525.95</v>
      </c>
      <c r="AE545" s="370"/>
      <c r="AH545" s="296">
        <v>8</v>
      </c>
      <c r="AI545" s="252">
        <f t="shared" si="70"/>
        <v>1524.1</v>
      </c>
      <c r="AJ545" s="296">
        <f t="shared" si="62"/>
        <v>4.7699999999999996</v>
      </c>
      <c r="AK545" s="274">
        <f t="shared" si="71"/>
        <v>1528.87</v>
      </c>
    </row>
    <row r="546" spans="1:37" ht="24" customHeight="1">
      <c r="A546" s="363"/>
      <c r="B546" s="365"/>
      <c r="C546" s="364"/>
      <c r="D546" s="365"/>
      <c r="H546" s="296">
        <v>11</v>
      </c>
      <c r="I546" s="252">
        <f>K545</f>
        <v>1522.35</v>
      </c>
      <c r="J546" s="296">
        <f t="shared" si="64"/>
        <v>4.7699999999999996</v>
      </c>
      <c r="K546" s="274">
        <f>I546+J546</f>
        <v>1527.12</v>
      </c>
      <c r="N546" s="296"/>
      <c r="O546" s="296"/>
      <c r="Q546" s="296"/>
      <c r="S546" s="252"/>
      <c r="U546" s="296">
        <v>9</v>
      </c>
      <c r="V546" s="252">
        <f t="shared" si="66"/>
        <v>1514.95</v>
      </c>
      <c r="W546" s="253">
        <f t="shared" si="60"/>
        <v>4.7699999999999996</v>
      </c>
      <c r="X546" s="274">
        <f t="shared" si="67"/>
        <v>1519.72</v>
      </c>
      <c r="AA546" s="296">
        <v>9</v>
      </c>
      <c r="AB546" s="252">
        <f t="shared" si="68"/>
        <v>1525.95</v>
      </c>
      <c r="AC546" s="296">
        <f t="shared" si="61"/>
        <v>4.7699999999999996</v>
      </c>
      <c r="AD546" s="274">
        <f t="shared" si="69"/>
        <v>1530.72</v>
      </c>
      <c r="AE546" s="370"/>
      <c r="AH546" s="296">
        <v>9</v>
      </c>
      <c r="AI546" s="252">
        <f t="shared" si="70"/>
        <v>1528.87</v>
      </c>
      <c r="AJ546" s="296">
        <f t="shared" si="62"/>
        <v>4.7699999999999996</v>
      </c>
      <c r="AK546" s="274">
        <f t="shared" si="71"/>
        <v>1533.64</v>
      </c>
    </row>
    <row r="547" spans="1:37" ht="24" customHeight="1">
      <c r="A547" s="363"/>
      <c r="B547" s="365"/>
      <c r="C547" s="364"/>
      <c r="D547" s="365"/>
      <c r="H547" s="296">
        <v>12</v>
      </c>
      <c r="I547" s="252">
        <f>K546</f>
        <v>1527.12</v>
      </c>
      <c r="J547" s="296">
        <f t="shared" si="64"/>
        <v>4.7699999999999996</v>
      </c>
      <c r="K547" s="274">
        <f>I547+J547</f>
        <v>1531.89</v>
      </c>
      <c r="N547" s="296"/>
      <c r="O547" s="296"/>
      <c r="Q547" s="296"/>
      <c r="S547" s="252"/>
      <c r="U547" s="296">
        <v>10</v>
      </c>
      <c r="V547" s="252">
        <f t="shared" si="66"/>
        <v>1519.72</v>
      </c>
      <c r="W547" s="253">
        <f t="shared" si="60"/>
        <v>4.7699999999999996</v>
      </c>
      <c r="X547" s="274">
        <f t="shared" si="67"/>
        <v>1524.49</v>
      </c>
      <c r="AA547" s="296">
        <v>10</v>
      </c>
      <c r="AB547" s="252">
        <f t="shared" si="68"/>
        <v>1530.72</v>
      </c>
      <c r="AC547" s="296">
        <f t="shared" si="61"/>
        <v>4.7699999999999996</v>
      </c>
      <c r="AD547" s="274">
        <f t="shared" si="69"/>
        <v>1535.49</v>
      </c>
      <c r="AE547" s="370"/>
      <c r="AH547" s="296">
        <v>10</v>
      </c>
      <c r="AI547" s="252">
        <f t="shared" si="70"/>
        <v>1533.64</v>
      </c>
      <c r="AJ547" s="296">
        <f t="shared" si="62"/>
        <v>4.7699999999999996</v>
      </c>
      <c r="AK547" s="274">
        <f t="shared" si="71"/>
        <v>1538.41</v>
      </c>
    </row>
    <row r="548" spans="1:37"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1524.49</v>
      </c>
      <c r="W548" s="253">
        <f t="shared" si="60"/>
        <v>0</v>
      </c>
      <c r="X548" s="274">
        <f>V548+W548</f>
        <v>1524.49</v>
      </c>
      <c r="AA548" s="296">
        <v>11</v>
      </c>
      <c r="AB548" s="252">
        <f>AD547</f>
        <v>1535.49</v>
      </c>
      <c r="AC548" s="296">
        <f t="shared" si="61"/>
        <v>0</v>
      </c>
      <c r="AD548" s="274">
        <f>AB548+AC548</f>
        <v>1535.49</v>
      </c>
      <c r="AE548" s="370">
        <f t="shared" si="59"/>
        <v>0</v>
      </c>
      <c r="AH548" s="296">
        <v>11</v>
      </c>
      <c r="AI548" s="252">
        <f>AK547</f>
        <v>1538.41</v>
      </c>
      <c r="AJ548" s="296">
        <f t="shared" si="62"/>
        <v>0</v>
      </c>
      <c r="AK548" s="274">
        <f>AI548+AJ548</f>
        <v>1538.41</v>
      </c>
    </row>
    <row r="549" spans="1:37" ht="45.75" customHeight="1">
      <c r="A549" s="363">
        <f t="shared" si="55"/>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296">
        <v>12</v>
      </c>
      <c r="V549" s="252">
        <f>X548</f>
        <v>1524.49</v>
      </c>
      <c r="W549" s="253">
        <f t="shared" si="60"/>
        <v>0</v>
      </c>
      <c r="X549" s="274">
        <f>V549+W549</f>
        <v>1524.49</v>
      </c>
      <c r="AA549" s="296">
        <v>12</v>
      </c>
      <c r="AB549" s="252">
        <f>AD548</f>
        <v>1535.49</v>
      </c>
      <c r="AC549" s="296">
        <f t="shared" si="61"/>
        <v>0</v>
      </c>
      <c r="AD549" s="274">
        <f>AB549+AC549</f>
        <v>1535.49</v>
      </c>
      <c r="AE549" s="370">
        <f t="shared" si="59"/>
        <v>0</v>
      </c>
      <c r="AH549" s="296">
        <v>12</v>
      </c>
      <c r="AI549" s="252">
        <f>AK548</f>
        <v>1538.41</v>
      </c>
      <c r="AJ549" s="296">
        <f>AD549</f>
        <v>1535.49</v>
      </c>
      <c r="AK549" s="274">
        <f>AI549+AJ549</f>
        <v>3073.9</v>
      </c>
    </row>
    <row r="550" spans="1:37" ht="52.5" customHeight="1">
      <c r="A550" s="363">
        <f t="shared" si="55"/>
        <v>367</v>
      </c>
      <c r="B550" s="365" t="s">
        <v>240</v>
      </c>
      <c r="C550" s="314">
        <v>66</v>
      </c>
      <c r="D550" s="365" t="s">
        <v>868</v>
      </c>
      <c r="F550" s="252">
        <v>0.03</v>
      </c>
      <c r="G550" s="252" t="s">
        <v>869</v>
      </c>
      <c r="H550" s="296" t="s">
        <v>997</v>
      </c>
      <c r="I550" s="252">
        <f>(K513)</f>
        <v>7074.75</v>
      </c>
      <c r="J550" s="296" t="s">
        <v>869</v>
      </c>
      <c r="K550" s="252">
        <f>(F550*I550)</f>
        <v>212.24</v>
      </c>
      <c r="M550" s="252">
        <v>1</v>
      </c>
      <c r="N550" s="296" t="s">
        <v>868</v>
      </c>
      <c r="O550" s="296" t="s">
        <v>1846</v>
      </c>
      <c r="P550" s="252">
        <f>(C10)</f>
        <v>999</v>
      </c>
      <c r="Q550" s="296" t="s">
        <v>868</v>
      </c>
      <c r="R550" s="252">
        <f>(M550*P550)</f>
        <v>999</v>
      </c>
      <c r="S550" s="253" t="s">
        <v>1128</v>
      </c>
      <c r="T550" s="252" t="s">
        <v>2251</v>
      </c>
      <c r="U550" s="389" t="s">
        <v>6111</v>
      </c>
      <c r="W550" s="253"/>
      <c r="Y550" s="253" t="s">
        <v>1128</v>
      </c>
      <c r="Z550" s="252" t="s">
        <v>2251</v>
      </c>
      <c r="AA550" s="1081" t="s">
        <v>6112</v>
      </c>
      <c r="AB550" s="1081"/>
      <c r="AC550" s="296"/>
      <c r="AE550" s="370" t="str">
        <f t="shared" si="59"/>
        <v>*</v>
      </c>
      <c r="AF550" s="253" t="s">
        <v>1128</v>
      </c>
      <c r="AG550" s="252" t="s">
        <v>2251</v>
      </c>
      <c r="AH550" s="1081" t="s">
        <v>6113</v>
      </c>
      <c r="AI550" s="1081"/>
      <c r="AJ550" s="296"/>
    </row>
    <row r="551" spans="1:37" ht="24" customHeight="1">
      <c r="A551" s="363">
        <f t="shared" si="55"/>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358" t="s">
        <v>1586</v>
      </c>
      <c r="W551" s="253"/>
      <c r="AA551" s="358" t="s">
        <v>1586</v>
      </c>
      <c r="AC551" s="296"/>
      <c r="AE551" s="370">
        <f t="shared" si="59"/>
        <v>0</v>
      </c>
      <c r="AH551" s="358" t="s">
        <v>1586</v>
      </c>
      <c r="AJ551" s="296"/>
    </row>
    <row r="552" spans="1:37" ht="24" customHeight="1">
      <c r="A552" s="363">
        <f t="shared" si="55"/>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296" t="s">
        <v>3994</v>
      </c>
      <c r="V552" s="252">
        <f>V528</f>
        <v>7180.76</v>
      </c>
      <c r="W552" s="253" t="s">
        <v>869</v>
      </c>
      <c r="X552" s="252">
        <f>(S552*V552)</f>
        <v>215.42</v>
      </c>
      <c r="Y552" s="252">
        <v>0.03</v>
      </c>
      <c r="Z552" s="252" t="s">
        <v>869</v>
      </c>
      <c r="AA552" s="296" t="s">
        <v>3994</v>
      </c>
      <c r="AB552" s="252">
        <f>AB528</f>
        <v>7725.02</v>
      </c>
      <c r="AC552" s="296" t="s">
        <v>869</v>
      </c>
      <c r="AD552" s="252">
        <f>(Y552*AB552)</f>
        <v>231.75</v>
      </c>
      <c r="AE552" s="370" t="str">
        <f t="shared" si="59"/>
        <v>CUM</v>
      </c>
      <c r="AF552" s="316">
        <v>7.3999999999999996E-2</v>
      </c>
      <c r="AG552" s="252" t="s">
        <v>869</v>
      </c>
      <c r="AH552" s="296" t="s">
        <v>3994</v>
      </c>
      <c r="AI552" s="252">
        <f>AI528</f>
        <v>7869.93</v>
      </c>
      <c r="AJ552" s="296" t="s">
        <v>869</v>
      </c>
      <c r="AK552" s="252">
        <f>(AF552*AI552)</f>
        <v>582.37</v>
      </c>
    </row>
    <row r="553" spans="1:37" ht="24" customHeight="1">
      <c r="A553" s="363">
        <f t="shared" si="55"/>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59"/>
        <v>NO</v>
      </c>
      <c r="AF553" s="252">
        <v>0.5</v>
      </c>
      <c r="AG553" s="252" t="s">
        <v>769</v>
      </c>
      <c r="AH553" s="296" t="s">
        <v>2009</v>
      </c>
      <c r="AI553" s="252">
        <f>AI529</f>
        <v>999</v>
      </c>
      <c r="AJ553" s="296" t="s">
        <v>769</v>
      </c>
      <c r="AK553" s="252">
        <f>(AF553*AI553)</f>
        <v>499.5</v>
      </c>
    </row>
    <row r="554" spans="1:37" ht="24" customHeight="1">
      <c r="A554" s="363">
        <f t="shared" si="55"/>
        <v>371</v>
      </c>
      <c r="B554" s="365" t="s">
        <v>1663</v>
      </c>
      <c r="C554" s="314">
        <v>6.18</v>
      </c>
      <c r="D554" s="365" t="s">
        <v>868</v>
      </c>
      <c r="K554" s="358" t="s">
        <v>1586</v>
      </c>
      <c r="O554" s="296" t="s">
        <v>1849</v>
      </c>
      <c r="P554" s="296" t="s">
        <v>975</v>
      </c>
      <c r="R554" s="296" t="s">
        <v>975</v>
      </c>
      <c r="S554" s="252">
        <v>0.75</v>
      </c>
      <c r="T554" s="252" t="s">
        <v>769</v>
      </c>
      <c r="U554" s="296"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59"/>
        <v>NO</v>
      </c>
      <c r="AF554" s="252">
        <v>0.75</v>
      </c>
      <c r="AG554" s="252" t="s">
        <v>769</v>
      </c>
      <c r="AH554" s="296" t="s">
        <v>1902</v>
      </c>
      <c r="AI554" s="252">
        <f>AI530</f>
        <v>651</v>
      </c>
      <c r="AJ554" s="296" t="s">
        <v>769</v>
      </c>
      <c r="AK554" s="252">
        <f>(AF554*AI554)</f>
        <v>488.25</v>
      </c>
    </row>
    <row r="555" spans="1:37" ht="24" customHeight="1">
      <c r="A555" s="363">
        <f t="shared" si="55"/>
        <v>372</v>
      </c>
      <c r="B555" s="365" t="s">
        <v>1130</v>
      </c>
      <c r="C555" s="314">
        <v>13.29</v>
      </c>
      <c r="D555" s="365" t="s">
        <v>868</v>
      </c>
      <c r="H555" s="296" t="s">
        <v>1748</v>
      </c>
      <c r="K555" s="252">
        <f>SUM(K550:K553)</f>
        <v>1199.99</v>
      </c>
      <c r="N555" s="296" t="s">
        <v>449</v>
      </c>
      <c r="O555" s="296" t="s">
        <v>450</v>
      </c>
      <c r="Q555" s="296" t="s">
        <v>449</v>
      </c>
      <c r="R555" s="252">
        <v>0</v>
      </c>
      <c r="S555" s="252"/>
      <c r="T555" s="252" t="s">
        <v>449</v>
      </c>
      <c r="U555" s="296" t="s">
        <v>450</v>
      </c>
      <c r="V555" s="252">
        <f>V531</f>
        <v>0</v>
      </c>
      <c r="W555" s="253" t="s">
        <v>449</v>
      </c>
      <c r="X555" s="252">
        <v>0</v>
      </c>
      <c r="Z555" s="252" t="s">
        <v>449</v>
      </c>
      <c r="AA555" s="296" t="s">
        <v>450</v>
      </c>
      <c r="AB555" s="252">
        <f>AB531</f>
        <v>0</v>
      </c>
      <c r="AC555" s="296" t="s">
        <v>449</v>
      </c>
      <c r="AD555" s="252">
        <v>0</v>
      </c>
      <c r="AE555" s="370" t="str">
        <f t="shared" si="59"/>
        <v>L.S</v>
      </c>
      <c r="AG555" s="252" t="s">
        <v>449</v>
      </c>
      <c r="AH555" s="296" t="s">
        <v>450</v>
      </c>
      <c r="AI555" s="252">
        <f>AI531</f>
        <v>0</v>
      </c>
      <c r="AJ555" s="296" t="s">
        <v>449</v>
      </c>
      <c r="AK555" s="252">
        <v>0</v>
      </c>
    </row>
    <row r="556" spans="1:37" ht="24" customHeight="1">
      <c r="A556" s="363">
        <f t="shared" si="55"/>
        <v>373</v>
      </c>
      <c r="B556" s="365" t="s">
        <v>1131</v>
      </c>
      <c r="C556" s="314">
        <v>14.11</v>
      </c>
      <c r="D556" s="365" t="s">
        <v>868</v>
      </c>
      <c r="K556" s="358" t="s">
        <v>1586</v>
      </c>
      <c r="R556" s="358" t="s">
        <v>1586</v>
      </c>
      <c r="S556" s="252"/>
      <c r="W556" s="253"/>
      <c r="X556" s="358" t="s">
        <v>1586</v>
      </c>
      <c r="AC556" s="296"/>
      <c r="AD556" s="358" t="s">
        <v>1586</v>
      </c>
      <c r="AE556" s="370">
        <f t="shared" si="59"/>
        <v>0</v>
      </c>
      <c r="AJ556" s="296"/>
      <c r="AK556" s="358" t="s">
        <v>1586</v>
      </c>
    </row>
    <row r="557" spans="1:37" ht="24" customHeight="1">
      <c r="A557" s="363">
        <f t="shared" si="55"/>
        <v>374</v>
      </c>
      <c r="B557" s="365" t="s">
        <v>1132</v>
      </c>
      <c r="C557" s="314">
        <v>14.69</v>
      </c>
      <c r="D557" s="365" t="s">
        <v>868</v>
      </c>
      <c r="H557" s="296" t="s">
        <v>552</v>
      </c>
      <c r="K557" s="252">
        <f>(K555/0.743)</f>
        <v>1615.06</v>
      </c>
      <c r="O557" s="296" t="s">
        <v>1850</v>
      </c>
      <c r="R557" s="252">
        <f>SUM(R537:R555)</f>
        <v>5525.1</v>
      </c>
      <c r="S557" s="252"/>
      <c r="U557" s="296" t="s">
        <v>1748</v>
      </c>
      <c r="W557" s="253"/>
      <c r="X557" s="252">
        <f>SUM(X552:X555)</f>
        <v>1203.17</v>
      </c>
      <c r="AA557" s="296" t="s">
        <v>1748</v>
      </c>
      <c r="AC557" s="296"/>
      <c r="AD557" s="252">
        <f>SUM(AD552:AD555)</f>
        <v>1219.5</v>
      </c>
      <c r="AE557" s="370">
        <f t="shared" si="59"/>
        <v>0</v>
      </c>
      <c r="AH557" s="296" t="s">
        <v>1748</v>
      </c>
      <c r="AJ557" s="296"/>
      <c r="AK557" s="252">
        <f>SUM(AK552:AK555)</f>
        <v>1570.12</v>
      </c>
    </row>
    <row r="558" spans="1:37" ht="24" customHeight="1">
      <c r="A558" s="363">
        <f t="shared" si="55"/>
        <v>375</v>
      </c>
      <c r="B558" s="365" t="s">
        <v>1864</v>
      </c>
      <c r="C558" s="364"/>
      <c r="D558" s="365" t="s">
        <v>975</v>
      </c>
      <c r="K558" s="358" t="s">
        <v>2055</v>
      </c>
      <c r="R558" s="358" t="s">
        <v>1586</v>
      </c>
      <c r="S558" s="252"/>
      <c r="W558" s="253"/>
      <c r="X558" s="358" t="s">
        <v>1586</v>
      </c>
      <c r="AC558" s="296"/>
      <c r="AD558" s="358" t="s">
        <v>1586</v>
      </c>
      <c r="AE558" s="370">
        <f t="shared" si="59"/>
        <v>0</v>
      </c>
      <c r="AJ558" s="296"/>
      <c r="AK558" s="358" t="s">
        <v>1586</v>
      </c>
    </row>
    <row r="559" spans="1:37" ht="24" customHeight="1">
      <c r="A559" s="363">
        <f t="shared" si="55"/>
        <v>376</v>
      </c>
      <c r="B559" s="365" t="s">
        <v>952</v>
      </c>
      <c r="C559" s="314">
        <v>10.3</v>
      </c>
      <c r="D559" s="365" t="s">
        <v>868</v>
      </c>
      <c r="H559" s="296" t="s">
        <v>386</v>
      </c>
      <c r="I559" s="252">
        <f>K557</f>
        <v>1615.06</v>
      </c>
      <c r="J559" s="296">
        <f>C22*0.03/0.743</f>
        <v>4.84</v>
      </c>
      <c r="K559" s="274">
        <f>I559+J559</f>
        <v>1619.9</v>
      </c>
      <c r="M559" s="252">
        <f>0.47*38.5</f>
        <v>18.100000000000001</v>
      </c>
      <c r="O559" s="296" t="s">
        <v>1545</v>
      </c>
      <c r="R559" s="252">
        <f>(R557/30)</f>
        <v>184.17</v>
      </c>
      <c r="S559" s="252"/>
      <c r="U559" s="296" t="s">
        <v>3995</v>
      </c>
      <c r="W559" s="253"/>
      <c r="X559" s="274">
        <f>(X557/0.743)</f>
        <v>1619.34</v>
      </c>
      <c r="AA559" s="296" t="s">
        <v>3995</v>
      </c>
      <c r="AC559" s="296"/>
      <c r="AD559" s="274">
        <f>(AD557/0.743)</f>
        <v>1641.32</v>
      </c>
      <c r="AE559" s="370">
        <f t="shared" si="59"/>
        <v>0</v>
      </c>
      <c r="AH559" s="296" t="s">
        <v>3995</v>
      </c>
      <c r="AJ559" s="296"/>
      <c r="AK559" s="274">
        <f>(AK557/0.743)</f>
        <v>2113.2199999999998</v>
      </c>
    </row>
    <row r="560" spans="1:37" ht="24" customHeight="1">
      <c r="A560" s="363">
        <f t="shared" si="55"/>
        <v>377</v>
      </c>
      <c r="B560" s="365" t="s">
        <v>744</v>
      </c>
      <c r="C560" s="314">
        <v>19.05</v>
      </c>
      <c r="D560" s="365" t="s">
        <v>868</v>
      </c>
      <c r="H560" s="296" t="s">
        <v>388</v>
      </c>
      <c r="I560" s="252">
        <f>K559</f>
        <v>1619.9</v>
      </c>
      <c r="J560" s="296">
        <f>C23*0.03/0.743</f>
        <v>9.5299999999999994</v>
      </c>
      <c r="K560" s="274">
        <f>I560+J560</f>
        <v>1629.43</v>
      </c>
      <c r="M560" s="252">
        <f>0.24*546</f>
        <v>131.04</v>
      </c>
      <c r="R560" s="358" t="s">
        <v>1586</v>
      </c>
      <c r="S560" s="252"/>
      <c r="W560" s="253"/>
      <c r="X560" s="358" t="s">
        <v>2055</v>
      </c>
      <c r="AC560" s="296"/>
      <c r="AD560" s="358" t="s">
        <v>2055</v>
      </c>
      <c r="AE560" s="370">
        <f t="shared" si="59"/>
        <v>0</v>
      </c>
      <c r="AJ560" s="296"/>
      <c r="AK560" s="358" t="s">
        <v>2055</v>
      </c>
    </row>
    <row r="561" spans="1:37" ht="24" customHeight="1">
      <c r="A561" s="363">
        <f t="shared" si="55"/>
        <v>378</v>
      </c>
      <c r="B561" s="365" t="s">
        <v>1663</v>
      </c>
      <c r="C561" s="314">
        <v>15.34</v>
      </c>
      <c r="D561" s="365" t="s">
        <v>868</v>
      </c>
      <c r="H561" s="296" t="s">
        <v>2232</v>
      </c>
      <c r="I561" s="252">
        <f>K560</f>
        <v>1629.43</v>
      </c>
      <c r="J561" s="296">
        <f>J560</f>
        <v>9.5299999999999994</v>
      </c>
      <c r="K561" s="274">
        <f>I561+J561</f>
        <v>1638.96</v>
      </c>
      <c r="M561" s="252">
        <f>0.24*143.6</f>
        <v>34.46</v>
      </c>
      <c r="N561" s="296" t="s">
        <v>2251</v>
      </c>
      <c r="O561" s="296" t="s">
        <v>2047</v>
      </c>
      <c r="S561" s="252"/>
      <c r="U561" s="296" t="s">
        <v>386</v>
      </c>
      <c r="V561" s="252">
        <f>X559</f>
        <v>1619.34</v>
      </c>
      <c r="W561" s="253">
        <f>J559</f>
        <v>4.84</v>
      </c>
      <c r="X561" s="274">
        <f>V561+W561</f>
        <v>1624.18</v>
      </c>
      <c r="AA561" s="296" t="s">
        <v>386</v>
      </c>
      <c r="AB561" s="252">
        <f>AD559</f>
        <v>1641.32</v>
      </c>
      <c r="AC561" s="296">
        <f t="shared" ref="AC561:AC566" si="72">W561</f>
        <v>4.84</v>
      </c>
      <c r="AD561" s="274">
        <f t="shared" ref="AD561:AD566" si="73">AB561+AC561</f>
        <v>1646.16</v>
      </c>
      <c r="AE561" s="370">
        <f t="shared" si="59"/>
        <v>0</v>
      </c>
      <c r="AH561" s="296" t="s">
        <v>386</v>
      </c>
      <c r="AI561" s="252">
        <f>AK559</f>
        <v>2113.2199999999998</v>
      </c>
      <c r="AJ561" s="296">
        <f t="shared" ref="AJ561:AJ566" si="74">AC561</f>
        <v>4.84</v>
      </c>
      <c r="AK561" s="274">
        <f t="shared" ref="AK561:AK566" si="75">AI561+AJ561</f>
        <v>2118.06</v>
      </c>
    </row>
    <row r="562" spans="1:37" ht="24" customHeight="1">
      <c r="A562" s="363">
        <f t="shared" si="55"/>
        <v>379</v>
      </c>
      <c r="B562" s="365" t="s">
        <v>1865</v>
      </c>
      <c r="C562" s="314">
        <v>29.41</v>
      </c>
      <c r="D562" s="365" t="s">
        <v>868</v>
      </c>
      <c r="H562" s="296" t="s">
        <v>380</v>
      </c>
      <c r="I562" s="252">
        <f>K561</f>
        <v>1638.96</v>
      </c>
      <c r="J562" s="296">
        <f>J561</f>
        <v>9.5299999999999994</v>
      </c>
      <c r="K562" s="274">
        <f>I562+J562</f>
        <v>1648.49</v>
      </c>
      <c r="M562" s="252">
        <f>0.79*328.9</f>
        <v>259.83</v>
      </c>
      <c r="O562" s="296" t="s">
        <v>1866</v>
      </c>
      <c r="S562" s="252"/>
      <c r="U562" s="296" t="s">
        <v>388</v>
      </c>
      <c r="V562" s="252">
        <f>X561</f>
        <v>1624.18</v>
      </c>
      <c r="W562" s="253">
        <f>J560</f>
        <v>9.5299999999999994</v>
      </c>
      <c r="X562" s="274">
        <f>V562+W562</f>
        <v>1633.71</v>
      </c>
      <c r="AA562" s="296" t="s">
        <v>388</v>
      </c>
      <c r="AB562" s="252">
        <f>AD561</f>
        <v>1646.16</v>
      </c>
      <c r="AC562" s="296">
        <f t="shared" si="72"/>
        <v>9.5299999999999994</v>
      </c>
      <c r="AD562" s="274">
        <f t="shared" si="73"/>
        <v>1655.69</v>
      </c>
      <c r="AE562" s="370">
        <f t="shared" si="59"/>
        <v>0</v>
      </c>
      <c r="AH562" s="296" t="s">
        <v>388</v>
      </c>
      <c r="AI562" s="252">
        <f>AK561</f>
        <v>2118.06</v>
      </c>
      <c r="AJ562" s="296">
        <f t="shared" si="74"/>
        <v>9.5299999999999994</v>
      </c>
      <c r="AK562" s="274">
        <f t="shared" si="75"/>
        <v>2127.59</v>
      </c>
    </row>
    <row r="563" spans="1:37" ht="24" customHeight="1">
      <c r="A563" s="364"/>
      <c r="B563" s="364"/>
      <c r="C563" s="314"/>
      <c r="D563" s="364"/>
      <c r="F563" s="296" t="s">
        <v>975</v>
      </c>
      <c r="H563" s="296" t="s">
        <v>388</v>
      </c>
      <c r="I563" s="252">
        <f>K562</f>
        <v>1648.49</v>
      </c>
      <c r="J563" s="296">
        <f>J562</f>
        <v>9.5299999999999994</v>
      </c>
      <c r="K563" s="274">
        <f>I563+J563</f>
        <v>1658.02</v>
      </c>
      <c r="M563" s="252">
        <f>SUM(M559:M562)</f>
        <v>443.43</v>
      </c>
      <c r="S563" s="252"/>
      <c r="U563" s="296" t="s">
        <v>2232</v>
      </c>
      <c r="V563" s="252">
        <f>X562</f>
        <v>1633.71</v>
      </c>
      <c r="W563" s="253">
        <f>J561</f>
        <v>9.5299999999999994</v>
      </c>
      <c r="X563" s="274">
        <f>V563+W563</f>
        <v>1643.24</v>
      </c>
      <c r="AA563" s="296" t="s">
        <v>2232</v>
      </c>
      <c r="AB563" s="252">
        <f>AD562</f>
        <v>1655.69</v>
      </c>
      <c r="AC563" s="296">
        <f t="shared" si="72"/>
        <v>9.5299999999999994</v>
      </c>
      <c r="AD563" s="274">
        <f t="shared" si="73"/>
        <v>1665.22</v>
      </c>
      <c r="AE563" s="370">
        <f t="shared" si="59"/>
        <v>0</v>
      </c>
      <c r="AH563" s="296" t="s">
        <v>2232</v>
      </c>
      <c r="AI563" s="252">
        <f>AK562</f>
        <v>2127.59</v>
      </c>
      <c r="AJ563" s="296">
        <f t="shared" si="74"/>
        <v>9.5299999999999994</v>
      </c>
      <c r="AK563" s="274">
        <f t="shared" si="75"/>
        <v>2137.12</v>
      </c>
    </row>
    <row r="564" spans="1:37" ht="15.75">
      <c r="A564" s="363">
        <f>(A562+1)</f>
        <v>380</v>
      </c>
      <c r="B564" s="365" t="s">
        <v>1131</v>
      </c>
      <c r="C564" s="314">
        <v>38.35</v>
      </c>
      <c r="D564" s="365" t="s">
        <v>868</v>
      </c>
      <c r="H564" s="296">
        <v>5</v>
      </c>
      <c r="I564" s="252">
        <f t="shared" ref="I564:I569" si="76">K563</f>
        <v>1658.02</v>
      </c>
      <c r="J564" s="296">
        <f t="shared" ref="J564:J571" si="77">J563</f>
        <v>9.5299999999999994</v>
      </c>
      <c r="K564" s="274">
        <f t="shared" ref="K564:K569" si="78">I564+J564</f>
        <v>1667.55</v>
      </c>
      <c r="O564" s="296" t="s">
        <v>153</v>
      </c>
      <c r="S564" s="252"/>
      <c r="U564" s="296" t="s">
        <v>380</v>
      </c>
      <c r="V564" s="252">
        <f>X563</f>
        <v>1643.24</v>
      </c>
      <c r="W564" s="253">
        <f>J562</f>
        <v>9.5299999999999994</v>
      </c>
      <c r="X564" s="274">
        <f>V564+W564</f>
        <v>1652.77</v>
      </c>
      <c r="AA564" s="296" t="s">
        <v>380</v>
      </c>
      <c r="AB564" s="252">
        <f>AD563</f>
        <v>1665.22</v>
      </c>
      <c r="AC564" s="296">
        <f t="shared" si="72"/>
        <v>9.5299999999999994</v>
      </c>
      <c r="AD564" s="274">
        <f t="shared" si="73"/>
        <v>1674.75</v>
      </c>
      <c r="AE564" s="370">
        <f t="shared" si="59"/>
        <v>0</v>
      </c>
      <c r="AH564" s="296" t="s">
        <v>380</v>
      </c>
      <c r="AI564" s="252">
        <f>AK563</f>
        <v>2137.12</v>
      </c>
      <c r="AJ564" s="296">
        <f t="shared" si="74"/>
        <v>9.5299999999999994</v>
      </c>
      <c r="AK564" s="274">
        <f t="shared" si="75"/>
        <v>2146.65</v>
      </c>
    </row>
    <row r="565" spans="1:37" ht="15.75">
      <c r="A565" s="363"/>
      <c r="B565" s="365"/>
      <c r="C565" s="364"/>
      <c r="D565" s="365"/>
      <c r="H565" s="296">
        <v>6</v>
      </c>
      <c r="I565" s="252">
        <f t="shared" si="76"/>
        <v>1667.55</v>
      </c>
      <c r="J565" s="296">
        <f t="shared" si="77"/>
        <v>9.5299999999999994</v>
      </c>
      <c r="K565" s="274">
        <f t="shared" si="78"/>
        <v>1677.08</v>
      </c>
      <c r="O565" s="296"/>
      <c r="S565" s="296" t="s">
        <v>975</v>
      </c>
      <c r="U565" s="296" t="s">
        <v>4011</v>
      </c>
      <c r="V565" s="252">
        <f>X564</f>
        <v>1652.77</v>
      </c>
      <c r="W565" s="253">
        <f>J563</f>
        <v>9.5299999999999994</v>
      </c>
      <c r="X565" s="274">
        <f>V565+W565</f>
        <v>1662.3</v>
      </c>
      <c r="AA565" s="296" t="s">
        <v>388</v>
      </c>
      <c r="AB565" s="252">
        <f>AD564</f>
        <v>1674.75</v>
      </c>
      <c r="AC565" s="296">
        <f t="shared" si="72"/>
        <v>9.5299999999999994</v>
      </c>
      <c r="AD565" s="274">
        <f t="shared" si="73"/>
        <v>1684.28</v>
      </c>
      <c r="AE565" s="370"/>
      <c r="AH565" s="296" t="s">
        <v>388</v>
      </c>
      <c r="AI565" s="252">
        <f>AK564</f>
        <v>2146.65</v>
      </c>
      <c r="AJ565" s="296">
        <f t="shared" si="74"/>
        <v>9.5299999999999994</v>
      </c>
      <c r="AK565" s="274">
        <f t="shared" si="75"/>
        <v>2156.1799999999998</v>
      </c>
    </row>
    <row r="566" spans="1:37" ht="15.75">
      <c r="A566" s="363"/>
      <c r="B566" s="365"/>
      <c r="C566" s="364"/>
      <c r="D566" s="365"/>
      <c r="H566" s="296">
        <v>7</v>
      </c>
      <c r="I566" s="252">
        <f t="shared" si="76"/>
        <v>1677.08</v>
      </c>
      <c r="J566" s="296">
        <f t="shared" si="77"/>
        <v>9.5299999999999994</v>
      </c>
      <c r="K566" s="274">
        <f t="shared" si="78"/>
        <v>1686.61</v>
      </c>
      <c r="O566" s="296"/>
      <c r="W566" s="253"/>
      <c r="AA566" s="296" t="s">
        <v>2232</v>
      </c>
      <c r="AB566" s="252">
        <f>AD565</f>
        <v>1684.28</v>
      </c>
      <c r="AC566" s="296">
        <f t="shared" si="72"/>
        <v>0</v>
      </c>
      <c r="AD566" s="274">
        <f t="shared" si="73"/>
        <v>1684.28</v>
      </c>
      <c r="AE566" s="370"/>
      <c r="AH566" s="296" t="s">
        <v>2232</v>
      </c>
      <c r="AI566" s="252">
        <f>AK565</f>
        <v>2156.1799999999998</v>
      </c>
      <c r="AJ566" s="296">
        <f t="shared" si="74"/>
        <v>0</v>
      </c>
      <c r="AK566" s="274">
        <f t="shared" si="75"/>
        <v>2156.1799999999998</v>
      </c>
    </row>
    <row r="567" spans="1:37" ht="15.75">
      <c r="A567" s="363"/>
      <c r="B567" s="365"/>
      <c r="C567" s="364"/>
      <c r="D567" s="365"/>
      <c r="H567" s="296">
        <v>8</v>
      </c>
      <c r="I567" s="252">
        <f t="shared" si="76"/>
        <v>1686.61</v>
      </c>
      <c r="J567" s="296">
        <f t="shared" si="77"/>
        <v>9.5299999999999994</v>
      </c>
      <c r="K567" s="274">
        <f t="shared" si="78"/>
        <v>1696.14</v>
      </c>
      <c r="O567" s="296"/>
      <c r="W567" s="253"/>
      <c r="AE567" s="370"/>
      <c r="AG567" s="296"/>
    </row>
    <row r="568" spans="1:37" ht="15.75">
      <c r="A568" s="363"/>
      <c r="B568" s="365"/>
      <c r="C568" s="364"/>
      <c r="D568" s="365"/>
      <c r="H568" s="296">
        <v>9</v>
      </c>
      <c r="I568" s="252">
        <f t="shared" si="76"/>
        <v>1696.14</v>
      </c>
      <c r="J568" s="296">
        <f t="shared" si="77"/>
        <v>9.5299999999999994</v>
      </c>
      <c r="K568" s="274">
        <f t="shared" si="78"/>
        <v>1705.67</v>
      </c>
      <c r="O568" s="296"/>
      <c r="W568" s="253"/>
      <c r="AE568" s="370"/>
      <c r="AG568" s="296"/>
    </row>
    <row r="569" spans="1:37" ht="15.75">
      <c r="A569" s="363"/>
      <c r="B569" s="365"/>
      <c r="C569" s="364"/>
      <c r="D569" s="365"/>
      <c r="H569" s="296">
        <v>10</v>
      </c>
      <c r="I569" s="252">
        <f t="shared" si="76"/>
        <v>1705.67</v>
      </c>
      <c r="J569" s="296">
        <f t="shared" si="77"/>
        <v>9.5299999999999994</v>
      </c>
      <c r="K569" s="274">
        <f t="shared" si="78"/>
        <v>1715.2</v>
      </c>
      <c r="O569" s="296"/>
      <c r="W569" s="253"/>
      <c r="AE569" s="370"/>
      <c r="AG569" s="296"/>
    </row>
    <row r="570" spans="1:37" ht="15.75">
      <c r="A570" s="363"/>
      <c r="B570" s="365"/>
      <c r="C570" s="364"/>
      <c r="D570" s="365"/>
      <c r="H570" s="296">
        <v>11</v>
      </c>
      <c r="I570" s="252">
        <f>K569</f>
        <v>1715.2</v>
      </c>
      <c r="J570" s="296">
        <f t="shared" si="77"/>
        <v>9.5299999999999994</v>
      </c>
      <c r="K570" s="274">
        <f>I570+J570</f>
        <v>1724.73</v>
      </c>
      <c r="O570" s="296"/>
      <c r="W570" s="253"/>
      <c r="AE570" s="370"/>
      <c r="AG570" s="296"/>
    </row>
    <row r="571" spans="1:37" ht="15.75">
      <c r="A571" s="363"/>
      <c r="B571" s="365"/>
      <c r="C571" s="364"/>
      <c r="D571" s="365"/>
      <c r="H571" s="296">
        <v>12</v>
      </c>
      <c r="I571" s="252">
        <f>K570</f>
        <v>1724.73</v>
      </c>
      <c r="J571" s="296">
        <f t="shared" si="77"/>
        <v>9.5299999999999994</v>
      </c>
      <c r="K571" s="274">
        <f>I571+J571</f>
        <v>1734.26</v>
      </c>
      <c r="O571" s="296"/>
      <c r="W571" s="253"/>
      <c r="AE571" s="370"/>
      <c r="AG571" s="296"/>
    </row>
    <row r="572" spans="1:37" ht="15.75">
      <c r="A572" s="363">
        <f>(A564+1)</f>
        <v>381</v>
      </c>
      <c r="B572" s="365" t="s">
        <v>1132</v>
      </c>
      <c r="C572" s="314">
        <v>37.96</v>
      </c>
      <c r="D572" s="365" t="s">
        <v>868</v>
      </c>
      <c r="F572" s="375"/>
      <c r="G572" s="252" t="s">
        <v>975</v>
      </c>
      <c r="H572" s="296" t="s">
        <v>133</v>
      </c>
      <c r="O572" s="358" t="s">
        <v>1586</v>
      </c>
      <c r="S572" s="384"/>
      <c r="T572" s="252" t="s">
        <v>975</v>
      </c>
      <c r="U572" s="296" t="s">
        <v>133</v>
      </c>
      <c r="W572" s="253"/>
      <c r="AA572" s="296" t="s">
        <v>380</v>
      </c>
      <c r="AB572" s="252">
        <f>AD571</f>
        <v>0</v>
      </c>
      <c r="AC572" s="296">
        <f>W572</f>
        <v>0</v>
      </c>
      <c r="AD572" s="274">
        <f>AB572+AC572</f>
        <v>0</v>
      </c>
      <c r="AE572" s="370" t="str">
        <f t="shared" si="59"/>
        <v>|</v>
      </c>
      <c r="AG572" s="296" t="s">
        <v>2259</v>
      </c>
    </row>
    <row r="573" spans="1:37" ht="24" customHeight="1">
      <c r="A573" s="363">
        <f t="shared" ref="A573:A587" si="79">(A572+1)</f>
        <v>382</v>
      </c>
      <c r="B573" s="365" t="s">
        <v>134</v>
      </c>
      <c r="C573" s="314"/>
      <c r="D573" s="365" t="s">
        <v>975</v>
      </c>
      <c r="H573" s="296" t="s">
        <v>1265</v>
      </c>
      <c r="U573" s="296" t="s">
        <v>1265</v>
      </c>
      <c r="W573" s="253"/>
      <c r="AE573" s="370" t="str">
        <f t="shared" si="59"/>
        <v>|</v>
      </c>
      <c r="AG573" s="296" t="s">
        <v>2259</v>
      </c>
    </row>
    <row r="574" spans="1:37" ht="24" customHeight="1">
      <c r="A574" s="363">
        <f t="shared" si="79"/>
        <v>383</v>
      </c>
      <c r="B574" s="365" t="s">
        <v>952</v>
      </c>
      <c r="C574" s="314">
        <v>6.68</v>
      </c>
      <c r="D574" s="365" t="s">
        <v>868</v>
      </c>
      <c r="H574" s="296" t="s">
        <v>1266</v>
      </c>
      <c r="N574" s="296" t="s">
        <v>154</v>
      </c>
      <c r="O574" s="296" t="s">
        <v>1023</v>
      </c>
      <c r="U574" s="296" t="s">
        <v>1266</v>
      </c>
      <c r="W574" s="253"/>
      <c r="AE574" s="370" t="str">
        <f t="shared" si="59"/>
        <v>|</v>
      </c>
      <c r="AG574" s="296" t="s">
        <v>2259</v>
      </c>
    </row>
    <row r="575" spans="1:37" ht="24" customHeight="1">
      <c r="A575" s="363">
        <f t="shared" si="79"/>
        <v>384</v>
      </c>
      <c r="B575" s="365" t="s">
        <v>744</v>
      </c>
      <c r="C575" s="314">
        <v>9.4499999999999993</v>
      </c>
      <c r="D575" s="365" t="s">
        <v>868</v>
      </c>
      <c r="H575" s="296" t="s">
        <v>1024</v>
      </c>
      <c r="O575" s="358" t="s">
        <v>1586</v>
      </c>
      <c r="U575" s="296" t="s">
        <v>1024</v>
      </c>
      <c r="W575" s="253"/>
      <c r="AE575" s="370" t="str">
        <f t="shared" si="59"/>
        <v>|</v>
      </c>
      <c r="AG575" s="296" t="s">
        <v>2259</v>
      </c>
    </row>
    <row r="576" spans="1:37" ht="24" customHeight="1">
      <c r="A576" s="363">
        <f t="shared" si="79"/>
        <v>385</v>
      </c>
      <c r="B576" s="365" t="s">
        <v>1663</v>
      </c>
      <c r="C576" s="314">
        <v>33.04</v>
      </c>
      <c r="D576" s="365" t="s">
        <v>868</v>
      </c>
      <c r="H576" s="296" t="s">
        <v>1025</v>
      </c>
      <c r="M576" s="252">
        <v>8.1</v>
      </c>
      <c r="N576" s="296" t="s">
        <v>869</v>
      </c>
      <c r="O576" s="296" t="s">
        <v>617</v>
      </c>
      <c r="P576" s="252">
        <f>(C61)*2</f>
        <v>224.1</v>
      </c>
      <c r="Q576" s="296" t="s">
        <v>869</v>
      </c>
      <c r="R576" s="252">
        <f>(M576*P576)</f>
        <v>1815.21</v>
      </c>
      <c r="U576" s="296" t="s">
        <v>1025</v>
      </c>
      <c r="W576" s="253"/>
      <c r="AE576" s="370" t="str">
        <f t="shared" si="59"/>
        <v>|</v>
      </c>
      <c r="AG576" s="296" t="s">
        <v>2259</v>
      </c>
    </row>
    <row r="577" spans="1:33" ht="24" customHeight="1">
      <c r="A577" s="363">
        <f t="shared" si="79"/>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296" t="s">
        <v>1248</v>
      </c>
      <c r="W577" s="253"/>
      <c r="AE577" s="370" t="str">
        <f t="shared" si="59"/>
        <v>|</v>
      </c>
      <c r="AG577" s="296" t="s">
        <v>2259</v>
      </c>
    </row>
    <row r="578" spans="1:33" ht="24" customHeight="1">
      <c r="A578" s="363">
        <f t="shared" si="79"/>
        <v>387</v>
      </c>
      <c r="B578" s="365" t="s">
        <v>1249</v>
      </c>
      <c r="C578" s="314">
        <v>33.04</v>
      </c>
      <c r="D578" s="365" t="s">
        <v>868</v>
      </c>
      <c r="H578" s="296" t="s">
        <v>1146</v>
      </c>
      <c r="M578" s="252">
        <v>30</v>
      </c>
      <c r="N578" s="296" t="s">
        <v>1771</v>
      </c>
      <c r="O578" s="296" t="s">
        <v>2158</v>
      </c>
      <c r="P578" s="252">
        <f>(C661)</f>
        <v>11.2</v>
      </c>
      <c r="Q578" s="296" t="s">
        <v>1771</v>
      </c>
      <c r="R578" s="252">
        <f>(M578*P578)</f>
        <v>336</v>
      </c>
      <c r="U578" s="296" t="s">
        <v>1146</v>
      </c>
      <c r="W578" s="253"/>
      <c r="AE578" s="370" t="str">
        <f t="shared" si="59"/>
        <v>|</v>
      </c>
      <c r="AG578" s="296" t="s">
        <v>2259</v>
      </c>
    </row>
    <row r="579" spans="1:33" ht="24" customHeight="1">
      <c r="A579" s="363">
        <f t="shared" si="79"/>
        <v>388</v>
      </c>
      <c r="B579" s="365" t="s">
        <v>1250</v>
      </c>
      <c r="C579" s="314">
        <v>33.04</v>
      </c>
      <c r="D579" s="365" t="s">
        <v>868</v>
      </c>
      <c r="H579" s="358" t="s">
        <v>1586</v>
      </c>
      <c r="I579" s="358" t="s">
        <v>1586</v>
      </c>
      <c r="O579" s="296" t="s">
        <v>1251</v>
      </c>
      <c r="U579" s="358" t="s">
        <v>1586</v>
      </c>
      <c r="V579" s="358" t="s">
        <v>1586</v>
      </c>
      <c r="W579" s="253"/>
      <c r="AE579" s="370" t="str">
        <f t="shared" si="59"/>
        <v>|</v>
      </c>
      <c r="AG579" s="296" t="s">
        <v>2259</v>
      </c>
    </row>
    <row r="580" spans="1:33" ht="24" customHeight="1">
      <c r="A580" s="363">
        <f t="shared" si="79"/>
        <v>389</v>
      </c>
      <c r="B580" s="365" t="s">
        <v>610</v>
      </c>
      <c r="C580" s="314">
        <v>538</v>
      </c>
      <c r="D580" s="365" t="s">
        <v>868</v>
      </c>
      <c r="G580" s="252" t="s">
        <v>689</v>
      </c>
      <c r="H580" s="296" t="s">
        <v>611</v>
      </c>
      <c r="O580" s="296" t="s">
        <v>2160</v>
      </c>
      <c r="T580" s="252" t="s">
        <v>689</v>
      </c>
      <c r="U580" s="296" t="s">
        <v>2163</v>
      </c>
      <c r="W580" s="253"/>
      <c r="AE580" s="370" t="str">
        <f t="shared" si="59"/>
        <v>|</v>
      </c>
      <c r="AG580" s="296" t="s">
        <v>2259</v>
      </c>
    </row>
    <row r="581" spans="1:33" ht="24" customHeight="1">
      <c r="A581" s="363">
        <f t="shared" si="79"/>
        <v>390</v>
      </c>
      <c r="B581" s="365" t="s">
        <v>2280</v>
      </c>
      <c r="C581" s="314">
        <v>340</v>
      </c>
      <c r="D581" s="365" t="s">
        <v>868</v>
      </c>
      <c r="H581" s="296" t="s">
        <v>2281</v>
      </c>
      <c r="O581" s="296" t="s">
        <v>2161</v>
      </c>
      <c r="U581" s="296" t="s">
        <v>2281</v>
      </c>
      <c r="W581" s="253"/>
      <c r="AE581" s="370" t="str">
        <f t="shared" si="59"/>
        <v>|</v>
      </c>
      <c r="AG581" s="296" t="s">
        <v>2259</v>
      </c>
    </row>
    <row r="582" spans="1:33" ht="24" customHeight="1">
      <c r="A582" s="363">
        <f t="shared" si="79"/>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E582" s="370" t="str">
        <f t="shared" si="59"/>
        <v>|</v>
      </c>
      <c r="AG582" s="296" t="s">
        <v>2259</v>
      </c>
    </row>
    <row r="583" spans="1:33" ht="24" customHeight="1">
      <c r="A583" s="363">
        <f t="shared" si="79"/>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296" t="s">
        <v>561</v>
      </c>
      <c r="V583" s="252">
        <f>I583</f>
        <v>999</v>
      </c>
      <c r="W583" s="253" t="s">
        <v>1398</v>
      </c>
      <c r="X583" s="252">
        <f>(S583*V583)</f>
        <v>999</v>
      </c>
      <c r="AE583" s="370" t="str">
        <f t="shared" si="59"/>
        <v>|</v>
      </c>
      <c r="AG583" s="296" t="s">
        <v>2259</v>
      </c>
    </row>
    <row r="584" spans="1:33" ht="24" customHeight="1">
      <c r="A584" s="363">
        <f t="shared" si="79"/>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296" t="s">
        <v>823</v>
      </c>
      <c r="V584" s="252">
        <f>I584</f>
        <v>651</v>
      </c>
      <c r="W584" s="253" t="s">
        <v>1398</v>
      </c>
      <c r="X584" s="252">
        <f>(S584*V584)</f>
        <v>651</v>
      </c>
      <c r="AE584" s="370" t="str">
        <f t="shared" si="59"/>
        <v>|</v>
      </c>
      <c r="AG584" s="296" t="s">
        <v>2259</v>
      </c>
    </row>
    <row r="585" spans="1:33" ht="24" customHeight="1">
      <c r="A585" s="363">
        <f t="shared" si="79"/>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E585" s="370" t="str">
        <f t="shared" si="59"/>
        <v>|</v>
      </c>
      <c r="AG585" s="296" t="s">
        <v>2259</v>
      </c>
    </row>
    <row r="586" spans="1:33" ht="24" customHeight="1">
      <c r="A586" s="363">
        <f t="shared" si="79"/>
        <v>395</v>
      </c>
      <c r="B586" s="365" t="s">
        <v>5870</v>
      </c>
      <c r="C586" s="362">
        <v>93.4</v>
      </c>
      <c r="D586" s="365" t="s">
        <v>868</v>
      </c>
      <c r="H586" s="296" t="s">
        <v>931</v>
      </c>
      <c r="K586" s="358" t="s">
        <v>1586</v>
      </c>
      <c r="M586" s="252">
        <v>1</v>
      </c>
      <c r="N586" s="296" t="s">
        <v>449</v>
      </c>
      <c r="O586" s="296" t="s">
        <v>450</v>
      </c>
      <c r="Q586" s="296" t="s">
        <v>449</v>
      </c>
      <c r="R586" s="252">
        <v>0</v>
      </c>
      <c r="U586" s="296" t="s">
        <v>931</v>
      </c>
      <c r="W586" s="253"/>
      <c r="X586" s="358" t="s">
        <v>1586</v>
      </c>
      <c r="AE586" s="370">
        <f t="shared" si="59"/>
        <v>0</v>
      </c>
    </row>
    <row r="587" spans="1:33" ht="24" customHeight="1">
      <c r="A587" s="363">
        <f t="shared" si="79"/>
        <v>396</v>
      </c>
      <c r="B587" s="365" t="s">
        <v>1059</v>
      </c>
      <c r="C587" s="314">
        <v>57.51</v>
      </c>
      <c r="D587" s="365" t="s">
        <v>868</v>
      </c>
      <c r="H587" s="253" t="s">
        <v>1060</v>
      </c>
      <c r="K587" s="252">
        <f>SUM(K582:K585)</f>
        <v>5537</v>
      </c>
      <c r="R587" s="358" t="s">
        <v>1586</v>
      </c>
      <c r="U587" s="253" t="s">
        <v>1060</v>
      </c>
      <c r="W587" s="253"/>
      <c r="X587" s="252">
        <f>SUM(X582:X585)</f>
        <v>5850</v>
      </c>
      <c r="AE587" s="370" t="str">
        <f t="shared" si="59"/>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59"/>
        <v>|</v>
      </c>
      <c r="AG588" s="296" t="s">
        <v>2259</v>
      </c>
    </row>
    <row r="589" spans="1:33" ht="24" customHeight="1">
      <c r="A589" s="363">
        <f t="shared" ref="A589:A636" si="80">(A588+1)</f>
        <v>398</v>
      </c>
      <c r="B589" s="365" t="s">
        <v>502</v>
      </c>
      <c r="C589" s="314">
        <v>57.51</v>
      </c>
      <c r="D589" s="365" t="s">
        <v>868</v>
      </c>
      <c r="H589" s="253" t="s">
        <v>503</v>
      </c>
      <c r="K589" s="252">
        <f>K587/10</f>
        <v>553.70000000000005</v>
      </c>
      <c r="R589" s="358" t="s">
        <v>1586</v>
      </c>
      <c r="U589" s="253" t="s">
        <v>503</v>
      </c>
      <c r="W589" s="253"/>
      <c r="X589" s="252">
        <f>X587/10</f>
        <v>585</v>
      </c>
      <c r="AE589" s="370" t="str">
        <f t="shared" si="59"/>
        <v>|</v>
      </c>
      <c r="AG589" s="296" t="s">
        <v>2259</v>
      </c>
    </row>
    <row r="590" spans="1:33" ht="24" customHeight="1">
      <c r="A590" s="363">
        <f t="shared" si="80"/>
        <v>399</v>
      </c>
      <c r="B590" s="365" t="s">
        <v>1909</v>
      </c>
      <c r="C590" s="314">
        <v>20</v>
      </c>
      <c r="D590" s="365" t="s">
        <v>868</v>
      </c>
      <c r="H590" s="296" t="s">
        <v>386</v>
      </c>
      <c r="I590" s="252">
        <f t="shared" ref="I590:I599" si="81">K589</f>
        <v>553.70000000000005</v>
      </c>
      <c r="J590" s="296">
        <f>C22*0.02</f>
        <v>2.4</v>
      </c>
      <c r="K590" s="274">
        <f>I590+J590</f>
        <v>556.1</v>
      </c>
      <c r="O590" s="296" t="s">
        <v>1545</v>
      </c>
      <c r="R590" s="252">
        <f>(R588/30)</f>
        <v>92.68</v>
      </c>
      <c r="U590" s="296" t="s">
        <v>386</v>
      </c>
      <c r="V590" s="252">
        <f>J612</f>
        <v>4.79</v>
      </c>
      <c r="W590" s="253">
        <f>P22*0.02</f>
        <v>29.29</v>
      </c>
      <c r="X590" s="274">
        <f>X589+V590</f>
        <v>589.79</v>
      </c>
      <c r="Y590" s="252">
        <f>X595+V594</f>
        <v>646.42999999999995</v>
      </c>
      <c r="AE590" s="370" t="str">
        <f t="shared" si="59"/>
        <v>|</v>
      </c>
      <c r="AG590" s="296" t="s">
        <v>2259</v>
      </c>
    </row>
    <row r="591" spans="1:33" ht="24" customHeight="1">
      <c r="A591" s="363">
        <f t="shared" si="80"/>
        <v>400</v>
      </c>
      <c r="B591" s="365" t="s">
        <v>1910</v>
      </c>
      <c r="C591" s="314">
        <v>21.92</v>
      </c>
      <c r="D591" s="365" t="s">
        <v>868</v>
      </c>
      <c r="H591" s="296" t="s">
        <v>388</v>
      </c>
      <c r="I591" s="252">
        <f t="shared" si="81"/>
        <v>556.1</v>
      </c>
      <c r="J591" s="296">
        <f>C23*0.02</f>
        <v>4.72</v>
      </c>
      <c r="K591" s="274">
        <f>I591+J591</f>
        <v>560.82000000000005</v>
      </c>
      <c r="N591" s="296" t="s">
        <v>2251</v>
      </c>
      <c r="O591" s="296" t="s">
        <v>1911</v>
      </c>
      <c r="U591" s="296" t="s">
        <v>388</v>
      </c>
      <c r="V591" s="252">
        <f>J613</f>
        <v>9.44</v>
      </c>
      <c r="W591" s="253">
        <f>P23*0.02</f>
        <v>19.86</v>
      </c>
      <c r="X591" s="274">
        <f>X590+V591</f>
        <v>599.23</v>
      </c>
      <c r="Y591" s="252">
        <f>Y590+V594</f>
        <v>655.87</v>
      </c>
      <c r="AE591" s="370" t="str">
        <f t="shared" si="59"/>
        <v>|</v>
      </c>
      <c r="AG591" s="296" t="s">
        <v>2259</v>
      </c>
    </row>
    <row r="592" spans="1:33" ht="24" customHeight="1">
      <c r="A592" s="363">
        <f t="shared" si="80"/>
        <v>401</v>
      </c>
      <c r="B592" s="365" t="s">
        <v>5871</v>
      </c>
      <c r="C592" s="362">
        <v>145.15</v>
      </c>
      <c r="D592" s="365" t="s">
        <v>868</v>
      </c>
      <c r="H592" s="296" t="s">
        <v>2232</v>
      </c>
      <c r="I592" s="252">
        <f t="shared" si="81"/>
        <v>560.82000000000005</v>
      </c>
      <c r="J592" s="296">
        <f>C23*0.02</f>
        <v>4.72</v>
      </c>
      <c r="K592" s="274">
        <f>I592+J592</f>
        <v>565.54</v>
      </c>
      <c r="O592" s="296" t="s">
        <v>239</v>
      </c>
      <c r="U592" s="296" t="s">
        <v>2232</v>
      </c>
      <c r="V592" s="252">
        <f>J614</f>
        <v>9.44</v>
      </c>
      <c r="W592" s="253">
        <f>P23*0.02</f>
        <v>19.86</v>
      </c>
      <c r="X592" s="274">
        <f>X591+V592</f>
        <v>608.66999999999996</v>
      </c>
      <c r="Y592" s="252">
        <f>Y591+V594</f>
        <v>665.31</v>
      </c>
      <c r="AE592" s="370" t="str">
        <f t="shared" si="59"/>
        <v>|</v>
      </c>
      <c r="AG592" s="296" t="s">
        <v>2259</v>
      </c>
    </row>
    <row r="593" spans="1:33" ht="24" customHeight="1">
      <c r="A593" s="363">
        <f t="shared" si="80"/>
        <v>402</v>
      </c>
      <c r="B593" s="365" t="s">
        <v>5872</v>
      </c>
      <c r="C593" s="362">
        <v>995</v>
      </c>
      <c r="D593" s="365" t="s">
        <v>868</v>
      </c>
      <c r="H593" s="296" t="s">
        <v>380</v>
      </c>
      <c r="I593" s="252">
        <f t="shared" si="81"/>
        <v>565.54</v>
      </c>
      <c r="J593" s="296">
        <f>C23*0.02</f>
        <v>4.72</v>
      </c>
      <c r="K593" s="274">
        <f>I593+J593</f>
        <v>570.26</v>
      </c>
      <c r="O593" s="358" t="s">
        <v>1586</v>
      </c>
      <c r="U593" s="296" t="s">
        <v>380</v>
      </c>
      <c r="V593" s="252">
        <f>J615</f>
        <v>9.44</v>
      </c>
      <c r="W593" s="253">
        <f>P23*0.02</f>
        <v>19.86</v>
      </c>
      <c r="X593" s="274">
        <f>X592+V593</f>
        <v>618.11</v>
      </c>
      <c r="Y593" s="252">
        <f>Y592+V594</f>
        <v>674.75</v>
      </c>
      <c r="AE593" s="370" t="str">
        <f t="shared" si="59"/>
        <v>|</v>
      </c>
      <c r="AG593" s="296" t="s">
        <v>2259</v>
      </c>
    </row>
    <row r="594" spans="1:33" ht="24" customHeight="1">
      <c r="A594" s="363"/>
      <c r="B594" s="365"/>
      <c r="C594" s="364"/>
      <c r="D594" s="365"/>
      <c r="H594" s="296" t="s">
        <v>1364</v>
      </c>
      <c r="I594" s="252">
        <f t="shared" si="81"/>
        <v>570.26</v>
      </c>
      <c r="J594" s="296">
        <f>C23*0.02</f>
        <v>4.72</v>
      </c>
      <c r="K594" s="274">
        <f t="shared" ref="K594:K599" si="82">I594+J594</f>
        <v>574.98</v>
      </c>
      <c r="O594" s="358"/>
      <c r="U594" s="296" t="s">
        <v>1364</v>
      </c>
      <c r="V594" s="252">
        <f>J616</f>
        <v>9.44</v>
      </c>
      <c r="W594" s="253">
        <f>P23*0.02</f>
        <v>19.86</v>
      </c>
      <c r="X594" s="274">
        <f>X593+V594</f>
        <v>627.54999999999995</v>
      </c>
      <c r="Y594" s="252">
        <f>Y593+V594</f>
        <v>684.19</v>
      </c>
      <c r="AE594" s="370" t="str">
        <f t="shared" si="59"/>
        <v>|::</v>
      </c>
      <c r="AG594" s="296" t="s">
        <v>321</v>
      </c>
    </row>
    <row r="595" spans="1:33" ht="24" customHeight="1">
      <c r="A595" s="363">
        <f>(A593+1)</f>
        <v>403</v>
      </c>
      <c r="B595" s="365" t="s">
        <v>543</v>
      </c>
      <c r="C595" s="314">
        <v>21</v>
      </c>
      <c r="D595" s="365" t="s">
        <v>868</v>
      </c>
      <c r="H595" s="296" t="s">
        <v>3562</v>
      </c>
      <c r="I595" s="252">
        <f t="shared" si="81"/>
        <v>574.98</v>
      </c>
      <c r="J595" s="296">
        <f>C23*0.02</f>
        <v>4.72</v>
      </c>
      <c r="K595" s="274">
        <f t="shared" si="82"/>
        <v>579.70000000000005</v>
      </c>
      <c r="M595" s="252">
        <v>1.08</v>
      </c>
      <c r="N595" s="296" t="s">
        <v>869</v>
      </c>
      <c r="O595" s="296" t="s">
        <v>787</v>
      </c>
      <c r="P595" s="252">
        <f>(K88)</f>
        <v>237.08</v>
      </c>
      <c r="Q595" s="296" t="s">
        <v>869</v>
      </c>
      <c r="R595" s="252">
        <f>(M595*P595)</f>
        <v>256.05</v>
      </c>
      <c r="S595" s="384">
        <v>15.2</v>
      </c>
      <c r="T595" s="252" t="s">
        <v>689</v>
      </c>
      <c r="U595" s="296" t="s">
        <v>786</v>
      </c>
      <c r="W595" s="253"/>
      <c r="X595" s="274">
        <f>X594+V594</f>
        <v>636.99</v>
      </c>
      <c r="AE595" s="370">
        <f t="shared" si="59"/>
        <v>0</v>
      </c>
    </row>
    <row r="596" spans="1:33" ht="24" customHeight="1">
      <c r="A596" s="363">
        <f t="shared" si="80"/>
        <v>404</v>
      </c>
      <c r="B596" s="365" t="s">
        <v>788</v>
      </c>
      <c r="C596" s="314">
        <v>150</v>
      </c>
      <c r="D596" s="365" t="s">
        <v>868</v>
      </c>
      <c r="H596" s="296" t="s">
        <v>3563</v>
      </c>
      <c r="I596" s="252">
        <f t="shared" si="81"/>
        <v>579.70000000000005</v>
      </c>
      <c r="J596" s="296">
        <f>C23*0.02</f>
        <v>4.72</v>
      </c>
      <c r="K596" s="274">
        <f t="shared" si="82"/>
        <v>584.41999999999996</v>
      </c>
      <c r="M596" s="356">
        <v>0.216</v>
      </c>
      <c r="N596" s="296" t="s">
        <v>869</v>
      </c>
      <c r="O596" s="296" t="s">
        <v>789</v>
      </c>
      <c r="P596" s="252">
        <f>(R60)</f>
        <v>4035.23</v>
      </c>
      <c r="Q596" s="296" t="s">
        <v>869</v>
      </c>
      <c r="R596" s="252">
        <f>(M596*P596)</f>
        <v>871.61</v>
      </c>
      <c r="W596" s="253"/>
      <c r="AE596" s="370">
        <f t="shared" si="59"/>
        <v>0</v>
      </c>
    </row>
    <row r="597" spans="1:33" ht="24" customHeight="1">
      <c r="A597" s="363">
        <f t="shared" si="80"/>
        <v>405</v>
      </c>
      <c r="B597" s="365" t="s">
        <v>4582</v>
      </c>
      <c r="C597" s="362">
        <v>21.6</v>
      </c>
      <c r="D597" s="365" t="s">
        <v>868</v>
      </c>
      <c r="H597" s="296" t="s">
        <v>3564</v>
      </c>
      <c r="I597" s="252">
        <f t="shared" si="81"/>
        <v>584.41999999999996</v>
      </c>
      <c r="J597" s="296">
        <f>C23*0.02</f>
        <v>4.72</v>
      </c>
      <c r="K597" s="274">
        <f t="shared" si="82"/>
        <v>589.14</v>
      </c>
      <c r="M597" s="356">
        <v>0.48699999999999999</v>
      </c>
      <c r="N597" s="296" t="s">
        <v>869</v>
      </c>
      <c r="O597" s="296" t="s">
        <v>1976</v>
      </c>
      <c r="P597" s="252">
        <f>AG321</f>
        <v>6476.94</v>
      </c>
      <c r="Q597" s="296" t="s">
        <v>869</v>
      </c>
      <c r="R597" s="252">
        <f>(M597*P597)</f>
        <v>3154.27</v>
      </c>
      <c r="W597" s="253"/>
      <c r="AE597" s="370" t="str">
        <f t="shared" ref="AE597:AE637" si="83">AG597</f>
        <v>|</v>
      </c>
      <c r="AG597" s="296" t="s">
        <v>2259</v>
      </c>
    </row>
    <row r="598" spans="1:33" ht="24" customHeight="1">
      <c r="A598" s="363">
        <f t="shared" si="80"/>
        <v>406</v>
      </c>
      <c r="B598" s="365" t="s">
        <v>5873</v>
      </c>
      <c r="C598" s="362">
        <v>57.65</v>
      </c>
      <c r="D598" s="362">
        <v>49.55</v>
      </c>
      <c r="E598" s="252" t="s">
        <v>5301</v>
      </c>
      <c r="H598" s="296" t="s">
        <v>3565</v>
      </c>
      <c r="I598" s="252">
        <f t="shared" si="81"/>
        <v>589.14</v>
      </c>
      <c r="J598" s="296">
        <f>C23*0.02</f>
        <v>4.72</v>
      </c>
      <c r="K598" s="274">
        <f t="shared" si="82"/>
        <v>593.86</v>
      </c>
      <c r="M598" s="356">
        <v>5.36</v>
      </c>
      <c r="N598" s="296" t="s">
        <v>609</v>
      </c>
      <c r="O598" s="296" t="s">
        <v>1977</v>
      </c>
      <c r="P598" s="252">
        <f>(R304)</f>
        <v>263.89999999999998</v>
      </c>
      <c r="Q598" s="296" t="s">
        <v>609</v>
      </c>
      <c r="R598" s="252">
        <f>(M598*P598)</f>
        <v>1414.5</v>
      </c>
      <c r="W598" s="253"/>
      <c r="AE598" s="370" t="str">
        <f t="shared" si="83"/>
        <v>|</v>
      </c>
      <c r="AG598" s="296" t="s">
        <v>2259</v>
      </c>
    </row>
    <row r="599" spans="1:33" ht="24" customHeight="1">
      <c r="A599" s="363">
        <f t="shared" si="80"/>
        <v>407</v>
      </c>
      <c r="B599" s="365" t="s">
        <v>424</v>
      </c>
      <c r="C599" s="314">
        <v>208.5</v>
      </c>
      <c r="D599" s="365" t="s">
        <v>868</v>
      </c>
      <c r="H599" s="296">
        <v>9</v>
      </c>
      <c r="I599" s="252">
        <f t="shared" si="81"/>
        <v>593.86</v>
      </c>
      <c r="J599" s="296">
        <f>C23*0.02</f>
        <v>4.72</v>
      </c>
      <c r="K599" s="274">
        <f t="shared" si="82"/>
        <v>598.58000000000004</v>
      </c>
      <c r="M599" s="356">
        <v>3.2000000000000001E-2</v>
      </c>
      <c r="N599" s="296" t="s">
        <v>869</v>
      </c>
      <c r="O599" s="296" t="s">
        <v>779</v>
      </c>
      <c r="P599" s="252">
        <f>(K643)</f>
        <v>7834</v>
      </c>
      <c r="Q599" s="296" t="s">
        <v>869</v>
      </c>
      <c r="R599" s="252">
        <f>(M599*P599)</f>
        <v>250.69</v>
      </c>
      <c r="W599" s="253"/>
      <c r="AE599" s="370" t="str">
        <f t="shared" si="83"/>
        <v>|</v>
      </c>
      <c r="AG599" s="296" t="s">
        <v>2259</v>
      </c>
    </row>
    <row r="600" spans="1:33" ht="24" customHeight="1">
      <c r="A600" s="363">
        <f t="shared" si="80"/>
        <v>408</v>
      </c>
      <c r="B600" s="401" t="s">
        <v>2041</v>
      </c>
      <c r="C600" s="368">
        <v>172</v>
      </c>
      <c r="D600" s="365" t="s">
        <v>868</v>
      </c>
      <c r="H600" s="296"/>
      <c r="K600" s="274"/>
      <c r="O600" s="296" t="s">
        <v>288</v>
      </c>
      <c r="R600" s="296" t="s">
        <v>975</v>
      </c>
      <c r="W600" s="253"/>
      <c r="AE600" s="370" t="str">
        <f t="shared" si="83"/>
        <v>|</v>
      </c>
      <c r="AG600" s="296" t="s">
        <v>2259</v>
      </c>
    </row>
    <row r="601" spans="1:33" ht="47.25" customHeight="1">
      <c r="A601" s="363">
        <f t="shared" si="80"/>
        <v>409</v>
      </c>
      <c r="B601" s="417" t="s">
        <v>5302</v>
      </c>
      <c r="C601" s="373">
        <f>ROUND(35.15/0.093025,2)</f>
        <v>377.86</v>
      </c>
      <c r="D601" s="365" t="s">
        <v>609</v>
      </c>
      <c r="H601" s="296"/>
      <c r="K601" s="274"/>
      <c r="N601" s="296" t="s">
        <v>449</v>
      </c>
      <c r="O601" s="296" t="s">
        <v>340</v>
      </c>
      <c r="Q601" s="296" t="s">
        <v>449</v>
      </c>
      <c r="R601" s="252">
        <v>2.66</v>
      </c>
      <c r="W601" s="253"/>
      <c r="AE601" s="370" t="str">
        <f t="shared" si="83"/>
        <v>|</v>
      </c>
      <c r="AG601" s="296" t="s">
        <v>2259</v>
      </c>
    </row>
    <row r="602" spans="1:33" ht="31.5">
      <c r="A602" s="363">
        <f t="shared" si="80"/>
        <v>410</v>
      </c>
      <c r="B602" s="389" t="s">
        <v>6114</v>
      </c>
      <c r="C602" s="362">
        <f>8.3/0.02</f>
        <v>415</v>
      </c>
      <c r="D602" s="365" t="s">
        <v>609</v>
      </c>
      <c r="E602" s="418">
        <f>7.25/0.02</f>
        <v>362.5</v>
      </c>
      <c r="F602" s="375">
        <v>15.2</v>
      </c>
      <c r="G602" s="252" t="s">
        <v>689</v>
      </c>
      <c r="H602" s="296" t="s">
        <v>786</v>
      </c>
      <c r="K602" s="419">
        <f>K594+J594</f>
        <v>579.70000000000005</v>
      </c>
      <c r="R602" s="358" t="s">
        <v>1586</v>
      </c>
      <c r="W602" s="253"/>
      <c r="AE602" s="370" t="str">
        <f t="shared" si="83"/>
        <v>|</v>
      </c>
      <c r="AG602" s="296" t="s">
        <v>2259</v>
      </c>
    </row>
    <row r="603" spans="1:33" ht="24" customHeight="1">
      <c r="A603" s="363">
        <f t="shared" si="80"/>
        <v>411</v>
      </c>
      <c r="B603" s="365" t="s">
        <v>341</v>
      </c>
      <c r="C603" s="314">
        <v>75</v>
      </c>
      <c r="D603" s="365" t="s">
        <v>868</v>
      </c>
      <c r="H603" s="296" t="s">
        <v>2281</v>
      </c>
      <c r="O603" s="296" t="s">
        <v>1751</v>
      </c>
      <c r="R603" s="252">
        <f>SUM(R595:R601)</f>
        <v>5949.78</v>
      </c>
      <c r="W603" s="253"/>
      <c r="AE603" s="370" t="str">
        <f t="shared" si="83"/>
        <v>|</v>
      </c>
      <c r="AG603" s="296" t="s">
        <v>2259</v>
      </c>
    </row>
    <row r="604" spans="1:33" ht="24" customHeight="1">
      <c r="A604" s="363">
        <f t="shared" si="80"/>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83"/>
        <v>|</v>
      </c>
      <c r="AG604" s="296" t="s">
        <v>2259</v>
      </c>
    </row>
    <row r="605" spans="1:33" ht="24" customHeight="1">
      <c r="A605" s="363">
        <f t="shared" si="80"/>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83"/>
        <v>|</v>
      </c>
      <c r="AG605" s="296" t="s">
        <v>2259</v>
      </c>
    </row>
    <row r="606" spans="1:33" ht="24" customHeight="1">
      <c r="A606" s="363">
        <f t="shared" si="80"/>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83"/>
        <v>|</v>
      </c>
      <c r="AG606" s="296" t="s">
        <v>2259</v>
      </c>
    </row>
    <row r="607" spans="1:33" ht="24" customHeight="1">
      <c r="A607" s="363">
        <f t="shared" si="80"/>
        <v>415</v>
      </c>
      <c r="B607" s="296" t="s">
        <v>5874</v>
      </c>
      <c r="C607" s="362">
        <v>11.8</v>
      </c>
      <c r="D607" s="365" t="s">
        <v>1645</v>
      </c>
      <c r="F607" s="252">
        <v>0.5</v>
      </c>
      <c r="G607" s="252" t="s">
        <v>560</v>
      </c>
      <c r="H607" s="296" t="s">
        <v>2042</v>
      </c>
      <c r="I607" s="252">
        <f>C41</f>
        <v>738</v>
      </c>
      <c r="J607" s="296" t="s">
        <v>1398</v>
      </c>
      <c r="K607" s="252">
        <f>(F607*I607)</f>
        <v>369</v>
      </c>
      <c r="O607" s="358" t="s">
        <v>1586</v>
      </c>
      <c r="W607" s="253"/>
      <c r="AE607" s="370" t="str">
        <f t="shared" si="83"/>
        <v>|</v>
      </c>
      <c r="AG607" s="296" t="s">
        <v>2259</v>
      </c>
    </row>
    <row r="608" spans="1:33" ht="24" customHeight="1">
      <c r="A608" s="363">
        <f t="shared" si="80"/>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83"/>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83"/>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4035.23</v>
      </c>
      <c r="Q610" s="296" t="s">
        <v>869</v>
      </c>
      <c r="R610" s="252">
        <f>(M610*P610)</f>
        <v>871.61</v>
      </c>
      <c r="W610" s="253"/>
      <c r="AE610" s="370">
        <f t="shared" si="83"/>
        <v>0</v>
      </c>
      <c r="AG610" s="296"/>
    </row>
    <row r="611" spans="1:33" ht="24" customHeight="1">
      <c r="A611" s="363">
        <f t="shared" si="80"/>
        <v>418</v>
      </c>
      <c r="B611" s="365" t="s">
        <v>4583</v>
      </c>
      <c r="C611" s="314">
        <v>7.5</v>
      </c>
      <c r="D611" s="365" t="s">
        <v>769</v>
      </c>
      <c r="K611" s="358" t="s">
        <v>1586</v>
      </c>
      <c r="M611" s="356">
        <v>0.60099999999999998</v>
      </c>
      <c r="N611" s="296" t="s">
        <v>869</v>
      </c>
      <c r="O611" s="296" t="s">
        <v>1976</v>
      </c>
      <c r="P611" s="252">
        <f>P597</f>
        <v>6476.94</v>
      </c>
      <c r="Q611" s="296" t="s">
        <v>869</v>
      </c>
      <c r="R611" s="252">
        <f>(M611*P611)</f>
        <v>3892.64</v>
      </c>
      <c r="W611" s="253"/>
      <c r="AE611" s="370" t="str">
        <f t="shared" si="83"/>
        <v>|</v>
      </c>
      <c r="AG611" s="296" t="s">
        <v>2259</v>
      </c>
    </row>
    <row r="612" spans="1:33" ht="24" customHeight="1">
      <c r="A612" s="363">
        <f t="shared" si="80"/>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263.89999999999998</v>
      </c>
      <c r="Q612" s="296" t="s">
        <v>609</v>
      </c>
      <c r="R612" s="252">
        <f>(M612*P612)</f>
        <v>1675.77</v>
      </c>
      <c r="W612" s="253"/>
      <c r="AE612" s="370" t="str">
        <f t="shared" si="83"/>
        <v>|</v>
      </c>
      <c r="AG612" s="296" t="s">
        <v>2259</v>
      </c>
    </row>
    <row r="613" spans="1:33" ht="24" customHeight="1">
      <c r="A613" s="363">
        <f t="shared" si="80"/>
        <v>420</v>
      </c>
      <c r="B613" s="296" t="s">
        <v>5875</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7834</v>
      </c>
      <c r="Q613" s="296" t="s">
        <v>869</v>
      </c>
      <c r="R613" s="252">
        <f>(M613*P613)</f>
        <v>250.69</v>
      </c>
      <c r="W613" s="253"/>
      <c r="AE613" s="370" t="str">
        <f t="shared" si="83"/>
        <v>|</v>
      </c>
      <c r="AG613" s="296" t="s">
        <v>2259</v>
      </c>
    </row>
    <row r="614" spans="1:33" ht="24" customHeight="1">
      <c r="A614" s="363">
        <f t="shared" si="80"/>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83"/>
        <v>|</v>
      </c>
      <c r="AG614" s="296" t="s">
        <v>2259</v>
      </c>
    </row>
    <row r="615" spans="1:33" ht="24" customHeight="1">
      <c r="A615" s="363">
        <f t="shared" si="80"/>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83"/>
        <v>|</v>
      </c>
      <c r="AG615" s="296" t="s">
        <v>2259</v>
      </c>
    </row>
    <row r="616" spans="1:33" ht="24" customHeight="1">
      <c r="A616" s="363">
        <f t="shared" si="80"/>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83"/>
        <v>|</v>
      </c>
      <c r="AG616" s="296" t="s">
        <v>2259</v>
      </c>
    </row>
    <row r="617" spans="1:33" ht="24" customHeight="1">
      <c r="A617" s="363">
        <f t="shared" si="80"/>
        <v>424</v>
      </c>
      <c r="B617" s="296" t="s">
        <v>5876</v>
      </c>
      <c r="C617" s="362">
        <v>1672</v>
      </c>
      <c r="D617" s="365" t="s">
        <v>769</v>
      </c>
      <c r="F617" s="375">
        <v>15.1</v>
      </c>
      <c r="G617" s="252" t="s">
        <v>1757</v>
      </c>
      <c r="H617" s="296" t="s">
        <v>6115</v>
      </c>
      <c r="O617" s="296" t="s">
        <v>1751</v>
      </c>
      <c r="R617" s="252">
        <f>SUM(R608:R615)</f>
        <v>7000.91</v>
      </c>
      <c r="W617" s="253"/>
      <c r="AE617" s="370" t="str">
        <f t="shared" si="83"/>
        <v>|</v>
      </c>
      <c r="AG617" s="296" t="s">
        <v>2259</v>
      </c>
    </row>
    <row r="618" spans="1:33" ht="24" customHeight="1">
      <c r="A618" s="363">
        <f t="shared" si="80"/>
        <v>425</v>
      </c>
      <c r="B618" s="365" t="s">
        <v>406</v>
      </c>
      <c r="C618" s="314">
        <v>196</v>
      </c>
      <c r="D618" s="365" t="s">
        <v>769</v>
      </c>
      <c r="H618" s="296" t="s">
        <v>2281</v>
      </c>
      <c r="R618" s="358" t="s">
        <v>1586</v>
      </c>
      <c r="W618" s="253"/>
      <c r="AE618" s="370" t="str">
        <f t="shared" si="83"/>
        <v>|</v>
      </c>
      <c r="AG618" s="296" t="s">
        <v>2259</v>
      </c>
    </row>
    <row r="619" spans="1:33" ht="24" customHeight="1">
      <c r="A619" s="363">
        <f t="shared" si="80"/>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83"/>
        <v>|</v>
      </c>
      <c r="AG619" s="296" t="s">
        <v>2259</v>
      </c>
    </row>
    <row r="620" spans="1:33" ht="24" customHeight="1">
      <c r="A620" s="363">
        <f t="shared" si="80"/>
        <v>427</v>
      </c>
      <c r="B620" s="365" t="s">
        <v>410</v>
      </c>
      <c r="C620" s="314">
        <v>193.05</v>
      </c>
      <c r="D620" s="401">
        <v>120.54</v>
      </c>
      <c r="F620" s="252">
        <v>0.12</v>
      </c>
      <c r="G620" s="252" t="s">
        <v>869</v>
      </c>
      <c r="H620" s="296" t="s">
        <v>784</v>
      </c>
      <c r="I620" s="252">
        <f>K32</f>
        <v>4479.66</v>
      </c>
      <c r="J620" s="296" t="s">
        <v>869</v>
      </c>
      <c r="K620" s="252">
        <f>(F620*I620)</f>
        <v>537.55999999999995</v>
      </c>
      <c r="O620" s="296" t="s">
        <v>412</v>
      </c>
      <c r="W620" s="253"/>
      <c r="AE620" s="370" t="str">
        <f t="shared" si="83"/>
        <v>|</v>
      </c>
      <c r="AG620" s="296" t="s">
        <v>2259</v>
      </c>
    </row>
    <row r="621" spans="1:33" ht="24" customHeight="1">
      <c r="A621" s="363">
        <f t="shared" si="80"/>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83"/>
        <v>|</v>
      </c>
      <c r="AG621" s="296" t="s">
        <v>2259</v>
      </c>
    </row>
    <row r="622" spans="1:33" ht="24" customHeight="1">
      <c r="A622" s="363">
        <f t="shared" si="80"/>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84">(M622*P622)</f>
        <v>2323.92</v>
      </c>
      <c r="W622" s="253"/>
      <c r="AE622" s="370" t="str">
        <f t="shared" si="83"/>
        <v>|</v>
      </c>
      <c r="AG622" s="296" t="s">
        <v>2259</v>
      </c>
    </row>
    <row r="623" spans="1:33" ht="24" customHeight="1">
      <c r="A623" s="363">
        <f t="shared" si="80"/>
        <v>430</v>
      </c>
      <c r="B623" s="365" t="s">
        <v>6116</v>
      </c>
      <c r="C623" s="420">
        <v>76</v>
      </c>
      <c r="D623" s="421" t="s">
        <v>868</v>
      </c>
      <c r="E623" s="422"/>
      <c r="G623" s="252" t="s">
        <v>449</v>
      </c>
      <c r="H623" s="296" t="s">
        <v>59</v>
      </c>
      <c r="J623" s="296" t="s">
        <v>449</v>
      </c>
      <c r="K623" s="252">
        <v>0.33</v>
      </c>
      <c r="M623" s="252">
        <v>0.65</v>
      </c>
      <c r="N623" s="296" t="s">
        <v>869</v>
      </c>
      <c r="O623" s="296" t="s">
        <v>2064</v>
      </c>
      <c r="P623" s="252">
        <f>R60</f>
        <v>4035.23</v>
      </c>
      <c r="Q623" s="296" t="s">
        <v>869</v>
      </c>
      <c r="R623" s="252">
        <f t="shared" si="84"/>
        <v>2622.9</v>
      </c>
      <c r="W623" s="253"/>
      <c r="AE623" s="370" t="str">
        <f t="shared" si="83"/>
        <v>|</v>
      </c>
      <c r="AG623" s="296" t="s">
        <v>2259</v>
      </c>
    </row>
    <row r="624" spans="1:33" ht="24" customHeight="1">
      <c r="A624" s="363">
        <f t="shared" si="80"/>
        <v>431</v>
      </c>
      <c r="B624" s="365" t="s">
        <v>1782</v>
      </c>
      <c r="C624" s="420">
        <v>45</v>
      </c>
      <c r="D624" s="421" t="s">
        <v>868</v>
      </c>
      <c r="E624" s="422"/>
      <c r="H624" s="296" t="s">
        <v>931</v>
      </c>
      <c r="K624" s="358" t="s">
        <v>1586</v>
      </c>
      <c r="M624" s="252">
        <v>1.1399999999999999</v>
      </c>
      <c r="N624" s="296" t="s">
        <v>869</v>
      </c>
      <c r="O624" s="296" t="s">
        <v>326</v>
      </c>
      <c r="P624" s="252">
        <f>K321</f>
        <v>6586.14</v>
      </c>
      <c r="Q624" s="296" t="s">
        <v>869</v>
      </c>
      <c r="R624" s="252">
        <f t="shared" si="84"/>
        <v>7508.2</v>
      </c>
      <c r="W624" s="253"/>
      <c r="AE624" s="370" t="str">
        <f t="shared" si="83"/>
        <v>|</v>
      </c>
      <c r="AG624" s="296" t="s">
        <v>2259</v>
      </c>
    </row>
    <row r="625" spans="1:33" ht="24" customHeight="1">
      <c r="A625" s="363">
        <f t="shared" si="80"/>
        <v>432</v>
      </c>
      <c r="B625" s="365" t="s">
        <v>328</v>
      </c>
      <c r="C625" s="423">
        <v>34.299999999999997</v>
      </c>
      <c r="D625" s="365" t="s">
        <v>868</v>
      </c>
      <c r="H625" s="253" t="s">
        <v>407</v>
      </c>
      <c r="K625" s="252">
        <f>SUM(K619:K623)</f>
        <v>5954.89</v>
      </c>
      <c r="M625" s="252">
        <v>0.85</v>
      </c>
      <c r="N625" s="296" t="s">
        <v>869</v>
      </c>
      <c r="O625" s="296" t="s">
        <v>1608</v>
      </c>
      <c r="P625" s="252">
        <f>K321-K312/10</f>
        <v>5756.15</v>
      </c>
      <c r="Q625" s="296" t="s">
        <v>869</v>
      </c>
      <c r="R625" s="252">
        <f t="shared" si="84"/>
        <v>4892.7299999999996</v>
      </c>
      <c r="W625" s="253"/>
      <c r="AE625" s="370">
        <f t="shared" si="83"/>
        <v>0</v>
      </c>
      <c r="AG625" s="296"/>
    </row>
    <row r="626" spans="1:33" ht="24" customHeight="1">
      <c r="A626" s="363">
        <f t="shared" si="80"/>
        <v>433</v>
      </c>
      <c r="B626" s="296" t="s">
        <v>5877</v>
      </c>
      <c r="C626" s="362">
        <v>83.4</v>
      </c>
      <c r="D626" s="365" t="s">
        <v>868</v>
      </c>
      <c r="K626" s="358" t="s">
        <v>1586</v>
      </c>
      <c r="M626" s="252">
        <v>0.98</v>
      </c>
      <c r="N626" s="296" t="s">
        <v>869</v>
      </c>
      <c r="O626" s="296" t="s">
        <v>2218</v>
      </c>
      <c r="P626" s="252">
        <f>(C73)</f>
        <v>1685.18</v>
      </c>
      <c r="Q626" s="296" t="s">
        <v>869</v>
      </c>
      <c r="R626" s="252">
        <f t="shared" si="84"/>
        <v>1651.48</v>
      </c>
      <c r="W626" s="253"/>
      <c r="AE626" s="370" t="str">
        <f t="shared" si="83"/>
        <v>|</v>
      </c>
      <c r="AG626" s="296" t="s">
        <v>2259</v>
      </c>
    </row>
    <row r="627" spans="1:33" ht="24" customHeight="1">
      <c r="A627" s="363">
        <f t="shared" si="80"/>
        <v>434</v>
      </c>
      <c r="B627" s="365" t="s">
        <v>1094</v>
      </c>
      <c r="C627" s="314">
        <v>36.520000000000003</v>
      </c>
      <c r="D627" s="365" t="s">
        <v>868</v>
      </c>
      <c r="H627" s="253" t="s">
        <v>411</v>
      </c>
      <c r="K627" s="252">
        <f>K625/10</f>
        <v>595.49</v>
      </c>
      <c r="M627" s="252">
        <v>2.68</v>
      </c>
      <c r="N627" s="296" t="s">
        <v>869</v>
      </c>
      <c r="O627" s="296" t="s">
        <v>1034</v>
      </c>
      <c r="P627" s="252">
        <f>(C79)</f>
        <v>1464.46</v>
      </c>
      <c r="Q627" s="296" t="s">
        <v>869</v>
      </c>
      <c r="R627" s="252">
        <f t="shared" si="84"/>
        <v>3924.75</v>
      </c>
      <c r="W627" s="253"/>
      <c r="AE627" s="370" t="str">
        <f t="shared" si="83"/>
        <v>|</v>
      </c>
      <c r="AG627" s="296" t="s">
        <v>2259</v>
      </c>
    </row>
    <row r="628" spans="1:33" ht="24" customHeight="1">
      <c r="A628" s="363">
        <f t="shared" si="80"/>
        <v>435</v>
      </c>
      <c r="B628" s="365" t="s">
        <v>1611</v>
      </c>
      <c r="C628" s="364"/>
      <c r="D628" s="365" t="s">
        <v>868</v>
      </c>
      <c r="H628" s="296" t="s">
        <v>386</v>
      </c>
      <c r="I628" s="252">
        <f>K627</f>
        <v>595.49</v>
      </c>
      <c r="J628" s="296">
        <f>C22*0.02</f>
        <v>2.4</v>
      </c>
      <c r="K628" s="274">
        <f>I628+J628</f>
        <v>597.89</v>
      </c>
      <c r="M628" s="252">
        <v>7.24</v>
      </c>
      <c r="N628" s="296" t="s">
        <v>609</v>
      </c>
      <c r="O628" s="296" t="s">
        <v>1613</v>
      </c>
      <c r="P628" s="252">
        <f>(K1400)</f>
        <v>248.16</v>
      </c>
      <c r="Q628" s="296" t="s">
        <v>609</v>
      </c>
      <c r="R628" s="252">
        <f t="shared" si="84"/>
        <v>1796.68</v>
      </c>
      <c r="W628" s="253"/>
      <c r="AE628" s="370" t="str">
        <f t="shared" si="83"/>
        <v>|</v>
      </c>
      <c r="AG628" s="296" t="s">
        <v>2259</v>
      </c>
    </row>
    <row r="629" spans="1:33" ht="24" customHeight="1">
      <c r="A629" s="363">
        <f t="shared" si="80"/>
        <v>436</v>
      </c>
      <c r="B629" s="296" t="s">
        <v>4585</v>
      </c>
      <c r="C629" s="362">
        <v>104.1</v>
      </c>
      <c r="D629" s="364">
        <v>93.72</v>
      </c>
      <c r="H629" s="296" t="s">
        <v>388</v>
      </c>
      <c r="I629" s="252">
        <f>K628</f>
        <v>597.89</v>
      </c>
      <c r="J629" s="296">
        <f>C23*0.02</f>
        <v>4.72</v>
      </c>
      <c r="K629" s="274">
        <f>I629+J629</f>
        <v>602.61</v>
      </c>
      <c r="M629" s="252">
        <v>1</v>
      </c>
      <c r="N629" s="296" t="s">
        <v>868</v>
      </c>
      <c r="O629" s="296" t="s">
        <v>1476</v>
      </c>
      <c r="P629" s="252">
        <f>(C203)</f>
        <v>128</v>
      </c>
      <c r="Q629" s="296" t="s">
        <v>868</v>
      </c>
      <c r="R629" s="252">
        <f t="shared" si="84"/>
        <v>128</v>
      </c>
      <c r="W629" s="253"/>
      <c r="AE629" s="370" t="str">
        <f t="shared" si="83"/>
        <v>|</v>
      </c>
      <c r="AG629" s="296" t="s">
        <v>2259</v>
      </c>
    </row>
    <row r="630" spans="1:33" ht="24" customHeight="1">
      <c r="A630" s="363">
        <f t="shared" si="80"/>
        <v>437</v>
      </c>
      <c r="B630" s="296" t="s">
        <v>1477</v>
      </c>
      <c r="C630" s="362">
        <v>69.599999999999994</v>
      </c>
      <c r="D630" s="365" t="s">
        <v>868</v>
      </c>
      <c r="H630" s="296" t="s">
        <v>2232</v>
      </c>
      <c r="I630" s="252">
        <f>K629</f>
        <v>602.61</v>
      </c>
      <c r="J630" s="296">
        <f>J629</f>
        <v>4.72</v>
      </c>
      <c r="K630" s="274">
        <f>I630+J630</f>
        <v>607.33000000000004</v>
      </c>
      <c r="M630" s="356">
        <v>0.13600000000000001</v>
      </c>
      <c r="N630" s="296" t="s">
        <v>869</v>
      </c>
      <c r="O630" s="296" t="s">
        <v>983</v>
      </c>
      <c r="P630" s="252">
        <f>(K643)</f>
        <v>7834</v>
      </c>
      <c r="Q630" s="296" t="s">
        <v>869</v>
      </c>
      <c r="R630" s="252">
        <f t="shared" si="84"/>
        <v>1065.42</v>
      </c>
      <c r="W630" s="253"/>
      <c r="AE630" s="370" t="str">
        <f t="shared" si="83"/>
        <v>|</v>
      </c>
      <c r="AG630" s="296" t="s">
        <v>2259</v>
      </c>
    </row>
    <row r="631" spans="1:33" ht="24" customHeight="1">
      <c r="A631" s="363">
        <f t="shared" si="80"/>
        <v>438</v>
      </c>
      <c r="B631" s="365" t="s">
        <v>984</v>
      </c>
      <c r="C631" s="423">
        <v>30.25</v>
      </c>
      <c r="D631" s="365" t="s">
        <v>868</v>
      </c>
      <c r="H631" s="296" t="s">
        <v>380</v>
      </c>
      <c r="I631" s="252">
        <f>K630</f>
        <v>607.33000000000004</v>
      </c>
      <c r="J631" s="296">
        <f>J630</f>
        <v>4.72</v>
      </c>
      <c r="K631" s="274">
        <f>I631+J631</f>
        <v>612.04999999999995</v>
      </c>
      <c r="O631" s="296" t="s">
        <v>128</v>
      </c>
      <c r="W631" s="253"/>
      <c r="AE631" s="370" t="str">
        <f t="shared" si="83"/>
        <v>|</v>
      </c>
      <c r="AG631" s="296" t="s">
        <v>2259</v>
      </c>
    </row>
    <row r="632" spans="1:33" ht="24" customHeight="1">
      <c r="A632" s="363">
        <f t="shared" si="80"/>
        <v>439</v>
      </c>
      <c r="B632" s="296" t="s">
        <v>4586</v>
      </c>
      <c r="C632" s="362">
        <v>167.1</v>
      </c>
      <c r="D632" s="365" t="s">
        <v>868</v>
      </c>
      <c r="H632" s="296" t="s">
        <v>1364</v>
      </c>
      <c r="I632" s="252">
        <f>K631</f>
        <v>612.04999999999995</v>
      </c>
      <c r="J632" s="296">
        <f>J631</f>
        <v>4.72</v>
      </c>
      <c r="K632" s="274">
        <f>I632+J632</f>
        <v>616.77</v>
      </c>
      <c r="N632" s="296" t="s">
        <v>449</v>
      </c>
      <c r="O632" s="296" t="s">
        <v>340</v>
      </c>
      <c r="Q632" s="296" t="s">
        <v>449</v>
      </c>
      <c r="R632" s="252">
        <v>2.2400000000000002</v>
      </c>
      <c r="W632" s="253"/>
      <c r="AE632" s="370" t="str">
        <f t="shared" si="83"/>
        <v>|</v>
      </c>
      <c r="AG632" s="296" t="s">
        <v>2259</v>
      </c>
    </row>
    <row r="633" spans="1:33" ht="24" customHeight="1">
      <c r="A633" s="363">
        <f t="shared" si="80"/>
        <v>440</v>
      </c>
      <c r="B633" s="296" t="s">
        <v>1484</v>
      </c>
      <c r="C633" s="362">
        <v>104.1</v>
      </c>
      <c r="D633" s="365" t="s">
        <v>868</v>
      </c>
      <c r="F633" s="253" t="s">
        <v>1610</v>
      </c>
      <c r="G633" s="252" t="s">
        <v>2251</v>
      </c>
      <c r="H633" s="296" t="s">
        <v>882</v>
      </c>
      <c r="R633" s="358" t="s">
        <v>1586</v>
      </c>
      <c r="W633" s="253"/>
      <c r="AE633" s="370" t="str">
        <f t="shared" si="83"/>
        <v>|</v>
      </c>
      <c r="AG633" s="296" t="s">
        <v>2259</v>
      </c>
    </row>
    <row r="634" spans="1:33" ht="24" customHeight="1">
      <c r="A634" s="363">
        <f t="shared" si="80"/>
        <v>441</v>
      </c>
      <c r="B634" s="365" t="s">
        <v>1485</v>
      </c>
      <c r="C634" s="364"/>
      <c r="D634" s="365" t="s">
        <v>868</v>
      </c>
      <c r="H634" s="296" t="s">
        <v>1095</v>
      </c>
      <c r="O634" s="296" t="s">
        <v>1751</v>
      </c>
      <c r="R634" s="252">
        <f>SUM(R622:R632)</f>
        <v>25916.32</v>
      </c>
      <c r="W634" s="253"/>
      <c r="AE634" s="370" t="str">
        <f t="shared" si="83"/>
        <v>|</v>
      </c>
      <c r="AG634" s="296" t="s">
        <v>2259</v>
      </c>
    </row>
    <row r="635" spans="1:33" ht="24" customHeight="1">
      <c r="A635" s="363">
        <f t="shared" si="80"/>
        <v>442</v>
      </c>
      <c r="B635" s="296" t="s">
        <v>4587</v>
      </c>
      <c r="C635" s="362">
        <v>195.2</v>
      </c>
      <c r="D635" s="365" t="s">
        <v>868</v>
      </c>
      <c r="H635" s="296" t="s">
        <v>1612</v>
      </c>
      <c r="R635" s="358" t="s">
        <v>1586</v>
      </c>
      <c r="W635" s="253"/>
      <c r="AE635" s="370" t="str">
        <f t="shared" si="83"/>
        <v>|</v>
      </c>
      <c r="AG635" s="296" t="s">
        <v>2259</v>
      </c>
    </row>
    <row r="636" spans="1:33" ht="24" customHeight="1">
      <c r="A636" s="363">
        <f t="shared" si="80"/>
        <v>443</v>
      </c>
      <c r="B636" s="296" t="s">
        <v>435</v>
      </c>
      <c r="C636" s="362">
        <v>125.2</v>
      </c>
      <c r="D636" s="365" t="s">
        <v>868</v>
      </c>
      <c r="H636" s="358" t="s">
        <v>1586</v>
      </c>
      <c r="N636" s="296" t="s">
        <v>2251</v>
      </c>
      <c r="O636" s="296" t="s">
        <v>436</v>
      </c>
      <c r="W636" s="253"/>
      <c r="AE636" s="370" t="str">
        <f t="shared" si="83"/>
        <v>|</v>
      </c>
      <c r="AG636" s="296" t="s">
        <v>2259</v>
      </c>
    </row>
    <row r="637" spans="1:33" ht="24" customHeight="1">
      <c r="A637" s="364"/>
      <c r="B637" s="364"/>
      <c r="C637" s="364"/>
      <c r="D637" s="364"/>
      <c r="F637" s="252">
        <v>0.01</v>
      </c>
      <c r="G637" s="252" t="s">
        <v>869</v>
      </c>
      <c r="H637" s="296" t="s">
        <v>1478</v>
      </c>
      <c r="I637" s="252">
        <f>(K280)</f>
        <v>7718.53</v>
      </c>
      <c r="J637" s="296" t="s">
        <v>869</v>
      </c>
      <c r="K637" s="252">
        <f>(F637*I637)</f>
        <v>77.19</v>
      </c>
      <c r="W637" s="253"/>
      <c r="AE637" s="370" t="str">
        <f t="shared" si="83"/>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A638" s="253" t="s">
        <v>163</v>
      </c>
      <c r="AB638" s="252" t="s">
        <v>2251</v>
      </c>
      <c r="AC638" s="276" t="s">
        <v>4138</v>
      </c>
      <c r="AE638" s="296"/>
    </row>
    <row r="639" spans="1:33" ht="24" customHeight="1">
      <c r="A639" s="363">
        <f t="shared" ref="A639:A702" si="85">(A638+1)</f>
        <v>445</v>
      </c>
      <c r="B639" s="296" t="s">
        <v>4258</v>
      </c>
      <c r="C639" s="362">
        <v>298.60000000000002</v>
      </c>
      <c r="D639" s="365" t="s">
        <v>868</v>
      </c>
      <c r="H639" s="296" t="s">
        <v>130</v>
      </c>
      <c r="O639" s="358" t="s">
        <v>1586</v>
      </c>
      <c r="S639" s="252"/>
      <c r="U639" s="296" t="s">
        <v>1383</v>
      </c>
      <c r="W639" s="253"/>
      <c r="AC639" s="296" t="s">
        <v>1383</v>
      </c>
      <c r="AE639" s="296"/>
    </row>
    <row r="640" spans="1:33" ht="24" customHeight="1">
      <c r="A640" s="363">
        <f t="shared" si="85"/>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296" t="s">
        <v>132</v>
      </c>
      <c r="W640" s="253"/>
      <c r="AC640" s="296" t="s">
        <v>132</v>
      </c>
      <c r="AE640" s="296"/>
    </row>
    <row r="641" spans="1:32" ht="24" customHeight="1">
      <c r="A641" s="363">
        <f t="shared" si="85"/>
        <v>447</v>
      </c>
      <c r="B641" s="365" t="s">
        <v>622</v>
      </c>
      <c r="C641" s="364"/>
      <c r="D641" s="365" t="s">
        <v>868</v>
      </c>
      <c r="H641" s="296" t="s">
        <v>1486</v>
      </c>
      <c r="K641" s="252">
        <f>SUM(K637:K639)</f>
        <v>78.34</v>
      </c>
      <c r="M641" s="252">
        <v>2.4</v>
      </c>
      <c r="N641" s="296" t="s">
        <v>869</v>
      </c>
      <c r="O641" s="296" t="s">
        <v>1633</v>
      </c>
      <c r="P641" s="252">
        <f>(C81)</f>
        <v>846.46</v>
      </c>
      <c r="Q641" s="296" t="s">
        <v>869</v>
      </c>
      <c r="R641" s="252">
        <f>(M641*P641)</f>
        <v>2031.5</v>
      </c>
      <c r="S641" s="252"/>
      <c r="U641" s="358" t="s">
        <v>1586</v>
      </c>
      <c r="W641" s="253"/>
      <c r="AC641" s="358" t="s">
        <v>1586</v>
      </c>
      <c r="AE641" s="296"/>
    </row>
    <row r="642" spans="1:32" ht="24" customHeight="1">
      <c r="A642" s="363">
        <f t="shared" si="85"/>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AC11</f>
        <v>969.85</v>
      </c>
      <c r="W642" s="253" t="s">
        <v>869</v>
      </c>
      <c r="X642" s="252">
        <f t="shared" ref="X642:X648" si="86">S642*V642</f>
        <v>8049.76</v>
      </c>
      <c r="AA642" s="356">
        <v>8.3000000000000007</v>
      </c>
      <c r="AB642" s="252" t="s">
        <v>869</v>
      </c>
      <c r="AC642" s="296" t="s">
        <v>3997</v>
      </c>
      <c r="AD642" s="252">
        <f>V642</f>
        <v>969.85</v>
      </c>
      <c r="AE642" s="296" t="s">
        <v>869</v>
      </c>
      <c r="AF642" s="252">
        <f t="shared" ref="AF642:AF648" si="87">AA642*AD642</f>
        <v>8049.76</v>
      </c>
    </row>
    <row r="643" spans="1:32" ht="24" customHeight="1">
      <c r="A643" s="363">
        <f t="shared" si="85"/>
        <v>449</v>
      </c>
      <c r="B643" s="296" t="s">
        <v>1773</v>
      </c>
      <c r="C643" s="362">
        <v>97.3</v>
      </c>
      <c r="D643" s="365" t="s">
        <v>868</v>
      </c>
      <c r="H643" s="296" t="s">
        <v>773</v>
      </c>
      <c r="K643" s="252">
        <f>ROUND(K641*100,0)</f>
        <v>7834</v>
      </c>
      <c r="O643" s="296" t="s">
        <v>450</v>
      </c>
      <c r="Q643" s="296" t="s">
        <v>449</v>
      </c>
      <c r="R643" s="252">
        <v>0.08</v>
      </c>
      <c r="S643" s="356">
        <v>3.25</v>
      </c>
      <c r="T643" s="252" t="s">
        <v>861</v>
      </c>
      <c r="U643" s="296" t="s">
        <v>862</v>
      </c>
      <c r="V643" s="252">
        <f>I808</f>
        <v>6040</v>
      </c>
      <c r="W643" s="253" t="s">
        <v>861</v>
      </c>
      <c r="X643" s="252">
        <f t="shared" si="86"/>
        <v>19630</v>
      </c>
      <c r="AA643" s="356">
        <v>4</v>
      </c>
      <c r="AB643" s="252" t="s">
        <v>861</v>
      </c>
      <c r="AC643" s="296" t="s">
        <v>862</v>
      </c>
      <c r="AD643" s="252">
        <f t="shared" ref="AD643:AD648" si="88">V643</f>
        <v>6040</v>
      </c>
      <c r="AE643" s="296" t="s">
        <v>861</v>
      </c>
      <c r="AF643" s="252">
        <f t="shared" si="87"/>
        <v>24160</v>
      </c>
    </row>
    <row r="644" spans="1:32" ht="24" customHeight="1">
      <c r="A644" s="363">
        <f t="shared" si="85"/>
        <v>450</v>
      </c>
      <c r="B644" s="365" t="s">
        <v>1775</v>
      </c>
      <c r="C644" s="364"/>
      <c r="D644" s="365" t="s">
        <v>868</v>
      </c>
      <c r="F644" s="296" t="s">
        <v>975</v>
      </c>
      <c r="R644" s="358" t="s">
        <v>1586</v>
      </c>
      <c r="S644" s="356">
        <v>4.79</v>
      </c>
      <c r="T644" s="252" t="s">
        <v>869</v>
      </c>
      <c r="U644" s="296" t="s">
        <v>870</v>
      </c>
      <c r="V644" s="252">
        <f>I809</f>
        <v>1464.46</v>
      </c>
      <c r="W644" s="253" t="s">
        <v>869</v>
      </c>
      <c r="X644" s="252">
        <f t="shared" si="86"/>
        <v>7014.76</v>
      </c>
      <c r="AA644" s="356">
        <v>4.79</v>
      </c>
      <c r="AB644" s="252" t="s">
        <v>869</v>
      </c>
      <c r="AC644" s="296" t="s">
        <v>870</v>
      </c>
      <c r="AD644" s="252">
        <f t="shared" si="88"/>
        <v>1464.46</v>
      </c>
      <c r="AE644" s="296" t="s">
        <v>869</v>
      </c>
      <c r="AF644" s="252">
        <f t="shared" si="87"/>
        <v>7014.76</v>
      </c>
    </row>
    <row r="645" spans="1:32" ht="24" customHeight="1">
      <c r="A645" s="363">
        <f t="shared" si="85"/>
        <v>451</v>
      </c>
      <c r="B645" s="296" t="s">
        <v>4588</v>
      </c>
      <c r="C645" s="362">
        <v>187.8</v>
      </c>
      <c r="D645" s="365" t="s">
        <v>868</v>
      </c>
      <c r="K645" s="358" t="s">
        <v>2055</v>
      </c>
      <c r="O645" s="296" t="s">
        <v>1751</v>
      </c>
      <c r="R645" s="252">
        <f>SUM(R640:R643)</f>
        <v>3020.88</v>
      </c>
      <c r="S645" s="356">
        <v>3.5</v>
      </c>
      <c r="T645" s="252" t="s">
        <v>868</v>
      </c>
      <c r="U645" s="296" t="s">
        <v>1712</v>
      </c>
      <c r="V645" s="252">
        <f>C11</f>
        <v>932</v>
      </c>
      <c r="W645" s="253" t="s">
        <v>868</v>
      </c>
      <c r="X645" s="252">
        <f t="shared" si="86"/>
        <v>3262</v>
      </c>
      <c r="AA645" s="356">
        <v>3.5</v>
      </c>
      <c r="AB645" s="252" t="s">
        <v>868</v>
      </c>
      <c r="AC645" s="296" t="s">
        <v>1712</v>
      </c>
      <c r="AD645" s="252">
        <f t="shared" si="88"/>
        <v>932</v>
      </c>
      <c r="AE645" s="296" t="s">
        <v>868</v>
      </c>
      <c r="AF645" s="252">
        <f t="shared" si="87"/>
        <v>3262</v>
      </c>
    </row>
    <row r="646" spans="1:32" ht="24" customHeight="1">
      <c r="A646" s="363">
        <f t="shared" si="85"/>
        <v>452</v>
      </c>
      <c r="B646" s="296" t="s">
        <v>1635</v>
      </c>
      <c r="C646" s="362">
        <v>125.2</v>
      </c>
      <c r="D646" s="365" t="s">
        <v>868</v>
      </c>
      <c r="G646" s="252" t="s">
        <v>675</v>
      </c>
      <c r="H646" s="296" t="s">
        <v>990</v>
      </c>
      <c r="R646" s="358" t="s">
        <v>1586</v>
      </c>
      <c r="S646" s="356">
        <v>21.2</v>
      </c>
      <c r="T646" s="252" t="s">
        <v>868</v>
      </c>
      <c r="U646" s="296" t="s">
        <v>1902</v>
      </c>
      <c r="V646" s="252">
        <f>C12</f>
        <v>651</v>
      </c>
      <c r="W646" s="253" t="s">
        <v>868</v>
      </c>
      <c r="X646" s="252">
        <f t="shared" si="86"/>
        <v>13801.2</v>
      </c>
      <c r="AA646" s="356">
        <v>21.2</v>
      </c>
      <c r="AB646" s="252" t="s">
        <v>868</v>
      </c>
      <c r="AC646" s="296" t="s">
        <v>1902</v>
      </c>
      <c r="AD646" s="252">
        <f t="shared" si="88"/>
        <v>651</v>
      </c>
      <c r="AE646" s="296" t="s">
        <v>868</v>
      </c>
      <c r="AF646" s="252">
        <f t="shared" si="87"/>
        <v>13801.2</v>
      </c>
    </row>
    <row r="647" spans="1:32" ht="24" customHeight="1">
      <c r="A647" s="363">
        <f t="shared" si="85"/>
        <v>453</v>
      </c>
      <c r="B647" s="365" t="s">
        <v>1636</v>
      </c>
      <c r="C647" s="364"/>
      <c r="D647" s="365" t="s">
        <v>868</v>
      </c>
      <c r="H647" s="296" t="s">
        <v>1653</v>
      </c>
      <c r="S647" s="356">
        <v>35.299999999999997</v>
      </c>
      <c r="T647" s="252" t="s">
        <v>868</v>
      </c>
      <c r="U647" s="296" t="s">
        <v>320</v>
      </c>
      <c r="V647" s="252">
        <f>C13</f>
        <v>534</v>
      </c>
      <c r="W647" s="253" t="s">
        <v>868</v>
      </c>
      <c r="X647" s="252">
        <f t="shared" si="86"/>
        <v>18850.2</v>
      </c>
      <c r="AA647" s="356">
        <v>35.299999999999997</v>
      </c>
      <c r="AB647" s="252" t="s">
        <v>868</v>
      </c>
      <c r="AC647" s="296" t="s">
        <v>320</v>
      </c>
      <c r="AD647" s="252">
        <f t="shared" si="88"/>
        <v>534</v>
      </c>
      <c r="AE647" s="296" t="s">
        <v>868</v>
      </c>
      <c r="AF647" s="252">
        <f t="shared" si="87"/>
        <v>18850.2</v>
      </c>
    </row>
    <row r="648" spans="1:32" ht="24" customHeight="1">
      <c r="A648" s="363">
        <f t="shared" si="85"/>
        <v>454</v>
      </c>
      <c r="B648" s="296" t="s">
        <v>4590</v>
      </c>
      <c r="C648" s="362">
        <v>82.3</v>
      </c>
      <c r="D648" s="365" t="s">
        <v>868</v>
      </c>
      <c r="H648" s="358" t="s">
        <v>1586</v>
      </c>
      <c r="N648" s="296" t="s">
        <v>2251</v>
      </c>
      <c r="O648" s="296" t="s">
        <v>61</v>
      </c>
      <c r="S648" s="407">
        <v>19.5</v>
      </c>
      <c r="U648" s="296" t="s">
        <v>3998</v>
      </c>
      <c r="V648" s="362">
        <f>C149</f>
        <v>43.2</v>
      </c>
      <c r="W648" s="253" t="s">
        <v>449</v>
      </c>
      <c r="X648" s="252">
        <f t="shared" si="86"/>
        <v>842.4</v>
      </c>
      <c r="AA648" s="407">
        <v>40</v>
      </c>
      <c r="AC648" s="296" t="s">
        <v>3998</v>
      </c>
      <c r="AD648" s="252">
        <f t="shared" si="88"/>
        <v>43.2</v>
      </c>
      <c r="AE648" s="296" t="s">
        <v>449</v>
      </c>
      <c r="AF648" s="252">
        <f t="shared" si="87"/>
        <v>1728</v>
      </c>
    </row>
    <row r="649" spans="1:32" ht="24" customHeight="1">
      <c r="A649" s="363">
        <f t="shared" si="85"/>
        <v>455</v>
      </c>
      <c r="B649" s="296" t="s">
        <v>1960</v>
      </c>
      <c r="C649" s="362">
        <v>55.5</v>
      </c>
      <c r="D649" s="365" t="s">
        <v>868</v>
      </c>
      <c r="F649" s="356">
        <v>1.4E-2</v>
      </c>
      <c r="G649" s="252" t="s">
        <v>869</v>
      </c>
      <c r="H649" s="296" t="s">
        <v>1325</v>
      </c>
      <c r="I649" s="252">
        <f>(K643)</f>
        <v>7834</v>
      </c>
      <c r="J649" s="296" t="s">
        <v>869</v>
      </c>
      <c r="K649" s="252">
        <f>(F649*I649)</f>
        <v>109.68</v>
      </c>
      <c r="O649" s="296" t="s">
        <v>1961</v>
      </c>
      <c r="S649" s="252"/>
      <c r="W649" s="253"/>
      <c r="X649" s="358" t="s">
        <v>1586</v>
      </c>
      <c r="AE649" s="296"/>
      <c r="AF649" s="358" t="s">
        <v>1586</v>
      </c>
    </row>
    <row r="650" spans="1:32" ht="24" customHeight="1">
      <c r="A650" s="363">
        <f t="shared" si="85"/>
        <v>456</v>
      </c>
      <c r="B650" s="296" t="s">
        <v>1962</v>
      </c>
      <c r="C650" s="362">
        <v>34.4</v>
      </c>
      <c r="D650" s="365" t="s">
        <v>868</v>
      </c>
      <c r="F650" s="356"/>
      <c r="H650" s="296" t="s">
        <v>1774</v>
      </c>
      <c r="K650" s="296" t="s">
        <v>975</v>
      </c>
      <c r="O650" s="296" t="s">
        <v>1963</v>
      </c>
      <c r="S650" s="252"/>
      <c r="U650" s="253" t="s">
        <v>614</v>
      </c>
      <c r="W650" s="253"/>
      <c r="X650" s="252">
        <f>SUM(X642:X648)</f>
        <v>71450.320000000007</v>
      </c>
      <c r="AC650" s="253" t="s">
        <v>614</v>
      </c>
      <c r="AE650" s="296"/>
      <c r="AF650" s="252">
        <f>SUM(AF642:AF648)</f>
        <v>76865.919999999998</v>
      </c>
    </row>
    <row r="651" spans="1:32" ht="24" customHeight="1">
      <c r="A651" s="363">
        <f t="shared" si="85"/>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85"/>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89">(M652*P652)</f>
        <v>2128.9499999999998</v>
      </c>
      <c r="S652" s="252"/>
      <c r="U652" s="296" t="s">
        <v>773</v>
      </c>
      <c r="W652" s="253"/>
      <c r="X652" s="252">
        <f>X650/10</f>
        <v>7145.03</v>
      </c>
      <c r="AC652" s="296" t="s">
        <v>773</v>
      </c>
      <c r="AE652" s="296"/>
      <c r="AF652" s="252">
        <f>AF650/10</f>
        <v>7686.59</v>
      </c>
    </row>
    <row r="653" spans="1:32" ht="24" customHeight="1">
      <c r="A653" s="363">
        <f t="shared" si="85"/>
        <v>459</v>
      </c>
      <c r="B653" s="296" t="s">
        <v>5307</v>
      </c>
      <c r="C653" s="362">
        <v>42.7</v>
      </c>
      <c r="D653" s="365" t="s">
        <v>1645</v>
      </c>
      <c r="G653" s="252" t="s">
        <v>449</v>
      </c>
      <c r="H653" s="296" t="s">
        <v>450</v>
      </c>
      <c r="J653" s="296" t="s">
        <v>449</v>
      </c>
      <c r="K653" s="252">
        <v>0</v>
      </c>
      <c r="M653" s="252">
        <v>0.47</v>
      </c>
      <c r="N653" s="296" t="s">
        <v>869</v>
      </c>
      <c r="O653" s="296" t="s">
        <v>342</v>
      </c>
      <c r="P653" s="252">
        <f>(R74)</f>
        <v>6257.8</v>
      </c>
      <c r="Q653" s="296" t="s">
        <v>869</v>
      </c>
      <c r="R653" s="252">
        <f t="shared" si="89"/>
        <v>2941.17</v>
      </c>
      <c r="S653" s="252">
        <v>1</v>
      </c>
      <c r="T653" s="252" t="s">
        <v>869</v>
      </c>
      <c r="U653" s="296" t="s">
        <v>44</v>
      </c>
      <c r="W653" s="253"/>
      <c r="AA653" s="252">
        <v>1</v>
      </c>
      <c r="AB653" s="252" t="s">
        <v>869</v>
      </c>
      <c r="AC653" s="296" t="s">
        <v>44</v>
      </c>
      <c r="AE653" s="296"/>
    </row>
    <row r="654" spans="1:32" ht="24" customHeight="1">
      <c r="A654" s="363">
        <f t="shared" si="85"/>
        <v>460</v>
      </c>
      <c r="B654" s="365" t="s">
        <v>1843</v>
      </c>
      <c r="C654" s="314">
        <v>0.3</v>
      </c>
      <c r="D654" s="365" t="s">
        <v>868</v>
      </c>
      <c r="K654" s="358" t="s">
        <v>1586</v>
      </c>
      <c r="M654" s="252">
        <v>1.62</v>
      </c>
      <c r="N654" s="296" t="s">
        <v>869</v>
      </c>
      <c r="O654" s="296" t="s">
        <v>1976</v>
      </c>
      <c r="P654" s="252">
        <f>(R89)</f>
        <v>6795.56</v>
      </c>
      <c r="Q654" s="296" t="s">
        <v>869</v>
      </c>
      <c r="R654" s="252">
        <f t="shared" si="89"/>
        <v>11008.81</v>
      </c>
      <c r="W654" s="253"/>
      <c r="X654" s="252">
        <f>SUM(X652:X653)</f>
        <v>7145.03</v>
      </c>
      <c r="AA654" s="356"/>
      <c r="AF654" s="252">
        <f>SUM(AF652:AF653)</f>
        <v>7686.59</v>
      </c>
    </row>
    <row r="655" spans="1:32" ht="24" customHeight="1">
      <c r="A655" s="363">
        <f t="shared" si="85"/>
        <v>461</v>
      </c>
      <c r="B655" s="296" t="s">
        <v>5308</v>
      </c>
      <c r="C655" s="362">
        <v>189.65</v>
      </c>
      <c r="D655" s="365" t="s">
        <v>609</v>
      </c>
      <c r="H655" s="296" t="s">
        <v>102</v>
      </c>
      <c r="K655" s="252">
        <f>SUM(K649:K653)</f>
        <v>1097.43</v>
      </c>
      <c r="M655" s="252">
        <v>15.22</v>
      </c>
      <c r="N655" s="296" t="s">
        <v>609</v>
      </c>
      <c r="O655" s="296" t="s">
        <v>2135</v>
      </c>
      <c r="P655" s="252">
        <f>(R304)</f>
        <v>263.89999999999998</v>
      </c>
      <c r="Q655" s="296" t="s">
        <v>609</v>
      </c>
      <c r="R655" s="252">
        <f t="shared" si="89"/>
        <v>4016.56</v>
      </c>
      <c r="S655" s="252"/>
      <c r="U655" s="252" t="s">
        <v>3999</v>
      </c>
      <c r="W655" s="253"/>
      <c r="X655" s="252">
        <f>X654*0.5%</f>
        <v>35.729999999999997</v>
      </c>
      <c r="AC655" s="252" t="s">
        <v>3999</v>
      </c>
      <c r="AF655" s="252">
        <f>AF654*0.5%</f>
        <v>38.43</v>
      </c>
    </row>
    <row r="656" spans="1:32" ht="24" customHeight="1">
      <c r="A656" s="363">
        <f t="shared" si="85"/>
        <v>462</v>
      </c>
      <c r="B656" s="365" t="s">
        <v>2018</v>
      </c>
      <c r="C656" s="314">
        <v>97.31</v>
      </c>
      <c r="D656" s="365" t="s">
        <v>609</v>
      </c>
      <c r="K656" s="358" t="s">
        <v>1586</v>
      </c>
      <c r="M656" s="252">
        <v>0.18</v>
      </c>
      <c r="N656" s="296" t="s">
        <v>869</v>
      </c>
      <c r="O656" s="296" t="s">
        <v>1333</v>
      </c>
      <c r="P656" s="252">
        <f>(K280)</f>
        <v>7718.53</v>
      </c>
      <c r="Q656" s="296" t="s">
        <v>869</v>
      </c>
      <c r="R656" s="252">
        <f t="shared" si="89"/>
        <v>1389.34</v>
      </c>
      <c r="S656" s="252"/>
      <c r="W656" s="253"/>
      <c r="X656" s="358"/>
      <c r="AE656" s="296"/>
      <c r="AF656" s="358"/>
    </row>
    <row r="657" spans="1:32" ht="24" customHeight="1">
      <c r="A657" s="363">
        <f t="shared" si="85"/>
        <v>463</v>
      </c>
      <c r="B657" s="296" t="s">
        <v>5309</v>
      </c>
      <c r="C657" s="362">
        <v>196.45</v>
      </c>
      <c r="D657" s="296" t="s">
        <v>1152</v>
      </c>
      <c r="H657" s="296" t="s">
        <v>552</v>
      </c>
      <c r="K657" s="252">
        <f>(K655/0.372)</f>
        <v>2950.08</v>
      </c>
      <c r="M657" s="252">
        <v>0.36</v>
      </c>
      <c r="N657" s="296" t="s">
        <v>609</v>
      </c>
      <c r="O657" s="296" t="s">
        <v>760</v>
      </c>
      <c r="P657" s="252">
        <f>(K467)</f>
        <v>399.14</v>
      </c>
      <c r="Q657" s="296" t="s">
        <v>609</v>
      </c>
      <c r="R657" s="252">
        <f t="shared" si="89"/>
        <v>143.69</v>
      </c>
      <c r="S657" s="252"/>
      <c r="U657" s="252" t="s">
        <v>3588</v>
      </c>
      <c r="W657" s="253"/>
      <c r="X657" s="274">
        <f>SUM(X654:X656)</f>
        <v>7180.76</v>
      </c>
      <c r="AC657" s="252" t="s">
        <v>3588</v>
      </c>
      <c r="AE657" s="296"/>
      <c r="AF657" s="274">
        <f>SUM(AF654:AF656)</f>
        <v>7725.02</v>
      </c>
    </row>
    <row r="658" spans="1:32" ht="24" customHeight="1">
      <c r="A658" s="363">
        <f t="shared" si="85"/>
        <v>464</v>
      </c>
      <c r="B658" s="296" t="s">
        <v>5310</v>
      </c>
      <c r="C658" s="362">
        <f>C657</f>
        <v>196.45</v>
      </c>
      <c r="D658" s="296" t="s">
        <v>1152</v>
      </c>
      <c r="K658" s="358" t="s">
        <v>2055</v>
      </c>
      <c r="M658" s="252">
        <v>1</v>
      </c>
      <c r="N658" s="296" t="s">
        <v>868</v>
      </c>
      <c r="O658" s="296" t="s">
        <v>1164</v>
      </c>
      <c r="P658" s="252">
        <f>(C203)</f>
        <v>128</v>
      </c>
      <c r="Q658" s="296" t="s">
        <v>868</v>
      </c>
      <c r="R658" s="252">
        <f t="shared" si="89"/>
        <v>128</v>
      </c>
      <c r="S658" s="252"/>
      <c r="W658" s="253"/>
      <c r="X658" s="358" t="s">
        <v>1586</v>
      </c>
      <c r="AE658" s="296"/>
      <c r="AF658" s="358" t="s">
        <v>1586</v>
      </c>
    </row>
    <row r="659" spans="1:32" ht="24" customHeight="1">
      <c r="A659" s="363">
        <f t="shared" si="85"/>
        <v>465</v>
      </c>
      <c r="B659" s="296" t="s">
        <v>1165</v>
      </c>
      <c r="C659" s="362">
        <v>3.91</v>
      </c>
      <c r="D659" s="296" t="s">
        <v>868</v>
      </c>
      <c r="E659" s="252" t="s">
        <v>148</v>
      </c>
      <c r="H659" s="296" t="s">
        <v>386</v>
      </c>
      <c r="I659" s="252">
        <f>K657</f>
        <v>2950.08</v>
      </c>
      <c r="J659" s="296">
        <f>C22*0.014/0.372</f>
        <v>4.51</v>
      </c>
      <c r="K659" s="274">
        <f>I659+J659</f>
        <v>2954.59</v>
      </c>
      <c r="M659" s="252">
        <v>1.8</v>
      </c>
      <c r="N659" s="296" t="s">
        <v>335</v>
      </c>
      <c r="O659" s="296" t="s">
        <v>336</v>
      </c>
      <c r="P659" s="252">
        <f>(C325)</f>
        <v>14.91</v>
      </c>
      <c r="Q659" s="296" t="s">
        <v>335</v>
      </c>
      <c r="R659" s="252">
        <f t="shared" si="89"/>
        <v>26.84</v>
      </c>
      <c r="S659" s="252"/>
      <c r="U659" s="296" t="s">
        <v>386</v>
      </c>
      <c r="W659" s="253"/>
      <c r="X659" s="274">
        <f>(X657+C23)</f>
        <v>7416.86</v>
      </c>
      <c r="AC659" s="296" t="s">
        <v>386</v>
      </c>
      <c r="AE659" s="296"/>
      <c r="AF659" s="274">
        <f>AF657+C23</f>
        <v>7961.12</v>
      </c>
    </row>
    <row r="660" spans="1:32" ht="24" customHeight="1">
      <c r="A660" s="363">
        <f t="shared" si="85"/>
        <v>466</v>
      </c>
      <c r="B660" s="296" t="s">
        <v>5878</v>
      </c>
      <c r="C660" s="362">
        <v>70.150000000000006</v>
      </c>
      <c r="D660" s="418">
        <v>69.599999999999994</v>
      </c>
      <c r="E660" s="252" t="s">
        <v>4591</v>
      </c>
      <c r="H660" s="296" t="s">
        <v>388</v>
      </c>
      <c r="I660" s="252">
        <f>K659</f>
        <v>2954.59</v>
      </c>
      <c r="J660" s="296">
        <f>C23*0.014/0.372</f>
        <v>8.89</v>
      </c>
      <c r="K660" s="274">
        <f>I660+J660</f>
        <v>2963.48</v>
      </c>
      <c r="M660" s="252">
        <v>1</v>
      </c>
      <c r="N660" s="296" t="s">
        <v>868</v>
      </c>
      <c r="O660" s="296" t="s">
        <v>1913</v>
      </c>
      <c r="P660" s="252">
        <f>(C371)</f>
        <v>13.29</v>
      </c>
      <c r="Q660" s="296" t="s">
        <v>868</v>
      </c>
      <c r="R660" s="252">
        <f t="shared" si="89"/>
        <v>13.29</v>
      </c>
      <c r="S660" s="252"/>
      <c r="U660" s="296" t="s">
        <v>388</v>
      </c>
      <c r="W660" s="253"/>
      <c r="X660" s="274">
        <f>X659+C24</f>
        <v>7652.96</v>
      </c>
      <c r="AC660" s="296" t="s">
        <v>388</v>
      </c>
      <c r="AE660" s="296"/>
      <c r="AF660" s="274">
        <f>AF659+C24</f>
        <v>8197.2199999999993</v>
      </c>
    </row>
    <row r="661" spans="1:32" ht="32.25" customHeight="1">
      <c r="A661" s="363">
        <f t="shared" si="85"/>
        <v>467</v>
      </c>
      <c r="B661" s="424" t="s">
        <v>5311</v>
      </c>
      <c r="C661" s="410">
        <v>11.2</v>
      </c>
      <c r="D661" s="411" t="s">
        <v>1771</v>
      </c>
      <c r="E661" s="410">
        <v>17.3</v>
      </c>
      <c r="H661" s="296" t="s">
        <v>2232</v>
      </c>
      <c r="I661" s="252">
        <f>K660</f>
        <v>2963.48</v>
      </c>
      <c r="J661" s="296">
        <f>J660</f>
        <v>8.89</v>
      </c>
      <c r="K661" s="274">
        <f>I661+J661</f>
        <v>2972.37</v>
      </c>
      <c r="N661" s="296" t="s">
        <v>449</v>
      </c>
      <c r="O661" s="296" t="s">
        <v>340</v>
      </c>
      <c r="Q661" s="296" t="s">
        <v>449</v>
      </c>
      <c r="R661" s="252">
        <v>1.72</v>
      </c>
      <c r="S661" s="252"/>
      <c r="U661" s="296" t="s">
        <v>2232</v>
      </c>
      <c r="W661" s="253"/>
      <c r="X661" s="274">
        <f>X660+C25</f>
        <v>7747.16</v>
      </c>
      <c r="AC661" s="296" t="s">
        <v>2232</v>
      </c>
      <c r="AE661" s="296"/>
      <c r="AF661" s="274">
        <f>AF660+C25</f>
        <v>8291.42</v>
      </c>
    </row>
    <row r="662" spans="1:32" ht="24" customHeight="1">
      <c r="A662" s="363">
        <f t="shared" si="85"/>
        <v>468</v>
      </c>
      <c r="B662" s="425" t="s">
        <v>5312</v>
      </c>
      <c r="C662" s="410">
        <v>17.3</v>
      </c>
      <c r="D662" s="411" t="s">
        <v>1771</v>
      </c>
      <c r="E662" s="410"/>
      <c r="H662" s="296" t="s">
        <v>380</v>
      </c>
      <c r="I662" s="252">
        <f>K661</f>
        <v>2972.37</v>
      </c>
      <c r="J662" s="296">
        <f>J661</f>
        <v>8.89</v>
      </c>
      <c r="K662" s="274">
        <f>I662+J662</f>
        <v>2981.26</v>
      </c>
      <c r="R662" s="296" t="s">
        <v>975</v>
      </c>
      <c r="S662" s="252"/>
      <c r="U662" s="296" t="s">
        <v>380</v>
      </c>
      <c r="W662" s="253"/>
      <c r="X662" s="274">
        <f>X661+C25</f>
        <v>7841.36</v>
      </c>
      <c r="AC662" s="296" t="s">
        <v>380</v>
      </c>
      <c r="AE662" s="296"/>
      <c r="AF662" s="274">
        <f>AF661+C25</f>
        <v>8385.6200000000008</v>
      </c>
    </row>
    <row r="663" spans="1:32" ht="24" customHeight="1">
      <c r="A663" s="363">
        <f t="shared" si="85"/>
        <v>469</v>
      </c>
      <c r="B663" s="296" t="s">
        <v>4592</v>
      </c>
      <c r="C663" s="426">
        <v>8.9</v>
      </c>
      <c r="D663" s="427">
        <v>10.65</v>
      </c>
      <c r="E663" s="252">
        <v>2</v>
      </c>
      <c r="H663" s="296" t="s">
        <v>1364</v>
      </c>
      <c r="I663" s="252">
        <f>K662</f>
        <v>2981.26</v>
      </c>
      <c r="J663" s="296">
        <f>J662</f>
        <v>8.89</v>
      </c>
      <c r="K663" s="274">
        <f>I663+J663</f>
        <v>2990.15</v>
      </c>
      <c r="R663" s="358" t="s">
        <v>1586</v>
      </c>
      <c r="S663" s="252"/>
      <c r="U663" s="296" t="s">
        <v>1532</v>
      </c>
      <c r="W663" s="253"/>
      <c r="X663" s="274">
        <f>X662+C25</f>
        <v>7935.56</v>
      </c>
      <c r="AC663" s="296" t="s">
        <v>1532</v>
      </c>
      <c r="AE663" s="296"/>
      <c r="AF663" s="274">
        <f>AF662+K25</f>
        <v>8385.6200000000008</v>
      </c>
    </row>
    <row r="664" spans="1:32" ht="24" customHeight="1">
      <c r="A664" s="363"/>
      <c r="B664" s="365"/>
      <c r="C664" s="370"/>
      <c r="D664" s="374"/>
      <c r="H664" s="296">
        <v>5</v>
      </c>
      <c r="I664" s="252">
        <f t="shared" ref="I664:I670" si="90">K663</f>
        <v>2990.15</v>
      </c>
      <c r="J664" s="296">
        <f t="shared" ref="J664:J670" si="91">J663</f>
        <v>8.89</v>
      </c>
      <c r="K664" s="274">
        <f t="shared" ref="K664:K670" si="92">I664+J664</f>
        <v>2999.04</v>
      </c>
      <c r="R664" s="358"/>
      <c r="S664" s="252"/>
      <c r="U664" s="296">
        <v>5</v>
      </c>
      <c r="W664" s="253"/>
      <c r="X664" s="274">
        <f>X663+C25</f>
        <v>8029.76</v>
      </c>
      <c r="AC664" s="296">
        <v>5</v>
      </c>
      <c r="AE664" s="296"/>
      <c r="AF664" s="274">
        <f>AF663+K25</f>
        <v>8385.6200000000008</v>
      </c>
    </row>
    <row r="665" spans="1:32" ht="24" customHeight="1">
      <c r="A665" s="363"/>
      <c r="B665" s="365"/>
      <c r="C665" s="370"/>
      <c r="D665" s="374"/>
      <c r="H665" s="296">
        <v>6</v>
      </c>
      <c r="I665" s="252">
        <f t="shared" si="90"/>
        <v>2999.04</v>
      </c>
      <c r="J665" s="296">
        <f t="shared" si="91"/>
        <v>8.89</v>
      </c>
      <c r="K665" s="274">
        <f t="shared" si="92"/>
        <v>3007.93</v>
      </c>
      <c r="R665" s="358"/>
      <c r="W665" s="253"/>
      <c r="AA665" s="356"/>
    </row>
    <row r="666" spans="1:32" ht="24" customHeight="1">
      <c r="A666" s="363"/>
      <c r="B666" s="365"/>
      <c r="C666" s="370"/>
      <c r="D666" s="374"/>
      <c r="H666" s="296">
        <v>7</v>
      </c>
      <c r="I666" s="252">
        <f t="shared" si="90"/>
        <v>3007.93</v>
      </c>
      <c r="J666" s="296">
        <f t="shared" si="91"/>
        <v>8.89</v>
      </c>
      <c r="K666" s="274">
        <f t="shared" si="92"/>
        <v>3016.82</v>
      </c>
      <c r="R666" s="358"/>
      <c r="W666" s="253"/>
      <c r="AA666" s="356"/>
    </row>
    <row r="667" spans="1:32" ht="24" customHeight="1">
      <c r="A667" s="363"/>
      <c r="B667" s="365"/>
      <c r="C667" s="370"/>
      <c r="D667" s="374"/>
      <c r="H667" s="296">
        <v>8</v>
      </c>
      <c r="I667" s="252">
        <f t="shared" si="90"/>
        <v>3016.82</v>
      </c>
      <c r="J667" s="296">
        <f t="shared" si="91"/>
        <v>8.89</v>
      </c>
      <c r="K667" s="274">
        <f t="shared" si="92"/>
        <v>3025.71</v>
      </c>
      <c r="R667" s="358"/>
      <c r="W667" s="253"/>
      <c r="AA667" s="356"/>
    </row>
    <row r="668" spans="1:32" ht="24" customHeight="1">
      <c r="A668" s="363"/>
      <c r="B668" s="365"/>
      <c r="C668" s="370"/>
      <c r="D668" s="374"/>
      <c r="H668" s="296">
        <v>9</v>
      </c>
      <c r="I668" s="252">
        <f t="shared" si="90"/>
        <v>3025.71</v>
      </c>
      <c r="J668" s="296">
        <f t="shared" si="91"/>
        <v>8.89</v>
      </c>
      <c r="K668" s="274">
        <f t="shared" si="92"/>
        <v>3034.6</v>
      </c>
      <c r="R668" s="358"/>
      <c r="W668" s="253"/>
      <c r="AA668" s="356"/>
    </row>
    <row r="669" spans="1:32" ht="24" customHeight="1">
      <c r="A669" s="363"/>
      <c r="B669" s="365"/>
      <c r="C669" s="370"/>
      <c r="D669" s="374"/>
      <c r="H669" s="296">
        <v>10</v>
      </c>
      <c r="I669" s="252">
        <f t="shared" si="90"/>
        <v>3034.6</v>
      </c>
      <c r="J669" s="296">
        <f t="shared" si="91"/>
        <v>8.89</v>
      </c>
      <c r="K669" s="274">
        <f t="shared" si="92"/>
        <v>3043.49</v>
      </c>
      <c r="R669" s="358"/>
      <c r="W669" s="253"/>
      <c r="AA669" s="356"/>
    </row>
    <row r="670" spans="1:32" ht="24" customHeight="1">
      <c r="A670" s="363"/>
      <c r="B670" s="365"/>
      <c r="C670" s="370"/>
      <c r="D670" s="374"/>
      <c r="H670" s="296">
        <v>11</v>
      </c>
      <c r="I670" s="252">
        <f t="shared" si="90"/>
        <v>3043.49</v>
      </c>
      <c r="J670" s="296">
        <f t="shared" si="91"/>
        <v>8.89</v>
      </c>
      <c r="K670" s="274">
        <f t="shared" si="92"/>
        <v>3052.38</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21798.37</v>
      </c>
      <c r="W672" s="253"/>
      <c r="AA672" s="356"/>
    </row>
    <row r="673" spans="1:33" ht="24" customHeight="1">
      <c r="A673" s="363">
        <f t="shared" si="85"/>
        <v>471</v>
      </c>
      <c r="B673" s="365" t="s">
        <v>175</v>
      </c>
      <c r="C673" s="314">
        <v>4</v>
      </c>
      <c r="D673" s="365" t="s">
        <v>449</v>
      </c>
      <c r="H673" s="296" t="s">
        <v>1409</v>
      </c>
      <c r="R673" s="358" t="s">
        <v>1586</v>
      </c>
      <c r="W673" s="253"/>
      <c r="AE673" s="370" t="str">
        <f t="shared" ref="AE673:AE680" si="93">AG673</f>
        <v>|</v>
      </c>
      <c r="AG673" s="296" t="s">
        <v>2259</v>
      </c>
    </row>
    <row r="674" spans="1:33" ht="24" customHeight="1">
      <c r="A674" s="363">
        <f t="shared" si="85"/>
        <v>472</v>
      </c>
      <c r="B674" s="365" t="s">
        <v>418</v>
      </c>
      <c r="C674" s="314">
        <v>5</v>
      </c>
      <c r="D674" s="365" t="s">
        <v>449</v>
      </c>
      <c r="H674" s="296" t="s">
        <v>334</v>
      </c>
      <c r="O674" s="296" t="s">
        <v>1439</v>
      </c>
      <c r="T674" s="274">
        <v>4.2</v>
      </c>
      <c r="U674" s="274" t="s">
        <v>3992</v>
      </c>
      <c r="W674" s="253"/>
      <c r="AE674" s="370" t="str">
        <f t="shared" si="93"/>
        <v>|</v>
      </c>
      <c r="AG674" s="296" t="s">
        <v>2259</v>
      </c>
    </row>
    <row r="675" spans="1:33" ht="24" customHeight="1">
      <c r="A675" s="363">
        <f t="shared" si="85"/>
        <v>473</v>
      </c>
      <c r="B675" s="365" t="s">
        <v>1598</v>
      </c>
      <c r="C675" s="314">
        <v>96</v>
      </c>
      <c r="D675" s="365" t="s">
        <v>868</v>
      </c>
      <c r="H675" s="296" t="s">
        <v>1503</v>
      </c>
      <c r="N675" s="296" t="s">
        <v>2251</v>
      </c>
      <c r="O675" s="296" t="s">
        <v>1600</v>
      </c>
      <c r="S675" s="356">
        <v>5</v>
      </c>
      <c r="T675" s="252" t="s">
        <v>1341</v>
      </c>
      <c r="U675" s="252" t="s">
        <v>6117</v>
      </c>
      <c r="V675" s="252">
        <f>V705</f>
        <v>1685.18</v>
      </c>
      <c r="W675" s="253"/>
      <c r="X675" s="252">
        <f>V675*S675</f>
        <v>8425.9</v>
      </c>
      <c r="AE675" s="370" t="str">
        <f t="shared" si="93"/>
        <v>|</v>
      </c>
      <c r="AG675" s="296" t="s">
        <v>2259</v>
      </c>
    </row>
    <row r="676" spans="1:33" ht="24" customHeight="1">
      <c r="A676" s="363">
        <f t="shared" si="85"/>
        <v>474</v>
      </c>
      <c r="B676" s="365" t="s">
        <v>1601</v>
      </c>
      <c r="C676" s="314">
        <v>75</v>
      </c>
      <c r="D676" s="365" t="s">
        <v>868</v>
      </c>
      <c r="H676" s="296" t="s">
        <v>170</v>
      </c>
      <c r="O676" s="296" t="s">
        <v>1602</v>
      </c>
      <c r="S676" s="356">
        <v>3.3</v>
      </c>
      <c r="T676" s="252" t="s">
        <v>1341</v>
      </c>
      <c r="U676" s="252" t="s">
        <v>6118</v>
      </c>
      <c r="V676" s="252">
        <f t="shared" ref="V676:V685" si="94">V706</f>
        <v>1395.18</v>
      </c>
      <c r="W676" s="253"/>
      <c r="X676" s="252">
        <f t="shared" ref="X676:X682" si="95">V676*S676</f>
        <v>4604.09</v>
      </c>
      <c r="AE676" s="370" t="str">
        <f t="shared" si="93"/>
        <v>|</v>
      </c>
      <c r="AG676" s="296" t="s">
        <v>2259</v>
      </c>
    </row>
    <row r="677" spans="1:33" ht="24" customHeight="1">
      <c r="A677" s="363">
        <f t="shared" si="85"/>
        <v>475</v>
      </c>
      <c r="B677" s="365" t="s">
        <v>1603</v>
      </c>
      <c r="C677" s="428">
        <v>26.6</v>
      </c>
      <c r="D677" s="428">
        <v>40.9</v>
      </c>
      <c r="E677" s="252">
        <v>3</v>
      </c>
      <c r="H677" s="296" t="s">
        <v>172</v>
      </c>
      <c r="O677" s="358" t="s">
        <v>1586</v>
      </c>
      <c r="S677" s="356">
        <v>4.79</v>
      </c>
      <c r="T677" s="252" t="s">
        <v>1341</v>
      </c>
      <c r="U677" s="252" t="s">
        <v>6119</v>
      </c>
      <c r="V677" s="252">
        <f t="shared" si="94"/>
        <v>1464.46</v>
      </c>
      <c r="W677" s="253"/>
      <c r="X677" s="252">
        <f t="shared" si="95"/>
        <v>7014.76</v>
      </c>
      <c r="AE677" s="370" t="str">
        <f t="shared" si="93"/>
        <v>|</v>
      </c>
      <c r="AG677" s="296" t="s">
        <v>2259</v>
      </c>
    </row>
    <row r="678" spans="1:33" ht="24" customHeight="1">
      <c r="A678" s="363">
        <f t="shared" si="85"/>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4"/>
        <v>6040</v>
      </c>
      <c r="W678" s="253"/>
      <c r="X678" s="252">
        <f t="shared" si="95"/>
        <v>24160</v>
      </c>
      <c r="AE678" s="370" t="str">
        <f t="shared" si="93"/>
        <v>|</v>
      </c>
      <c r="AG678" s="296" t="s">
        <v>2259</v>
      </c>
    </row>
    <row r="679" spans="1:33" ht="24" customHeight="1">
      <c r="A679" s="363">
        <f t="shared" si="85"/>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5"/>
        <v>1728</v>
      </c>
      <c r="AE679" s="370" t="str">
        <f t="shared" si="93"/>
        <v>|</v>
      </c>
      <c r="AG679" s="296" t="s">
        <v>2259</v>
      </c>
    </row>
    <row r="680" spans="1:33" ht="24" customHeight="1">
      <c r="A680" s="363">
        <f t="shared" si="85"/>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4"/>
        <v>932</v>
      </c>
      <c r="W680" s="253"/>
      <c r="X680" s="252">
        <f>V680*S680</f>
        <v>3262</v>
      </c>
      <c r="AE680" s="370" t="str">
        <f t="shared" si="93"/>
        <v>|</v>
      </c>
      <c r="AG680" s="296" t="s">
        <v>2259</v>
      </c>
    </row>
    <row r="681" spans="1:33" ht="24" customHeight="1">
      <c r="A681" s="363">
        <f t="shared" si="85"/>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4"/>
        <v>651</v>
      </c>
      <c r="W681" s="253"/>
      <c r="X681" s="252">
        <f t="shared" si="95"/>
        <v>13801.2</v>
      </c>
      <c r="AE681" s="370">
        <f>32.32*100</f>
        <v>3232</v>
      </c>
      <c r="AG681" s="296" t="s">
        <v>2259</v>
      </c>
    </row>
    <row r="682" spans="1:33" ht="24" customHeight="1">
      <c r="A682" s="363">
        <f t="shared" si="85"/>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534</v>
      </c>
      <c r="W682" s="253"/>
      <c r="X682" s="252">
        <f t="shared" si="95"/>
        <v>18850.2</v>
      </c>
      <c r="AE682" s="370">
        <f>48.824*100</f>
        <v>4882.3999999999996</v>
      </c>
      <c r="AG682" s="296" t="s">
        <v>2259</v>
      </c>
    </row>
    <row r="683" spans="1:33" ht="24" customHeight="1">
      <c r="A683" s="363">
        <f t="shared" si="85"/>
        <v>481</v>
      </c>
      <c r="B683" s="365" t="s">
        <v>1363</v>
      </c>
      <c r="C683" s="314">
        <v>49.87</v>
      </c>
      <c r="D683" s="365" t="s">
        <v>868</v>
      </c>
      <c r="K683" s="358" t="s">
        <v>1586</v>
      </c>
      <c r="R683" s="358" t="s">
        <v>1586</v>
      </c>
      <c r="U683" s="274" t="s">
        <v>4004</v>
      </c>
      <c r="W683" s="253"/>
      <c r="X683" s="274">
        <f>SUM(X675:X682)</f>
        <v>81846.149999999994</v>
      </c>
      <c r="AA683" s="356">
        <f>22.77+26.054</f>
        <v>48.823999999999998</v>
      </c>
      <c r="AE683" s="370">
        <f>0.52*100</f>
        <v>52</v>
      </c>
      <c r="AG683" s="296" t="s">
        <v>2259</v>
      </c>
    </row>
    <row r="684" spans="1:33" ht="24" customHeight="1">
      <c r="A684" s="363">
        <f t="shared" si="85"/>
        <v>482</v>
      </c>
      <c r="B684" s="365" t="s">
        <v>1815</v>
      </c>
      <c r="C684" s="314">
        <v>80</v>
      </c>
      <c r="D684" s="365" t="s">
        <v>868</v>
      </c>
      <c r="H684" s="296" t="s">
        <v>552</v>
      </c>
      <c r="K684" s="252">
        <f>SUM(K678:K682)</f>
        <v>480</v>
      </c>
      <c r="U684" s="274" t="s">
        <v>4005</v>
      </c>
      <c r="W684" s="253"/>
      <c r="X684" s="274">
        <f>X683/10</f>
        <v>8184.62</v>
      </c>
      <c r="Y684" s="252">
        <f>X684</f>
        <v>8184.62</v>
      </c>
      <c r="AC684" s="252">
        <f>26.19*0.02</f>
        <v>0.52</v>
      </c>
      <c r="AE684" s="370">
        <f>0.397*100</f>
        <v>39.700000000000003</v>
      </c>
      <c r="AF684" s="252">
        <f>AE681+AE682+AE683+AE684</f>
        <v>8206.1</v>
      </c>
      <c r="AG684" s="296" t="s">
        <v>2259</v>
      </c>
    </row>
    <row r="685" spans="1:33" ht="24" customHeight="1">
      <c r="A685" s="363">
        <f t="shared" si="85"/>
        <v>483</v>
      </c>
      <c r="B685" s="365" t="s">
        <v>1817</v>
      </c>
      <c r="C685" s="314">
        <v>52</v>
      </c>
      <c r="D685" s="365" t="s">
        <v>868</v>
      </c>
      <c r="H685" s="296" t="s">
        <v>1581</v>
      </c>
      <c r="K685" s="358" t="s">
        <v>2055</v>
      </c>
      <c r="N685" s="296" t="s">
        <v>2251</v>
      </c>
      <c r="O685" s="296" t="s">
        <v>894</v>
      </c>
      <c r="S685" s="356">
        <v>1</v>
      </c>
      <c r="T685" s="252" t="s">
        <v>1341</v>
      </c>
      <c r="U685" s="252" t="s">
        <v>4031</v>
      </c>
      <c r="V685" s="252">
        <f t="shared" si="94"/>
        <v>94.2</v>
      </c>
      <c r="W685" s="253"/>
      <c r="X685" s="252">
        <f>V685</f>
        <v>94.2</v>
      </c>
      <c r="AC685" s="356">
        <f>9.92*0.04</f>
        <v>0.39700000000000002</v>
      </c>
      <c r="AE685" s="370" t="str">
        <f t="shared" ref="AE685:AE748" si="96">AG685</f>
        <v>|</v>
      </c>
      <c r="AG685" s="296" t="s">
        <v>2259</v>
      </c>
    </row>
    <row r="686" spans="1:33" ht="24" customHeight="1">
      <c r="A686" s="363">
        <f t="shared" si="85"/>
        <v>484</v>
      </c>
      <c r="B686" s="365" t="s">
        <v>1182</v>
      </c>
      <c r="C686" s="314">
        <v>39</v>
      </c>
      <c r="D686" s="365" t="s">
        <v>868</v>
      </c>
      <c r="H686" s="296" t="s">
        <v>386</v>
      </c>
      <c r="I686" s="252">
        <f>K684</f>
        <v>480</v>
      </c>
      <c r="J686" s="296">
        <f>C19*0.05</f>
        <v>3.95</v>
      </c>
      <c r="K686" s="274">
        <f>I686+J686</f>
        <v>483.95</v>
      </c>
      <c r="O686" s="296" t="s">
        <v>1602</v>
      </c>
      <c r="U686" s="252" t="s">
        <v>4006</v>
      </c>
      <c r="W686" s="253"/>
      <c r="X686" s="274">
        <f>SUM(X684:X685)</f>
        <v>8278.82</v>
      </c>
      <c r="Y686" s="252">
        <f>SUM(Y684:Y685)</f>
        <v>8184.62</v>
      </c>
      <c r="AE686" s="370" t="str">
        <f t="shared" si="96"/>
        <v>|</v>
      </c>
      <c r="AF686" s="252">
        <f>SUM(AF684:AF685)</f>
        <v>8206.1</v>
      </c>
      <c r="AG686" s="296" t="s">
        <v>2259</v>
      </c>
    </row>
    <row r="687" spans="1:33" ht="24" customHeight="1">
      <c r="A687" s="363">
        <f t="shared" si="85"/>
        <v>485</v>
      </c>
      <c r="B687" s="365" t="s">
        <v>1253</v>
      </c>
      <c r="C687" s="314">
        <v>90</v>
      </c>
      <c r="D687" s="365" t="s">
        <v>868</v>
      </c>
      <c r="H687" s="296" t="s">
        <v>388</v>
      </c>
      <c r="I687" s="252">
        <f>K686</f>
        <v>483.95</v>
      </c>
      <c r="J687" s="296">
        <f>C20*0.05</f>
        <v>7.96</v>
      </c>
      <c r="K687" s="274">
        <f>I687+J687</f>
        <v>491.91</v>
      </c>
      <c r="O687" s="358" t="s">
        <v>1586</v>
      </c>
      <c r="S687" s="429" t="s">
        <v>657</v>
      </c>
      <c r="U687" s="252" t="s">
        <v>4007</v>
      </c>
      <c r="V687" s="429" t="s">
        <v>657</v>
      </c>
      <c r="W687" s="253"/>
      <c r="X687" s="252">
        <f>X686*0.5%</f>
        <v>41.39</v>
      </c>
      <c r="Y687" s="252">
        <f>Y686*0.5/100</f>
        <v>40.92</v>
      </c>
      <c r="AE687" s="370" t="str">
        <f t="shared" si="96"/>
        <v>|</v>
      </c>
      <c r="AF687" s="252">
        <f>AF686/185.82</f>
        <v>44.16</v>
      </c>
      <c r="AG687" s="296" t="s">
        <v>2259</v>
      </c>
    </row>
    <row r="688" spans="1:33" ht="30.75" customHeight="1">
      <c r="A688" s="363">
        <f t="shared" si="85"/>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274" t="s">
        <v>3588</v>
      </c>
      <c r="W688" s="253"/>
      <c r="X688" s="274">
        <f>SUM(X686:X687)</f>
        <v>8320.2099999999991</v>
      </c>
      <c r="Y688" s="274">
        <f>SUM(Y686:Y687)</f>
        <v>8225.5400000000009</v>
      </c>
      <c r="Z688" s="430" t="s">
        <v>4017</v>
      </c>
      <c r="AE688" s="370" t="str">
        <f t="shared" si="96"/>
        <v>|</v>
      </c>
      <c r="AF688" s="252">
        <f>AF686/1000</f>
        <v>8.2100000000000009</v>
      </c>
      <c r="AG688" s="296" t="s">
        <v>2259</v>
      </c>
    </row>
    <row r="689" spans="1:33" ht="17.25" customHeight="1">
      <c r="A689" s="363">
        <f t="shared" si="85"/>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96"/>
        <v>|</v>
      </c>
      <c r="AF689" s="252">
        <f>185.82*10.764</f>
        <v>2000.17</v>
      </c>
      <c r="AG689" s="296" t="s">
        <v>2259</v>
      </c>
    </row>
    <row r="690" spans="1:33" ht="24" customHeight="1">
      <c r="A690" s="363">
        <f t="shared" si="85"/>
        <v>488</v>
      </c>
      <c r="B690" s="365" t="s">
        <v>247</v>
      </c>
      <c r="C690" s="314">
        <v>75</v>
      </c>
      <c r="D690" s="365" t="s">
        <v>868</v>
      </c>
      <c r="H690" s="296" t="s">
        <v>1364</v>
      </c>
      <c r="I690" s="252">
        <f>K689</f>
        <v>507.83</v>
      </c>
      <c r="J690" s="296">
        <f>J689</f>
        <v>7.96</v>
      </c>
      <c r="K690" s="274">
        <f>I690+J690</f>
        <v>515.79</v>
      </c>
      <c r="O690" s="296" t="s">
        <v>138</v>
      </c>
      <c r="R690" s="296" t="s">
        <v>975</v>
      </c>
      <c r="U690" s="296" t="s">
        <v>386</v>
      </c>
      <c r="W690" s="253"/>
      <c r="X690" s="274">
        <f>(X688+C22)</f>
        <v>8440.06</v>
      </c>
      <c r="AE690" s="370" t="str">
        <f t="shared" si="96"/>
        <v>|</v>
      </c>
      <c r="AF690" s="252">
        <f>AF686/AF689</f>
        <v>4.0999999999999996</v>
      </c>
      <c r="AG690" s="296" t="s">
        <v>2259</v>
      </c>
    </row>
    <row r="691" spans="1:33" ht="24" customHeight="1">
      <c r="A691" s="363">
        <f t="shared" si="85"/>
        <v>489</v>
      </c>
      <c r="B691" s="365" t="s">
        <v>2025</v>
      </c>
      <c r="C691" s="314">
        <v>52</v>
      </c>
      <c r="D691" s="365" t="s">
        <v>868</v>
      </c>
      <c r="F691" s="253" t="s">
        <v>1816</v>
      </c>
      <c r="H691" s="296" t="s">
        <v>759</v>
      </c>
      <c r="R691" s="358" t="s">
        <v>1586</v>
      </c>
      <c r="U691" s="296" t="s">
        <v>388</v>
      </c>
      <c r="W691" s="253"/>
      <c r="X691" s="274">
        <f>(X690+C24)</f>
        <v>8676.16</v>
      </c>
      <c r="AE691" s="370" t="str">
        <f t="shared" si="96"/>
        <v>|</v>
      </c>
      <c r="AF691" s="252">
        <f>924.2/8.21</f>
        <v>112.57</v>
      </c>
      <c r="AG691" s="296" t="s">
        <v>2259</v>
      </c>
    </row>
    <row r="692" spans="1:33" ht="24" customHeight="1">
      <c r="A692" s="363">
        <f t="shared" si="85"/>
        <v>490</v>
      </c>
      <c r="B692" s="365" t="s">
        <v>1182</v>
      </c>
      <c r="C692" s="314">
        <v>35.25</v>
      </c>
      <c r="D692" s="365" t="s">
        <v>868</v>
      </c>
      <c r="H692" s="296" t="s">
        <v>1818</v>
      </c>
      <c r="O692" s="296" t="s">
        <v>1565</v>
      </c>
      <c r="R692" s="252">
        <f>SUM(R688:R690)</f>
        <v>19.670000000000002</v>
      </c>
      <c r="U692" s="296" t="s">
        <v>2232</v>
      </c>
      <c r="W692" s="253"/>
      <c r="X692" s="274">
        <f>(X691+C24)</f>
        <v>8912.26</v>
      </c>
      <c r="AE692" s="370" t="str">
        <f t="shared" si="96"/>
        <v>|</v>
      </c>
      <c r="AG692" s="296" t="s">
        <v>2259</v>
      </c>
    </row>
    <row r="693" spans="1:33" ht="24" customHeight="1">
      <c r="A693" s="363">
        <f t="shared" si="85"/>
        <v>491</v>
      </c>
      <c r="B693" s="365" t="s">
        <v>927</v>
      </c>
      <c r="C693" s="314">
        <v>37.5</v>
      </c>
      <c r="D693" s="365" t="s">
        <v>868</v>
      </c>
      <c r="H693" s="296" t="s">
        <v>334</v>
      </c>
      <c r="R693" s="358" t="s">
        <v>1586</v>
      </c>
      <c r="U693" s="296" t="s">
        <v>380</v>
      </c>
      <c r="W693" s="253"/>
      <c r="X693" s="274">
        <f>(X692+C24)</f>
        <v>9148.36</v>
      </c>
      <c r="AE693" s="370" t="str">
        <f t="shared" si="96"/>
        <v>|</v>
      </c>
      <c r="AG693" s="296" t="s">
        <v>2259</v>
      </c>
    </row>
    <row r="694" spans="1:33" ht="24" customHeight="1">
      <c r="A694" s="363">
        <f t="shared" si="85"/>
        <v>492</v>
      </c>
      <c r="B694" s="365" t="s">
        <v>928</v>
      </c>
      <c r="C694" s="314">
        <v>24</v>
      </c>
      <c r="D694" s="365" t="s">
        <v>868</v>
      </c>
      <c r="H694" s="296" t="s">
        <v>1503</v>
      </c>
      <c r="O694" s="252" t="s">
        <v>249</v>
      </c>
      <c r="U694" s="296" t="s">
        <v>1532</v>
      </c>
      <c r="W694" s="253"/>
      <c r="X694" s="274">
        <f>(X693+C24)</f>
        <v>9384.4599999999991</v>
      </c>
      <c r="AE694" s="370" t="str">
        <f t="shared" si="96"/>
        <v>|</v>
      </c>
      <c r="AG694" s="296" t="s">
        <v>2259</v>
      </c>
    </row>
    <row r="695" spans="1:33" ht="24" customHeight="1">
      <c r="A695" s="363">
        <f t="shared" si="85"/>
        <v>493</v>
      </c>
      <c r="B695" s="365" t="s">
        <v>929</v>
      </c>
      <c r="C695" s="314">
        <v>16</v>
      </c>
      <c r="D695" s="365" t="s">
        <v>868</v>
      </c>
      <c r="H695" s="296" t="s">
        <v>170</v>
      </c>
      <c r="N695" s="296" t="s">
        <v>2251</v>
      </c>
      <c r="O695" s="296" t="s">
        <v>481</v>
      </c>
      <c r="W695" s="253"/>
      <c r="X695" s="252">
        <f>X694+C24</f>
        <v>9620.56</v>
      </c>
      <c r="AE695" s="370" t="str">
        <f t="shared" si="96"/>
        <v>|</v>
      </c>
      <c r="AG695" s="296" t="s">
        <v>2259</v>
      </c>
    </row>
    <row r="696" spans="1:33" ht="24" customHeight="1">
      <c r="A696" s="363">
        <f t="shared" si="85"/>
        <v>494</v>
      </c>
      <c r="B696" s="296" t="s">
        <v>5313</v>
      </c>
      <c r="C696" s="370">
        <v>32.1</v>
      </c>
      <c r="D696" s="365" t="s">
        <v>868</v>
      </c>
      <c r="H696" s="296" t="s">
        <v>172</v>
      </c>
      <c r="O696" s="296" t="s">
        <v>1602</v>
      </c>
      <c r="W696" s="253"/>
      <c r="X696" s="252">
        <f>X695+C24</f>
        <v>9856.66</v>
      </c>
      <c r="AE696" s="370" t="str">
        <f t="shared" si="96"/>
        <v>|</v>
      </c>
      <c r="AG696" s="296" t="s">
        <v>2259</v>
      </c>
    </row>
    <row r="697" spans="1:33" ht="24" customHeight="1">
      <c r="A697" s="363">
        <f t="shared" si="85"/>
        <v>495</v>
      </c>
      <c r="B697" s="365" t="s">
        <v>3878</v>
      </c>
      <c r="C697" s="314">
        <v>6</v>
      </c>
      <c r="D697" s="365" t="s">
        <v>868</v>
      </c>
      <c r="H697" s="296" t="s">
        <v>2070</v>
      </c>
      <c r="O697" s="358" t="s">
        <v>1586</v>
      </c>
      <c r="W697" s="253"/>
      <c r="X697" s="252">
        <f>X696+C24</f>
        <v>10092.76</v>
      </c>
      <c r="AE697" s="370" t="str">
        <f t="shared" si="96"/>
        <v>|</v>
      </c>
      <c r="AG697" s="296" t="s">
        <v>2259</v>
      </c>
    </row>
    <row r="698" spans="1:33" ht="24" customHeight="1">
      <c r="A698" s="363">
        <f t="shared" si="85"/>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10328.86</v>
      </c>
      <c r="AE698" s="370" t="str">
        <f t="shared" si="96"/>
        <v>|</v>
      </c>
      <c r="AG698" s="296" t="s">
        <v>2259</v>
      </c>
    </row>
    <row r="699" spans="1:33" ht="24" customHeight="1">
      <c r="A699" s="363">
        <f t="shared" si="85"/>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10564.96</v>
      </c>
      <c r="AE699" s="370" t="str">
        <f t="shared" si="96"/>
        <v>|</v>
      </c>
      <c r="AG699" s="296" t="s">
        <v>2259</v>
      </c>
    </row>
    <row r="700" spans="1:33" ht="24" customHeight="1">
      <c r="A700" s="363">
        <f t="shared" si="85"/>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10801.06</v>
      </c>
      <c r="AE700" s="370" t="str">
        <f t="shared" si="96"/>
        <v>|</v>
      </c>
      <c r="AG700" s="296" t="s">
        <v>2259</v>
      </c>
    </row>
    <row r="701" spans="1:33" ht="24" customHeight="1">
      <c r="A701" s="363">
        <f t="shared" si="85"/>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11037.16</v>
      </c>
      <c r="AE701" s="370" t="str">
        <f t="shared" si="96"/>
        <v>|</v>
      </c>
      <c r="AG701" s="296" t="s">
        <v>2259</v>
      </c>
    </row>
    <row r="702" spans="1:33" ht="24" customHeight="1">
      <c r="A702" s="363">
        <f t="shared" si="85"/>
        <v>500</v>
      </c>
      <c r="B702" s="296" t="s">
        <v>550</v>
      </c>
      <c r="C702" s="428">
        <v>129</v>
      </c>
      <c r="D702" s="365" t="s">
        <v>868</v>
      </c>
      <c r="H702" s="296" t="s">
        <v>450</v>
      </c>
      <c r="J702" s="296" t="s">
        <v>449</v>
      </c>
      <c r="K702" s="252">
        <v>0</v>
      </c>
      <c r="O702" s="296" t="s">
        <v>1565</v>
      </c>
      <c r="R702" s="252">
        <f>SUM(R698:R700)</f>
        <v>21.39</v>
      </c>
      <c r="W702" s="253"/>
      <c r="X702" s="252">
        <f>X701+C24</f>
        <v>11273.26</v>
      </c>
      <c r="AE702" s="370" t="str">
        <f t="shared" si="96"/>
        <v>|</v>
      </c>
      <c r="AG702" s="296" t="s">
        <v>2259</v>
      </c>
    </row>
    <row r="703" spans="1:33" ht="24" customHeight="1">
      <c r="A703" s="363">
        <f>(A702+1)</f>
        <v>501</v>
      </c>
      <c r="B703" s="296" t="s">
        <v>186</v>
      </c>
      <c r="C703" s="428">
        <v>515.54999999999995</v>
      </c>
      <c r="D703" s="365" t="s">
        <v>868</v>
      </c>
      <c r="K703" s="358" t="s">
        <v>1586</v>
      </c>
      <c r="R703" s="358" t="s">
        <v>1586</v>
      </c>
      <c r="W703" s="253"/>
      <c r="AE703" s="370" t="str">
        <f t="shared" si="96"/>
        <v>|</v>
      </c>
      <c r="AG703" s="296" t="s">
        <v>2259</v>
      </c>
    </row>
    <row r="704" spans="1:33" ht="24" customHeight="1">
      <c r="A704" s="364"/>
      <c r="B704" s="252" t="s">
        <v>5315</v>
      </c>
      <c r="C704" s="362">
        <v>3325</v>
      </c>
      <c r="D704" s="364" t="s">
        <v>609</v>
      </c>
      <c r="H704" s="296" t="s">
        <v>552</v>
      </c>
      <c r="K704" s="252">
        <f>SUM(K699:K702)</f>
        <v>650</v>
      </c>
      <c r="U704" s="274" t="s">
        <v>3993</v>
      </c>
      <c r="W704" s="253"/>
      <c r="AE704" s="370" t="str">
        <f t="shared" si="96"/>
        <v>|</v>
      </c>
      <c r="AG704" s="296" t="s">
        <v>2259</v>
      </c>
    </row>
    <row r="705" spans="1:33" ht="24" customHeight="1">
      <c r="A705" s="363">
        <f>(A703+1)</f>
        <v>502</v>
      </c>
      <c r="B705" s="296" t="s">
        <v>187</v>
      </c>
      <c r="C705" s="428">
        <v>254</v>
      </c>
      <c r="D705" s="365" t="s">
        <v>868</v>
      </c>
      <c r="H705" s="296" t="s">
        <v>1581</v>
      </c>
      <c r="K705" s="358" t="s">
        <v>2055</v>
      </c>
      <c r="S705" s="356">
        <v>5</v>
      </c>
      <c r="T705" s="252" t="s">
        <v>1341</v>
      </c>
      <c r="U705" s="252" t="s">
        <v>6117</v>
      </c>
      <c r="V705" s="252">
        <f>AC14</f>
        <v>1685.18</v>
      </c>
      <c r="W705" s="253"/>
      <c r="X705" s="252">
        <f>V705*S705</f>
        <v>8425.9</v>
      </c>
      <c r="Z705" s="252">
        <f>X705</f>
        <v>8425.9</v>
      </c>
      <c r="AE705" s="370" t="str">
        <f t="shared" si="96"/>
        <v>|</v>
      </c>
      <c r="AG705" s="296" t="s">
        <v>2259</v>
      </c>
    </row>
    <row r="706" spans="1:33" ht="24" customHeight="1">
      <c r="A706" s="363">
        <f t="shared" ref="A706:A763" si="97">(A705+1)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52" t="s">
        <v>6118</v>
      </c>
      <c r="V706" s="252">
        <f>(AC12+AC13)/2</f>
        <v>1395.18</v>
      </c>
      <c r="W706" s="253"/>
      <c r="X706" s="252">
        <f t="shared" ref="X706:X712" si="98">V706*S706</f>
        <v>4604.09</v>
      </c>
      <c r="Z706" s="252">
        <f t="shared" ref="Z706:Z714" si="99">X706</f>
        <v>4604.09</v>
      </c>
      <c r="AE706" s="370" t="str">
        <f t="shared" si="96"/>
        <v>|</v>
      </c>
      <c r="AG706" s="296" t="s">
        <v>2259</v>
      </c>
    </row>
    <row r="707" spans="1:33" ht="24" customHeight="1">
      <c r="A707" s="363">
        <f t="shared" si="97"/>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52" t="s">
        <v>6119</v>
      </c>
      <c r="V707" s="252">
        <f>V644</f>
        <v>1464.46</v>
      </c>
      <c r="W707" s="253"/>
      <c r="X707" s="252">
        <f t="shared" si="98"/>
        <v>7014.76</v>
      </c>
      <c r="Z707" s="252">
        <f t="shared" si="99"/>
        <v>7014.76</v>
      </c>
      <c r="AE707" s="370" t="str">
        <f t="shared" si="96"/>
        <v>|</v>
      </c>
      <c r="AG707" s="296" t="s">
        <v>2259</v>
      </c>
    </row>
    <row r="708" spans="1:33" ht="24" customHeight="1">
      <c r="A708" s="363">
        <f t="shared" si="97"/>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52" t="s">
        <v>390</v>
      </c>
      <c r="V708" s="252">
        <f>V643</f>
        <v>6040</v>
      </c>
      <c r="W708" s="253"/>
      <c r="X708" s="252">
        <f t="shared" si="98"/>
        <v>19630</v>
      </c>
      <c r="Z708" s="252">
        <f t="shared" si="99"/>
        <v>19630</v>
      </c>
      <c r="AE708" s="370" t="str">
        <f t="shared" si="96"/>
        <v>|</v>
      </c>
      <c r="AG708" s="296" t="s">
        <v>2259</v>
      </c>
    </row>
    <row r="709" spans="1:33" ht="30.75" customHeight="1">
      <c r="A709" s="363">
        <f t="shared" si="97"/>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98"/>
        <v>842.4</v>
      </c>
      <c r="Z709" s="252">
        <f t="shared" si="99"/>
        <v>842.4</v>
      </c>
      <c r="AE709" s="370" t="str">
        <f t="shared" si="96"/>
        <v>|</v>
      </c>
      <c r="AG709" s="296" t="s">
        <v>2259</v>
      </c>
    </row>
    <row r="710" spans="1:33" ht="24" customHeight="1">
      <c r="A710" s="363">
        <f t="shared" si="97"/>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52" t="s">
        <v>465</v>
      </c>
      <c r="V710" s="252">
        <f>C11</f>
        <v>932</v>
      </c>
      <c r="W710" s="253">
        <f>J719</f>
        <v>0</v>
      </c>
      <c r="X710" s="252">
        <f t="shared" si="98"/>
        <v>3262</v>
      </c>
      <c r="Z710" s="252">
        <f t="shared" si="99"/>
        <v>3262</v>
      </c>
      <c r="AE710" s="370" t="str">
        <f t="shared" si="96"/>
        <v>|</v>
      </c>
      <c r="AG710" s="296" t="s">
        <v>2259</v>
      </c>
    </row>
    <row r="711" spans="1:33" ht="24" customHeight="1">
      <c r="A711" s="363">
        <f t="shared" si="97"/>
        <v>508</v>
      </c>
      <c r="B711" s="365" t="s">
        <v>1217</v>
      </c>
      <c r="C711" s="364"/>
      <c r="D711" s="364"/>
      <c r="F711" s="296" t="s">
        <v>975</v>
      </c>
      <c r="O711" s="296" t="s">
        <v>138</v>
      </c>
      <c r="R711" s="296" t="s">
        <v>975</v>
      </c>
      <c r="S711" s="356">
        <v>21.2</v>
      </c>
      <c r="T711" s="252" t="s">
        <v>1432</v>
      </c>
      <c r="U711" s="252" t="s">
        <v>3463</v>
      </c>
      <c r="V711" s="252">
        <f>C12</f>
        <v>651</v>
      </c>
      <c r="W711" s="253"/>
      <c r="X711" s="252">
        <f t="shared" si="98"/>
        <v>13801.2</v>
      </c>
      <c r="Z711" s="252">
        <f t="shared" si="99"/>
        <v>13801.2</v>
      </c>
      <c r="AE711" s="370" t="str">
        <f t="shared" si="96"/>
        <v>|</v>
      </c>
      <c r="AG711" s="296" t="s">
        <v>2259</v>
      </c>
    </row>
    <row r="712" spans="1:33" ht="24" customHeight="1">
      <c r="A712" s="363">
        <f t="shared" si="97"/>
        <v>509</v>
      </c>
      <c r="B712" s="365" t="s">
        <v>2117</v>
      </c>
      <c r="C712" s="314">
        <v>11.55</v>
      </c>
      <c r="D712" s="365" t="s">
        <v>868</v>
      </c>
      <c r="R712" s="358" t="s">
        <v>1586</v>
      </c>
      <c r="S712" s="356">
        <v>35.299999999999997</v>
      </c>
      <c r="T712" s="252" t="s">
        <v>1432</v>
      </c>
      <c r="U712" s="252" t="s">
        <v>3464</v>
      </c>
      <c r="V712" s="252">
        <f>C13</f>
        <v>534</v>
      </c>
      <c r="W712" s="253"/>
      <c r="X712" s="252">
        <f t="shared" si="98"/>
        <v>18850.2</v>
      </c>
      <c r="Z712" s="252">
        <f t="shared" si="99"/>
        <v>18850.2</v>
      </c>
      <c r="AE712" s="370" t="str">
        <f t="shared" si="96"/>
        <v>|</v>
      </c>
      <c r="AG712" s="296" t="s">
        <v>2259</v>
      </c>
    </row>
    <row r="713" spans="1:33" ht="24" customHeight="1">
      <c r="A713" s="363">
        <f t="shared" si="97"/>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76430.55</v>
      </c>
      <c r="Z713" s="252">
        <f t="shared" si="99"/>
        <v>76430.55</v>
      </c>
      <c r="AE713" s="370" t="str">
        <f t="shared" si="96"/>
        <v>|</v>
      </c>
      <c r="AG713" s="296" t="s">
        <v>2259</v>
      </c>
    </row>
    <row r="714" spans="1:33" ht="27" customHeight="1">
      <c r="A714" s="363">
        <f t="shared" si="97"/>
        <v>511</v>
      </c>
      <c r="B714" s="365" t="s">
        <v>1117</v>
      </c>
      <c r="C714" s="314">
        <v>27.85</v>
      </c>
      <c r="D714" s="365" t="s">
        <v>868</v>
      </c>
      <c r="H714" s="296" t="s">
        <v>1454</v>
      </c>
      <c r="R714" s="358" t="s">
        <v>1586</v>
      </c>
      <c r="U714" s="252" t="s">
        <v>4005</v>
      </c>
      <c r="V714" s="252">
        <f>V684</f>
        <v>0</v>
      </c>
      <c r="W714" s="253"/>
      <c r="X714" s="274">
        <f>X713/10</f>
        <v>7643.06</v>
      </c>
      <c r="Z714" s="252">
        <f t="shared" si="99"/>
        <v>7643.06</v>
      </c>
      <c r="AE714" s="370" t="str">
        <f t="shared" si="96"/>
        <v>|</v>
      </c>
      <c r="AG714" s="296" t="s">
        <v>2259</v>
      </c>
    </row>
    <row r="715" spans="1:33" ht="24" customHeight="1">
      <c r="A715" s="363">
        <f t="shared" si="97"/>
        <v>512</v>
      </c>
      <c r="B715" s="365" t="s">
        <v>1118</v>
      </c>
      <c r="C715" s="314">
        <v>49.9</v>
      </c>
      <c r="D715" s="365" t="s">
        <v>868</v>
      </c>
      <c r="H715" s="296" t="s">
        <v>1457</v>
      </c>
      <c r="O715" s="253" t="s">
        <v>662</v>
      </c>
      <c r="R715" s="296" t="s">
        <v>975</v>
      </c>
      <c r="S715" s="356">
        <v>1</v>
      </c>
      <c r="T715" s="252" t="s">
        <v>1341</v>
      </c>
      <c r="U715" s="252" t="s">
        <v>4031</v>
      </c>
      <c r="V715" s="252">
        <f>C25</f>
        <v>94.2</v>
      </c>
      <c r="W715" s="253"/>
      <c r="X715" s="252">
        <f>V715*S715</f>
        <v>94.2</v>
      </c>
      <c r="AE715" s="370" t="str">
        <f t="shared" si="96"/>
        <v>|</v>
      </c>
      <c r="AG715" s="296" t="s">
        <v>2259</v>
      </c>
    </row>
    <row r="716" spans="1:33" ht="24" customHeight="1">
      <c r="A716" s="363">
        <f t="shared" si="97"/>
        <v>513</v>
      </c>
      <c r="B716" s="365" t="s">
        <v>1120</v>
      </c>
      <c r="C716" s="314">
        <v>69.25</v>
      </c>
      <c r="D716" s="365" t="s">
        <v>868</v>
      </c>
      <c r="H716" s="358" t="s">
        <v>1586</v>
      </c>
      <c r="M716" s="316"/>
      <c r="O716" s="253" t="s">
        <v>2084</v>
      </c>
      <c r="U716" s="252" t="s">
        <v>4006</v>
      </c>
      <c r="V716" s="252">
        <f>V686</f>
        <v>0</v>
      </c>
      <c r="W716" s="253"/>
      <c r="X716" s="274">
        <f>SUM(X714:X715)</f>
        <v>7737.26</v>
      </c>
      <c r="Z716" s="252">
        <f>Z714</f>
        <v>7643.06</v>
      </c>
      <c r="AE716" s="370" t="str">
        <f t="shared" si="96"/>
        <v>|</v>
      </c>
      <c r="AG716" s="296" t="s">
        <v>2259</v>
      </c>
    </row>
    <row r="717" spans="1:33" ht="24" customHeight="1">
      <c r="A717" s="363">
        <f t="shared" si="97"/>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38.69</v>
      </c>
      <c r="Z717" s="252">
        <f>Z716*0.5/100</f>
        <v>38.22</v>
      </c>
      <c r="AE717" s="370" t="str">
        <f t="shared" si="96"/>
        <v>|::</v>
      </c>
      <c r="AG717" s="296" t="s">
        <v>321</v>
      </c>
    </row>
    <row r="718" spans="1:33" ht="24" customHeight="1">
      <c r="A718" s="363">
        <f t="shared" si="97"/>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7775.95</v>
      </c>
      <c r="Z718" s="274">
        <f>SUM(Z716:Z717)</f>
        <v>7681.28</v>
      </c>
      <c r="AE718" s="370">
        <f t="shared" si="96"/>
        <v>0</v>
      </c>
    </row>
    <row r="719" spans="1:33" ht="24" customHeight="1">
      <c r="A719" s="363">
        <f t="shared" si="97"/>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0">M719*P719</f>
        <v>922.67</v>
      </c>
      <c r="W719" s="253"/>
      <c r="X719" s="358" t="s">
        <v>1586</v>
      </c>
      <c r="AE719" s="370">
        <f t="shared" si="96"/>
        <v>0</v>
      </c>
    </row>
    <row r="720" spans="1:33" ht="24" customHeight="1">
      <c r="A720" s="363">
        <f t="shared" si="97"/>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0"/>
        <v>501.68</v>
      </c>
      <c r="U720" s="296" t="s">
        <v>386</v>
      </c>
      <c r="W720" s="253"/>
      <c r="X720" s="274">
        <f>(X718+C22)</f>
        <v>7895.8</v>
      </c>
      <c r="AE720" s="370">
        <f t="shared" si="96"/>
        <v>0</v>
      </c>
    </row>
    <row r="721" spans="1:33" ht="24" customHeight="1">
      <c r="A721" s="363">
        <f t="shared" si="97"/>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0"/>
        <v>2789.66</v>
      </c>
      <c r="U721" s="296" t="s">
        <v>388</v>
      </c>
      <c r="W721" s="253"/>
      <c r="X721" s="274">
        <f>(X720+C24)</f>
        <v>8131.9</v>
      </c>
      <c r="AE721" s="370" t="str">
        <f t="shared" si="96"/>
        <v>|</v>
      </c>
      <c r="AG721" s="296" t="s">
        <v>2259</v>
      </c>
    </row>
    <row r="722" spans="1:33" ht="24" customHeight="1">
      <c r="A722" s="363">
        <f t="shared" si="97"/>
        <v>519</v>
      </c>
      <c r="B722" s="365" t="s">
        <v>500</v>
      </c>
      <c r="C722" s="314">
        <v>50.66</v>
      </c>
      <c r="D722" s="365" t="s">
        <v>868</v>
      </c>
      <c r="K722" s="358" t="s">
        <v>1586</v>
      </c>
      <c r="M722" s="252">
        <v>2</v>
      </c>
      <c r="N722" s="296" t="s">
        <v>868</v>
      </c>
      <c r="O722" s="296" t="s">
        <v>1723</v>
      </c>
      <c r="P722" s="252">
        <f>C299</f>
        <v>10.5</v>
      </c>
      <c r="Q722" s="296" t="s">
        <v>868</v>
      </c>
      <c r="R722" s="252">
        <f t="shared" si="100"/>
        <v>21</v>
      </c>
      <c r="U722" s="296" t="s">
        <v>2232</v>
      </c>
      <c r="W722" s="253"/>
      <c r="X722" s="274">
        <f>(X721+C24)</f>
        <v>8368</v>
      </c>
      <c r="AE722" s="370" t="str">
        <f t="shared" si="96"/>
        <v>|</v>
      </c>
      <c r="AG722" s="296" t="s">
        <v>2259</v>
      </c>
    </row>
    <row r="723" spans="1:33" ht="24" customHeight="1">
      <c r="A723" s="363">
        <f t="shared" si="97"/>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0"/>
        <v>25.5</v>
      </c>
      <c r="U723" s="296" t="s">
        <v>380</v>
      </c>
      <c r="W723" s="253"/>
      <c r="X723" s="274">
        <f>(X722+C24)</f>
        <v>8604.1</v>
      </c>
      <c r="AE723" s="370" t="str">
        <f t="shared" si="96"/>
        <v>|</v>
      </c>
      <c r="AG723" s="296" t="s">
        <v>2259</v>
      </c>
    </row>
    <row r="724" spans="1:33" ht="24" customHeight="1">
      <c r="A724" s="363">
        <f t="shared" si="97"/>
        <v>521</v>
      </c>
      <c r="B724" s="365" t="s">
        <v>1619</v>
      </c>
      <c r="C724" s="314">
        <v>1605</v>
      </c>
      <c r="D724" s="365" t="s">
        <v>609</v>
      </c>
      <c r="H724" s="296" t="s">
        <v>975</v>
      </c>
      <c r="K724" s="358" t="s">
        <v>1586</v>
      </c>
      <c r="M724" s="252">
        <v>1</v>
      </c>
      <c r="N724" s="296" t="s">
        <v>868</v>
      </c>
      <c r="O724" s="296" t="s">
        <v>1707</v>
      </c>
      <c r="P724" s="252">
        <f>C301</f>
        <v>21</v>
      </c>
      <c r="Q724" s="296" t="s">
        <v>868</v>
      </c>
      <c r="R724" s="252">
        <f t="shared" si="100"/>
        <v>21</v>
      </c>
      <c r="U724" s="296" t="s">
        <v>1532</v>
      </c>
      <c r="W724" s="253"/>
      <c r="X724" s="274">
        <f>(X723+C24)</f>
        <v>8840.2000000000007</v>
      </c>
      <c r="AE724" s="370" t="str">
        <f t="shared" si="96"/>
        <v>|</v>
      </c>
      <c r="AG724" s="296" t="s">
        <v>2259</v>
      </c>
    </row>
    <row r="725" spans="1:33" ht="24" customHeight="1">
      <c r="A725" s="363">
        <f t="shared" si="97"/>
        <v>522</v>
      </c>
      <c r="B725" s="296" t="s">
        <v>5879</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0"/>
        <v>4</v>
      </c>
      <c r="W725" s="253"/>
      <c r="AE725" s="370" t="str">
        <f t="shared" si="96"/>
        <v>|</v>
      </c>
      <c r="AG725" s="296" t="s">
        <v>2259</v>
      </c>
    </row>
    <row r="726" spans="1:33" ht="24" customHeight="1">
      <c r="A726" s="363">
        <f t="shared" si="97"/>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96"/>
        <v>|</v>
      </c>
      <c r="AG726" s="296" t="s">
        <v>2259</v>
      </c>
    </row>
    <row r="727" spans="1:33" ht="24" customHeight="1">
      <c r="A727" s="363">
        <f t="shared" si="97"/>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96"/>
        <v>|</v>
      </c>
      <c r="AG727" s="296" t="s">
        <v>2259</v>
      </c>
    </row>
    <row r="728" spans="1:33" ht="24" customHeight="1">
      <c r="A728" s="363">
        <f t="shared" si="97"/>
        <v>525</v>
      </c>
      <c r="B728" s="365" t="s">
        <v>1719</v>
      </c>
      <c r="C728" s="314">
        <v>147.6</v>
      </c>
      <c r="D728" s="365" t="s">
        <v>1771</v>
      </c>
      <c r="G728" s="252" t="s">
        <v>449</v>
      </c>
      <c r="H728" s="296" t="s">
        <v>1298</v>
      </c>
      <c r="J728" s="296" t="s">
        <v>449</v>
      </c>
      <c r="K728" s="252">
        <v>5</v>
      </c>
      <c r="O728" s="253" t="s">
        <v>10</v>
      </c>
      <c r="R728" s="252">
        <f>SUM(R719:R726)</f>
        <v>4285.51</v>
      </c>
      <c r="T728" s="274">
        <v>4.2</v>
      </c>
      <c r="U728" s="274" t="s">
        <v>4628</v>
      </c>
      <c r="W728" s="253"/>
      <c r="AE728" s="370" t="str">
        <f t="shared" si="96"/>
        <v>|</v>
      </c>
      <c r="AG728" s="296" t="s">
        <v>2259</v>
      </c>
    </row>
    <row r="729" spans="1:33" ht="24" customHeight="1">
      <c r="A729" s="363">
        <f t="shared" si="97"/>
        <v>526</v>
      </c>
      <c r="B729" s="365" t="s">
        <v>648</v>
      </c>
      <c r="C729" s="314">
        <v>1250</v>
      </c>
      <c r="D729" s="365" t="s">
        <v>609</v>
      </c>
      <c r="K729" s="358" t="s">
        <v>1586</v>
      </c>
      <c r="R729" s="358" t="s">
        <v>1586</v>
      </c>
      <c r="S729" s="356">
        <v>5</v>
      </c>
      <c r="T729" s="252" t="s">
        <v>1341</v>
      </c>
      <c r="U729" s="252" t="s">
        <v>6117</v>
      </c>
      <c r="V729" s="252">
        <f>V675</f>
        <v>1685.18</v>
      </c>
      <c r="W729" s="253"/>
      <c r="X729" s="252">
        <f t="shared" ref="X729:X736" si="101">V729*S729</f>
        <v>8425.9</v>
      </c>
      <c r="AE729" s="370" t="str">
        <f t="shared" si="96"/>
        <v>|</v>
      </c>
      <c r="AG729" s="296" t="s">
        <v>2259</v>
      </c>
    </row>
    <row r="730" spans="1:33" ht="24" customHeight="1">
      <c r="A730" s="363">
        <f t="shared" si="97"/>
        <v>527</v>
      </c>
      <c r="B730" s="365" t="s">
        <v>650</v>
      </c>
      <c r="C730" s="314">
        <v>1250</v>
      </c>
      <c r="D730" s="365" t="s">
        <v>609</v>
      </c>
      <c r="H730" s="296" t="s">
        <v>441</v>
      </c>
      <c r="K730" s="252">
        <f>SUM(K725:K728)</f>
        <v>9505.6</v>
      </c>
      <c r="N730" s="296" t="s">
        <v>975</v>
      </c>
      <c r="O730" s="253" t="s">
        <v>552</v>
      </c>
      <c r="R730" s="252">
        <f>R728/M720</f>
        <v>3309.27</v>
      </c>
      <c r="S730" s="356">
        <v>3.3</v>
      </c>
      <c r="T730" s="252" t="s">
        <v>1341</v>
      </c>
      <c r="U730" s="252" t="s">
        <v>6118</v>
      </c>
      <c r="V730" s="252">
        <f t="shared" ref="V730:V739" si="102">V676</f>
        <v>1395.18</v>
      </c>
      <c r="W730" s="253"/>
      <c r="X730" s="252">
        <f t="shared" si="101"/>
        <v>4604.09</v>
      </c>
      <c r="AE730" s="370" t="str">
        <f t="shared" si="96"/>
        <v>|</v>
      </c>
      <c r="AG730" s="296" t="s">
        <v>2259</v>
      </c>
    </row>
    <row r="731" spans="1:33" ht="24" customHeight="1">
      <c r="A731" s="363">
        <f t="shared" si="97"/>
        <v>528</v>
      </c>
      <c r="B731" s="365" t="s">
        <v>1235</v>
      </c>
      <c r="C731" s="314">
        <v>1250</v>
      </c>
      <c r="D731" s="365" t="s">
        <v>609</v>
      </c>
      <c r="K731" s="358" t="s">
        <v>1586</v>
      </c>
      <c r="R731" s="358" t="s">
        <v>2055</v>
      </c>
      <c r="S731" s="356">
        <v>4.79</v>
      </c>
      <c r="T731" s="252" t="s">
        <v>1341</v>
      </c>
      <c r="U731" s="252" t="s">
        <v>6119</v>
      </c>
      <c r="V731" s="252">
        <f t="shared" si="102"/>
        <v>1464.46</v>
      </c>
      <c r="W731" s="253"/>
      <c r="X731" s="252">
        <f t="shared" si="101"/>
        <v>7014.76</v>
      </c>
      <c r="AE731" s="370" t="str">
        <f t="shared" si="96"/>
        <v>|</v>
      </c>
      <c r="AG731" s="296" t="s">
        <v>2259</v>
      </c>
    </row>
    <row r="732" spans="1:33" ht="24" customHeight="1">
      <c r="A732" s="363">
        <f t="shared" si="97"/>
        <v>529</v>
      </c>
      <c r="B732" s="365" t="s">
        <v>518</v>
      </c>
      <c r="C732" s="314">
        <v>1250</v>
      </c>
      <c r="D732" s="365" t="s">
        <v>609</v>
      </c>
      <c r="H732" s="296" t="s">
        <v>552</v>
      </c>
      <c r="K732" s="252">
        <f>(K730/10)</f>
        <v>950.56</v>
      </c>
      <c r="M732" s="253" t="s">
        <v>1539</v>
      </c>
      <c r="N732" s="296" t="s">
        <v>520</v>
      </c>
      <c r="O732" s="296" t="s">
        <v>521</v>
      </c>
      <c r="S732" s="356">
        <v>3.5</v>
      </c>
      <c r="T732" s="252" t="s">
        <v>528</v>
      </c>
      <c r="U732" s="252" t="s">
        <v>390</v>
      </c>
      <c r="V732" s="252">
        <f t="shared" si="102"/>
        <v>6040</v>
      </c>
      <c r="W732" s="253"/>
      <c r="X732" s="252">
        <f t="shared" si="101"/>
        <v>21140</v>
      </c>
      <c r="AE732" s="370" t="str">
        <f t="shared" si="96"/>
        <v>|</v>
      </c>
      <c r="AG732" s="296" t="s">
        <v>2259</v>
      </c>
    </row>
    <row r="733" spans="1:33" ht="24" customHeight="1">
      <c r="A733" s="363">
        <f t="shared" si="97"/>
        <v>530</v>
      </c>
      <c r="B733" s="365" t="s">
        <v>522</v>
      </c>
      <c r="C733" s="314">
        <v>1250</v>
      </c>
      <c r="D733" s="365" t="s">
        <v>609</v>
      </c>
      <c r="K733" s="358" t="s">
        <v>2055</v>
      </c>
      <c r="O733" s="358" t="s">
        <v>1586</v>
      </c>
      <c r="S733" s="356">
        <v>28</v>
      </c>
      <c r="T733" s="252" t="s">
        <v>1645</v>
      </c>
      <c r="U733" s="252" t="s">
        <v>4009</v>
      </c>
      <c r="V733" s="252">
        <f t="shared" si="102"/>
        <v>43.2</v>
      </c>
      <c r="W733" s="253"/>
      <c r="X733" s="252">
        <f t="shared" si="101"/>
        <v>1209.5999999999999</v>
      </c>
      <c r="AE733" s="370" t="str">
        <f t="shared" si="96"/>
        <v>|</v>
      </c>
      <c r="AG733" s="296" t="s">
        <v>2259</v>
      </c>
    </row>
    <row r="734" spans="1:33" ht="24" customHeight="1">
      <c r="A734" s="363">
        <f t="shared" si="97"/>
        <v>531</v>
      </c>
      <c r="B734" s="365" t="s">
        <v>761</v>
      </c>
      <c r="C734" s="314">
        <v>1250</v>
      </c>
      <c r="D734" s="365" t="s">
        <v>609</v>
      </c>
      <c r="M734" s="316">
        <v>2.5499999999999998E-2</v>
      </c>
      <c r="N734" s="296" t="s">
        <v>869</v>
      </c>
      <c r="O734" s="296" t="s">
        <v>1314</v>
      </c>
      <c r="P734" s="252">
        <f>C86</f>
        <v>34300</v>
      </c>
      <c r="Q734" s="296" t="s">
        <v>869</v>
      </c>
      <c r="R734" s="252">
        <f t="shared" ref="R734:R740" si="103">M734*P734</f>
        <v>874.65</v>
      </c>
      <c r="S734" s="356">
        <v>3.5</v>
      </c>
      <c r="T734" s="252" t="s">
        <v>1432</v>
      </c>
      <c r="U734" s="252" t="s">
        <v>465</v>
      </c>
      <c r="V734" s="252">
        <f t="shared" si="102"/>
        <v>932</v>
      </c>
      <c r="W734" s="253"/>
      <c r="X734" s="252">
        <f t="shared" si="101"/>
        <v>3262</v>
      </c>
      <c r="AE734" s="370" t="str">
        <f t="shared" si="96"/>
        <v>|</v>
      </c>
      <c r="AG734" s="296" t="s">
        <v>2259</v>
      </c>
    </row>
    <row r="735" spans="1:33" ht="24" customHeight="1">
      <c r="A735" s="363">
        <f t="shared" si="97"/>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3"/>
        <v>437.76</v>
      </c>
      <c r="S735" s="356">
        <v>21.2</v>
      </c>
      <c r="T735" s="252" t="s">
        <v>1432</v>
      </c>
      <c r="U735" s="252" t="s">
        <v>3463</v>
      </c>
      <c r="V735" s="252">
        <f t="shared" si="102"/>
        <v>651</v>
      </c>
      <c r="W735" s="253"/>
      <c r="X735" s="252">
        <f t="shared" si="101"/>
        <v>13801.2</v>
      </c>
      <c r="AE735" s="370" t="str">
        <f t="shared" si="96"/>
        <v>|</v>
      </c>
      <c r="AG735" s="296" t="s">
        <v>2259</v>
      </c>
    </row>
    <row r="736" spans="1:33" ht="24" customHeight="1">
      <c r="A736" s="363">
        <f t="shared" si="97"/>
        <v>533</v>
      </c>
      <c r="B736" s="365" t="s">
        <v>1228</v>
      </c>
      <c r="C736" s="314">
        <v>1250</v>
      </c>
      <c r="D736" s="365" t="s">
        <v>609</v>
      </c>
      <c r="H736" s="296" t="s">
        <v>649</v>
      </c>
      <c r="M736" s="316">
        <v>1.6191</v>
      </c>
      <c r="N736" s="296" t="s">
        <v>609</v>
      </c>
      <c r="O736" s="296" t="s">
        <v>2092</v>
      </c>
      <c r="P736" s="252">
        <f>C31</f>
        <v>1537</v>
      </c>
      <c r="Q736" s="296" t="s">
        <v>609</v>
      </c>
      <c r="R736" s="252">
        <f t="shared" si="103"/>
        <v>2488.56</v>
      </c>
      <c r="S736" s="356">
        <v>35.299999999999997</v>
      </c>
      <c r="T736" s="252" t="s">
        <v>1432</v>
      </c>
      <c r="U736" s="252" t="s">
        <v>3464</v>
      </c>
      <c r="V736" s="252">
        <f t="shared" si="102"/>
        <v>534</v>
      </c>
      <c r="W736" s="253"/>
      <c r="X736" s="252">
        <f t="shared" si="101"/>
        <v>18850.2</v>
      </c>
      <c r="AE736" s="370" t="str">
        <f t="shared" si="96"/>
        <v>|</v>
      </c>
      <c r="AG736" s="296" t="s">
        <v>2259</v>
      </c>
    </row>
    <row r="737" spans="1:33" ht="24" customHeight="1">
      <c r="A737" s="363">
        <f t="shared" si="97"/>
        <v>534</v>
      </c>
      <c r="B737" s="365" t="s">
        <v>979</v>
      </c>
      <c r="C737" s="314">
        <v>1250</v>
      </c>
      <c r="D737" s="365" t="s">
        <v>609</v>
      </c>
      <c r="H737" s="296" t="s">
        <v>651</v>
      </c>
      <c r="M737" s="252">
        <v>2</v>
      </c>
      <c r="N737" s="296" t="s">
        <v>868</v>
      </c>
      <c r="O737" s="296" t="s">
        <v>1723</v>
      </c>
      <c r="P737" s="252">
        <f>C299</f>
        <v>10.5</v>
      </c>
      <c r="Q737" s="296" t="s">
        <v>868</v>
      </c>
      <c r="R737" s="252">
        <f t="shared" si="103"/>
        <v>21</v>
      </c>
      <c r="U737" s="274" t="s">
        <v>4004</v>
      </c>
      <c r="V737" s="252">
        <f t="shared" si="102"/>
        <v>0</v>
      </c>
      <c r="W737" s="253"/>
      <c r="X737" s="274">
        <f>SUM(X729:X736)</f>
        <v>78307.75</v>
      </c>
      <c r="AE737" s="370" t="str">
        <f t="shared" si="96"/>
        <v>|</v>
      </c>
      <c r="AG737" s="296" t="s">
        <v>2259</v>
      </c>
    </row>
    <row r="738" spans="1:33" ht="24" customHeight="1">
      <c r="A738" s="363">
        <f t="shared" si="97"/>
        <v>535</v>
      </c>
      <c r="B738" s="365" t="s">
        <v>981</v>
      </c>
      <c r="C738" s="314">
        <v>1250</v>
      </c>
      <c r="D738" s="365" t="s">
        <v>609</v>
      </c>
      <c r="H738" s="296" t="s">
        <v>517</v>
      </c>
      <c r="M738" s="252">
        <v>3</v>
      </c>
      <c r="N738" s="296" t="s">
        <v>868</v>
      </c>
      <c r="O738" s="296" t="s">
        <v>1618</v>
      </c>
      <c r="P738" s="252">
        <f>C295</f>
        <v>8.5</v>
      </c>
      <c r="Q738" s="296" t="s">
        <v>868</v>
      </c>
      <c r="R738" s="252">
        <f t="shared" si="103"/>
        <v>25.5</v>
      </c>
      <c r="U738" s="274" t="s">
        <v>4005</v>
      </c>
      <c r="V738" s="252">
        <f t="shared" si="102"/>
        <v>0</v>
      </c>
      <c r="W738" s="253"/>
      <c r="X738" s="274">
        <f>X737/10</f>
        <v>7830.78</v>
      </c>
      <c r="Y738" s="252">
        <f>X738</f>
        <v>7830.78</v>
      </c>
      <c r="AE738" s="370" t="str">
        <f t="shared" si="96"/>
        <v>|</v>
      </c>
      <c r="AG738" s="296" t="s">
        <v>2259</v>
      </c>
    </row>
    <row r="739" spans="1:33" ht="24" customHeight="1">
      <c r="A739" s="363">
        <f t="shared" si="97"/>
        <v>536</v>
      </c>
      <c r="B739" s="365" t="s">
        <v>943</v>
      </c>
      <c r="C739" s="314">
        <v>1250</v>
      </c>
      <c r="D739" s="365" t="s">
        <v>609</v>
      </c>
      <c r="H739" s="296" t="s">
        <v>519</v>
      </c>
      <c r="M739" s="252">
        <v>1</v>
      </c>
      <c r="N739" s="296" t="s">
        <v>868</v>
      </c>
      <c r="O739" s="296" t="s">
        <v>1707</v>
      </c>
      <c r="P739" s="252">
        <f>C301</f>
        <v>21</v>
      </c>
      <c r="Q739" s="296" t="s">
        <v>868</v>
      </c>
      <c r="R739" s="252">
        <f t="shared" si="103"/>
        <v>21</v>
      </c>
      <c r="S739" s="356">
        <v>1</v>
      </c>
      <c r="T739" s="252" t="s">
        <v>1341</v>
      </c>
      <c r="U739" s="252" t="s">
        <v>4031</v>
      </c>
      <c r="V739" s="252">
        <f t="shared" si="102"/>
        <v>94.2</v>
      </c>
      <c r="W739" s="253"/>
      <c r="X739" s="252">
        <f>V739</f>
        <v>94.2</v>
      </c>
      <c r="AE739" s="370" t="str">
        <f t="shared" si="96"/>
        <v>|</v>
      </c>
      <c r="AG739" s="296" t="s">
        <v>2259</v>
      </c>
    </row>
    <row r="740" spans="1:33" ht="24" customHeight="1">
      <c r="A740" s="363">
        <f t="shared" si="97"/>
        <v>537</v>
      </c>
      <c r="B740" s="365" t="s">
        <v>1227</v>
      </c>
      <c r="C740" s="314">
        <v>1250</v>
      </c>
      <c r="D740" s="365" t="s">
        <v>609</v>
      </c>
      <c r="H740" s="296" t="s">
        <v>2</v>
      </c>
      <c r="M740" s="252">
        <v>1</v>
      </c>
      <c r="N740" s="296" t="s">
        <v>868</v>
      </c>
      <c r="O740" s="296" t="s">
        <v>1980</v>
      </c>
      <c r="P740" s="252">
        <f>C303</f>
        <v>4</v>
      </c>
      <c r="Q740" s="296" t="s">
        <v>868</v>
      </c>
      <c r="R740" s="252">
        <f t="shared" si="103"/>
        <v>4</v>
      </c>
      <c r="U740" s="252" t="s">
        <v>4006</v>
      </c>
      <c r="W740" s="253"/>
      <c r="X740" s="274">
        <f>SUM(X738:X739)</f>
        <v>7924.98</v>
      </c>
      <c r="Y740" s="252">
        <f>SUM(Y738:Y739)</f>
        <v>7830.78</v>
      </c>
      <c r="AE740" s="370" t="str">
        <f t="shared" si="96"/>
        <v>|</v>
      </c>
      <c r="AG740" s="296" t="s">
        <v>2259</v>
      </c>
    </row>
    <row r="741" spans="1:33" ht="24" customHeight="1">
      <c r="A741" s="363">
        <f t="shared" si="97"/>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39.619999999999997</v>
      </c>
      <c r="Y741" s="252">
        <f>Y740*0.5/100</f>
        <v>39.15</v>
      </c>
      <c r="AE741" s="370" t="str">
        <f t="shared" si="96"/>
        <v>|</v>
      </c>
      <c r="AG741" s="296" t="s">
        <v>2259</v>
      </c>
    </row>
    <row r="742" spans="1:33" ht="24" customHeight="1">
      <c r="A742" s="363">
        <f t="shared" si="97"/>
        <v>539</v>
      </c>
      <c r="B742" s="365" t="s">
        <v>1659</v>
      </c>
      <c r="C742" s="314">
        <v>65</v>
      </c>
      <c r="D742" s="365" t="s">
        <v>1716</v>
      </c>
      <c r="H742" s="358" t="s">
        <v>1586</v>
      </c>
      <c r="I742" s="358" t="s">
        <v>1586</v>
      </c>
      <c r="J742" s="296" t="s">
        <v>1586</v>
      </c>
      <c r="R742" s="358" t="s">
        <v>1586</v>
      </c>
      <c r="U742" s="274" t="s">
        <v>3588</v>
      </c>
      <c r="W742" s="253"/>
      <c r="X742" s="274">
        <f>SUM(X740:X741)</f>
        <v>7964.6</v>
      </c>
      <c r="Y742" s="274">
        <f>SUM(Y740:Y741)</f>
        <v>7869.93</v>
      </c>
      <c r="AE742" s="370" t="str">
        <f t="shared" si="96"/>
        <v>|</v>
      </c>
      <c r="AG742" s="296" t="s">
        <v>2259</v>
      </c>
    </row>
    <row r="743" spans="1:33" ht="24" customHeight="1">
      <c r="A743" s="363">
        <f t="shared" si="97"/>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96"/>
        <v>|</v>
      </c>
      <c r="AG743" s="296" t="s">
        <v>2259</v>
      </c>
    </row>
    <row r="744" spans="1:33" ht="24" customHeight="1">
      <c r="A744" s="363">
        <f t="shared" si="97"/>
        <v>541</v>
      </c>
      <c r="B744" s="365" t="s">
        <v>26</v>
      </c>
      <c r="C744" s="314">
        <v>110.95</v>
      </c>
      <c r="D744" s="365" t="s">
        <v>1716</v>
      </c>
      <c r="H744" s="296" t="s">
        <v>980</v>
      </c>
      <c r="R744" s="358" t="s">
        <v>1586</v>
      </c>
      <c r="U744" s="296" t="s">
        <v>386</v>
      </c>
      <c r="W744" s="253"/>
      <c r="X744" s="274">
        <f>(X742+C22)</f>
        <v>8084.45</v>
      </c>
      <c r="AE744" s="370" t="str">
        <f t="shared" si="96"/>
        <v>|</v>
      </c>
      <c r="AG744" s="296" t="s">
        <v>2259</v>
      </c>
    </row>
    <row r="745" spans="1:33" ht="24" customHeight="1">
      <c r="A745" s="363">
        <f t="shared" si="97"/>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296" t="s">
        <v>388</v>
      </c>
      <c r="W745" s="253"/>
      <c r="X745" s="274">
        <f>(X744+C24)</f>
        <v>8320.5499999999993</v>
      </c>
      <c r="AE745" s="370" t="str">
        <f t="shared" si="96"/>
        <v>|</v>
      </c>
      <c r="AG745" s="296" t="s">
        <v>2259</v>
      </c>
    </row>
    <row r="746" spans="1:33" ht="24" customHeight="1">
      <c r="A746" s="363">
        <f t="shared" si="97"/>
        <v>543</v>
      </c>
      <c r="B746" s="365" t="s">
        <v>896</v>
      </c>
      <c r="C746" s="314">
        <v>92</v>
      </c>
      <c r="D746" s="365" t="s">
        <v>1716</v>
      </c>
      <c r="H746" s="296" t="s">
        <v>1029</v>
      </c>
      <c r="R746" s="358" t="s">
        <v>2055</v>
      </c>
      <c r="U746" s="296" t="s">
        <v>2232</v>
      </c>
      <c r="W746" s="253"/>
      <c r="X746" s="274">
        <f>(X745+C24)</f>
        <v>8556.65</v>
      </c>
      <c r="Y746" s="252">
        <f>X746-X745</f>
        <v>236.1</v>
      </c>
      <c r="AE746" s="370" t="str">
        <f t="shared" si="96"/>
        <v>|</v>
      </c>
      <c r="AG746" s="296" t="s">
        <v>2259</v>
      </c>
    </row>
    <row r="747" spans="1:33" ht="24" customHeight="1">
      <c r="A747" s="363">
        <f t="shared" si="97"/>
        <v>544</v>
      </c>
      <c r="B747" s="365" t="s">
        <v>312</v>
      </c>
      <c r="C747" s="314">
        <v>174.24</v>
      </c>
      <c r="D747" s="365" t="s">
        <v>1716</v>
      </c>
      <c r="G747" s="252" t="s">
        <v>449</v>
      </c>
      <c r="H747" s="296" t="s">
        <v>1656</v>
      </c>
      <c r="J747" s="296" t="s">
        <v>449</v>
      </c>
      <c r="K747" s="413">
        <v>40</v>
      </c>
      <c r="U747" s="296" t="s">
        <v>380</v>
      </c>
      <c r="W747" s="253"/>
      <c r="X747" s="274">
        <f>(X746+C24)</f>
        <v>8792.75</v>
      </c>
      <c r="AE747" s="370" t="str">
        <f t="shared" si="96"/>
        <v>|</v>
      </c>
      <c r="AG747" s="296" t="s">
        <v>2259</v>
      </c>
    </row>
    <row r="748" spans="1:33" ht="24" customHeight="1">
      <c r="A748" s="363">
        <f t="shared" si="97"/>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4">(X747+C24)</f>
        <v>9028.85</v>
      </c>
      <c r="Y748" s="252">
        <f>X748+Y746</f>
        <v>9264.9500000000007</v>
      </c>
      <c r="AE748" s="370" t="str">
        <f t="shared" si="96"/>
        <v>|</v>
      </c>
      <c r="AG748" s="296" t="s">
        <v>2259</v>
      </c>
    </row>
    <row r="749" spans="1:33" ht="24" customHeight="1">
      <c r="A749" s="363">
        <f t="shared" si="97"/>
        <v>546</v>
      </c>
      <c r="B749" s="365" t="s">
        <v>1621</v>
      </c>
      <c r="C749" s="314">
        <v>97.24</v>
      </c>
      <c r="D749" s="365" t="s">
        <v>1716</v>
      </c>
      <c r="H749" s="253" t="s">
        <v>3596</v>
      </c>
      <c r="K749" s="252">
        <f>SUM(K743:K747)</f>
        <v>965.38</v>
      </c>
      <c r="O749" s="358" t="s">
        <v>1586</v>
      </c>
      <c r="W749" s="253"/>
      <c r="X749" s="274">
        <f t="shared" si="104"/>
        <v>9123.0499999999993</v>
      </c>
      <c r="Y749" s="252">
        <f>Y748-X748</f>
        <v>236.1</v>
      </c>
      <c r="AE749" s="370" t="str">
        <f t="shared" ref="AE749:AE812" si="105">AG749</f>
        <v>|</v>
      </c>
      <c r="AG749" s="296" t="s">
        <v>2259</v>
      </c>
    </row>
    <row r="750" spans="1:33" ht="24" customHeight="1">
      <c r="A750" s="363">
        <f t="shared" si="97"/>
        <v>547</v>
      </c>
      <c r="B750" s="365" t="s">
        <v>1431</v>
      </c>
      <c r="C750" s="314">
        <v>168.96</v>
      </c>
      <c r="D750" s="365" t="s">
        <v>1716</v>
      </c>
      <c r="K750" s="358" t="s">
        <v>1586</v>
      </c>
      <c r="M750" s="316">
        <v>2.35E-2</v>
      </c>
      <c r="N750" s="296" t="s">
        <v>869</v>
      </c>
      <c r="O750" s="296" t="s">
        <v>1314</v>
      </c>
      <c r="P750" s="252">
        <f>C86</f>
        <v>34300</v>
      </c>
      <c r="Q750" s="296" t="s">
        <v>869</v>
      </c>
      <c r="R750" s="252">
        <f t="shared" ref="R750:R756" si="106">M750*P750</f>
        <v>806.05</v>
      </c>
      <c r="W750" s="253"/>
      <c r="X750" s="274">
        <f t="shared" si="104"/>
        <v>9162</v>
      </c>
      <c r="AE750" s="370" t="str">
        <f t="shared" si="105"/>
        <v>|</v>
      </c>
      <c r="AG750" s="296" t="s">
        <v>2259</v>
      </c>
    </row>
    <row r="751" spans="1:33" ht="24" customHeight="1">
      <c r="A751" s="363">
        <f t="shared" si="97"/>
        <v>548</v>
      </c>
      <c r="B751" s="296" t="s">
        <v>5880</v>
      </c>
      <c r="C751" s="362">
        <v>376.7</v>
      </c>
      <c r="D751" s="362">
        <v>408</v>
      </c>
      <c r="H751" s="253" t="s">
        <v>27</v>
      </c>
      <c r="K751" s="252">
        <f>K749/40</f>
        <v>24.13</v>
      </c>
      <c r="M751" s="316">
        <v>0.872</v>
      </c>
      <c r="N751" s="296" t="s">
        <v>609</v>
      </c>
      <c r="O751" s="296" t="s">
        <v>1297</v>
      </c>
      <c r="P751" s="252">
        <f>C783</f>
        <v>387.4</v>
      </c>
      <c r="Q751" s="296" t="s">
        <v>609</v>
      </c>
      <c r="R751" s="252">
        <f t="shared" si="106"/>
        <v>337.81</v>
      </c>
      <c r="W751" s="253"/>
      <c r="X751" s="274">
        <f t="shared" si="104"/>
        <v>9196.2000000000007</v>
      </c>
      <c r="AE751" s="370" t="str">
        <f t="shared" si="105"/>
        <v>|</v>
      </c>
      <c r="AG751" s="296" t="s">
        <v>2259</v>
      </c>
    </row>
    <row r="752" spans="1:33" ht="24" customHeight="1">
      <c r="A752" s="363">
        <f t="shared" si="97"/>
        <v>549</v>
      </c>
      <c r="B752" s="296" t="s">
        <v>5881</v>
      </c>
      <c r="C752" s="362">
        <v>769</v>
      </c>
      <c r="D752" s="365" t="s">
        <v>1716</v>
      </c>
      <c r="K752" s="358" t="s">
        <v>1586</v>
      </c>
      <c r="M752" s="316">
        <v>1.3247</v>
      </c>
      <c r="N752" s="296" t="s">
        <v>609</v>
      </c>
      <c r="O752" s="296" t="s">
        <v>2092</v>
      </c>
      <c r="P752" s="252">
        <f>C31</f>
        <v>1537</v>
      </c>
      <c r="Q752" s="296" t="s">
        <v>609</v>
      </c>
      <c r="R752" s="252">
        <f t="shared" si="106"/>
        <v>2036.06</v>
      </c>
      <c r="W752" s="253"/>
      <c r="X752" s="274">
        <f t="shared" si="104"/>
        <v>9282.6</v>
      </c>
      <c r="AE752" s="370" t="str">
        <f t="shared" si="105"/>
        <v>|</v>
      </c>
      <c r="AG752" s="296" t="s">
        <v>2259</v>
      </c>
    </row>
    <row r="753" spans="1:33" ht="24" customHeight="1">
      <c r="A753" s="363">
        <f t="shared" si="97"/>
        <v>550</v>
      </c>
      <c r="B753" s="365" t="s">
        <v>825</v>
      </c>
      <c r="C753" s="314">
        <v>210</v>
      </c>
      <c r="D753" s="365" t="s">
        <v>1716</v>
      </c>
      <c r="H753" s="296" t="s">
        <v>897</v>
      </c>
      <c r="M753" s="252">
        <v>1</v>
      </c>
      <c r="N753" s="296" t="s">
        <v>868</v>
      </c>
      <c r="O753" s="296" t="s">
        <v>1723</v>
      </c>
      <c r="P753" s="252">
        <f>C299</f>
        <v>10.5</v>
      </c>
      <c r="Q753" s="296" t="s">
        <v>868</v>
      </c>
      <c r="R753" s="252">
        <f t="shared" si="106"/>
        <v>10.5</v>
      </c>
      <c r="W753" s="253"/>
      <c r="X753" s="274">
        <f t="shared" si="104"/>
        <v>10051.6</v>
      </c>
      <c r="AE753" s="370" t="str">
        <f t="shared" si="105"/>
        <v>|</v>
      </c>
      <c r="AG753" s="296" t="s">
        <v>2259</v>
      </c>
    </row>
    <row r="754" spans="1:33" ht="24" customHeight="1">
      <c r="A754" s="363">
        <f t="shared" si="97"/>
        <v>551</v>
      </c>
      <c r="B754" s="296" t="s">
        <v>5316</v>
      </c>
      <c r="C754" s="362">
        <v>1462</v>
      </c>
      <c r="D754" s="365" t="s">
        <v>609</v>
      </c>
      <c r="H754" s="296" t="s">
        <v>313</v>
      </c>
      <c r="M754" s="252">
        <v>3</v>
      </c>
      <c r="N754" s="296" t="s">
        <v>868</v>
      </c>
      <c r="O754" s="296" t="s">
        <v>1392</v>
      </c>
      <c r="P754" s="252">
        <f>C294</f>
        <v>5.75</v>
      </c>
      <c r="Q754" s="296" t="s">
        <v>868</v>
      </c>
      <c r="R754" s="252">
        <f t="shared" si="106"/>
        <v>17.25</v>
      </c>
      <c r="W754" s="253"/>
      <c r="AE754" s="370" t="str">
        <f t="shared" si="105"/>
        <v>|</v>
      </c>
      <c r="AG754" s="296" t="s">
        <v>2259</v>
      </c>
    </row>
    <row r="755" spans="1:33" ht="24" customHeight="1">
      <c r="A755" s="363">
        <f t="shared" si="97"/>
        <v>552</v>
      </c>
      <c r="B755" s="365" t="s">
        <v>1393</v>
      </c>
      <c r="C755" s="364"/>
      <c r="D755" s="365" t="s">
        <v>975</v>
      </c>
      <c r="H755" s="296" t="s">
        <v>315</v>
      </c>
      <c r="M755" s="252">
        <v>1</v>
      </c>
      <c r="N755" s="296" t="s">
        <v>868</v>
      </c>
      <c r="O755" s="296" t="s">
        <v>1396</v>
      </c>
      <c r="P755" s="252">
        <f>C302</f>
        <v>10</v>
      </c>
      <c r="Q755" s="296" t="s">
        <v>868</v>
      </c>
      <c r="R755" s="252">
        <f t="shared" si="106"/>
        <v>10</v>
      </c>
      <c r="W755" s="253"/>
      <c r="AE755" s="370" t="str">
        <f t="shared" si="105"/>
        <v>|</v>
      </c>
      <c r="AG755" s="296" t="s">
        <v>2259</v>
      </c>
    </row>
    <row r="756" spans="1:33" ht="24" customHeight="1">
      <c r="A756" s="363">
        <f t="shared" si="97"/>
        <v>553</v>
      </c>
      <c r="B756" s="365" t="s">
        <v>1397</v>
      </c>
      <c r="C756" s="364"/>
      <c r="D756" s="364"/>
      <c r="M756" s="252">
        <v>1</v>
      </c>
      <c r="N756" s="296" t="s">
        <v>868</v>
      </c>
      <c r="O756" s="296" t="s">
        <v>1980</v>
      </c>
      <c r="P756" s="252">
        <f>C303</f>
        <v>4</v>
      </c>
      <c r="Q756" s="296" t="s">
        <v>868</v>
      </c>
      <c r="R756" s="252">
        <f t="shared" si="106"/>
        <v>4</v>
      </c>
      <c r="W756" s="253"/>
      <c r="AE756" s="370" t="str">
        <f t="shared" si="105"/>
        <v>|</v>
      </c>
      <c r="AG756" s="296" t="s">
        <v>2259</v>
      </c>
    </row>
    <row r="757" spans="1:33" ht="24" customHeight="1">
      <c r="A757" s="363">
        <f t="shared" si="97"/>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05"/>
        <v>|</v>
      </c>
      <c r="AG757" s="296" t="s">
        <v>2259</v>
      </c>
    </row>
    <row r="758" spans="1:33" ht="24" customHeight="1">
      <c r="A758" s="363">
        <f t="shared" si="97"/>
        <v>555</v>
      </c>
      <c r="B758" s="431" t="s">
        <v>774</v>
      </c>
      <c r="C758" s="364">
        <v>302</v>
      </c>
      <c r="D758" s="365" t="s">
        <v>2285</v>
      </c>
      <c r="H758" s="296" t="s">
        <v>1660</v>
      </c>
      <c r="R758" s="358" t="s">
        <v>1586</v>
      </c>
      <c r="W758" s="253"/>
      <c r="AE758" s="370" t="str">
        <f t="shared" si="105"/>
        <v>|</v>
      </c>
      <c r="AG758" s="296" t="s">
        <v>2259</v>
      </c>
    </row>
    <row r="759" spans="1:33" ht="24" customHeight="1">
      <c r="A759" s="363">
        <f t="shared" si="97"/>
        <v>556</v>
      </c>
      <c r="B759" s="365" t="s">
        <v>776</v>
      </c>
      <c r="C759" s="364">
        <v>382</v>
      </c>
      <c r="D759" s="365" t="s">
        <v>2285</v>
      </c>
      <c r="F759" s="252">
        <v>0.12</v>
      </c>
      <c r="G759" s="252" t="s">
        <v>2151</v>
      </c>
      <c r="H759" s="296" t="s">
        <v>1135</v>
      </c>
      <c r="I759" s="252">
        <f>C269/5</f>
        <v>3100</v>
      </c>
      <c r="J759" s="296" t="s">
        <v>259</v>
      </c>
      <c r="K759" s="252">
        <f t="shared" ref="K759:K766" si="107">(F759*I759)</f>
        <v>372</v>
      </c>
      <c r="O759" s="253" t="s">
        <v>745</v>
      </c>
      <c r="R759" s="252">
        <f>SUM(R750:R757)</f>
        <v>3221.67</v>
      </c>
      <c r="W759" s="253"/>
      <c r="AE759" s="370" t="str">
        <f t="shared" si="105"/>
        <v>|</v>
      </c>
      <c r="AG759" s="296" t="s">
        <v>2259</v>
      </c>
    </row>
    <row r="760" spans="1:33" ht="24" customHeight="1">
      <c r="A760" s="363">
        <f t="shared" si="97"/>
        <v>557</v>
      </c>
      <c r="B760" s="365" t="s">
        <v>570</v>
      </c>
      <c r="C760" s="364">
        <v>140</v>
      </c>
      <c r="D760" s="365" t="s">
        <v>2285</v>
      </c>
      <c r="F760" s="252">
        <v>98.5</v>
      </c>
      <c r="G760" s="252" t="s">
        <v>826</v>
      </c>
      <c r="H760" s="296" t="s">
        <v>827</v>
      </c>
      <c r="I760" s="252">
        <f>C270/5</f>
        <v>5.04</v>
      </c>
      <c r="J760" s="296" t="s">
        <v>259</v>
      </c>
      <c r="K760" s="252">
        <f t="shared" si="107"/>
        <v>496.44</v>
      </c>
      <c r="R760" s="358" t="s">
        <v>1586</v>
      </c>
      <c r="T760" s="274">
        <v>4.2</v>
      </c>
      <c r="U760" s="274" t="s">
        <v>5882</v>
      </c>
      <c r="W760" s="253"/>
      <c r="AE760" s="370" t="str">
        <f t="shared" si="105"/>
        <v>|</v>
      </c>
      <c r="AG760" s="296" t="s">
        <v>2259</v>
      </c>
    </row>
    <row r="761" spans="1:33" ht="24" customHeight="1">
      <c r="A761" s="363">
        <f t="shared" si="97"/>
        <v>558</v>
      </c>
      <c r="B761" s="365" t="s">
        <v>838</v>
      </c>
      <c r="C761" s="364">
        <v>222</v>
      </c>
      <c r="D761" s="365" t="s">
        <v>2285</v>
      </c>
      <c r="F761" s="252">
        <v>1</v>
      </c>
      <c r="G761" s="252" t="s">
        <v>449</v>
      </c>
      <c r="H761" s="296" t="s">
        <v>1391</v>
      </c>
      <c r="I761" s="399">
        <v>11</v>
      </c>
      <c r="J761" s="296" t="s">
        <v>449</v>
      </c>
      <c r="K761" s="252">
        <f t="shared" si="107"/>
        <v>11</v>
      </c>
      <c r="O761" s="253" t="s">
        <v>552</v>
      </c>
      <c r="R761" s="252">
        <f>R759/1.3247</f>
        <v>2432</v>
      </c>
      <c r="S761" s="356">
        <v>5</v>
      </c>
      <c r="T761" s="252" t="s">
        <v>1341</v>
      </c>
      <c r="U761" s="252" t="s">
        <v>6117</v>
      </c>
      <c r="V761" s="252">
        <f>V675</f>
        <v>1685.18</v>
      </c>
      <c r="W761" s="253"/>
      <c r="X761" s="252">
        <f t="shared" ref="X761:X768" si="108">V761*S761</f>
        <v>8425.9</v>
      </c>
      <c r="AE761" s="370" t="str">
        <f t="shared" si="105"/>
        <v>|</v>
      </c>
      <c r="AG761" s="296" t="s">
        <v>2259</v>
      </c>
    </row>
    <row r="762" spans="1:33" ht="24" customHeight="1">
      <c r="A762" s="363">
        <f t="shared" si="97"/>
        <v>559</v>
      </c>
      <c r="B762" s="365" t="s">
        <v>612</v>
      </c>
      <c r="C762" s="364">
        <v>505</v>
      </c>
      <c r="D762" s="365" t="s">
        <v>2285</v>
      </c>
      <c r="F762" s="252">
        <v>3.8</v>
      </c>
      <c r="G762" s="252" t="s">
        <v>1394</v>
      </c>
      <c r="H762" s="296" t="s">
        <v>1395</v>
      </c>
      <c r="I762" s="252">
        <f>C16</f>
        <v>976</v>
      </c>
      <c r="J762" s="296" t="s">
        <v>1398</v>
      </c>
      <c r="K762" s="252">
        <f t="shared" si="107"/>
        <v>3708.8</v>
      </c>
      <c r="R762" s="358" t="s">
        <v>2055</v>
      </c>
      <c r="S762" s="356">
        <v>3.3</v>
      </c>
      <c r="T762" s="252" t="s">
        <v>1341</v>
      </c>
      <c r="U762" s="252" t="s">
        <v>6118</v>
      </c>
      <c r="V762" s="252">
        <f t="shared" ref="V762:V768" si="109">V676</f>
        <v>1395.18</v>
      </c>
      <c r="W762" s="253"/>
      <c r="X762" s="252">
        <f t="shared" si="108"/>
        <v>4604.09</v>
      </c>
      <c r="AE762" s="370" t="str">
        <f t="shared" si="105"/>
        <v>|</v>
      </c>
      <c r="AG762" s="296" t="s">
        <v>2259</v>
      </c>
    </row>
    <row r="763" spans="1:33" ht="24" customHeight="1">
      <c r="A763" s="363">
        <f t="shared" si="97"/>
        <v>560</v>
      </c>
      <c r="B763" s="365" t="s">
        <v>4594</v>
      </c>
      <c r="C763" s="252">
        <v>272.2</v>
      </c>
      <c r="D763" s="365" t="s">
        <v>1716</v>
      </c>
      <c r="F763" s="252">
        <v>5.4</v>
      </c>
      <c r="G763" s="252" t="s">
        <v>1394</v>
      </c>
      <c r="H763" s="296" t="s">
        <v>823</v>
      </c>
      <c r="I763" s="252">
        <f>C12</f>
        <v>651</v>
      </c>
      <c r="J763" s="296" t="s">
        <v>1398</v>
      </c>
      <c r="K763" s="252">
        <f t="shared" si="107"/>
        <v>3515.4</v>
      </c>
      <c r="N763" s="296" t="s">
        <v>2251</v>
      </c>
      <c r="S763" s="356">
        <v>4.79</v>
      </c>
      <c r="T763" s="252" t="s">
        <v>1341</v>
      </c>
      <c r="U763" s="252" t="s">
        <v>6119</v>
      </c>
      <c r="V763" s="252">
        <f t="shared" si="109"/>
        <v>1464.46</v>
      </c>
      <c r="W763" s="253"/>
      <c r="X763" s="252">
        <f t="shared" si="108"/>
        <v>7014.76</v>
      </c>
      <c r="AE763" s="370" t="str">
        <f t="shared" si="105"/>
        <v>|</v>
      </c>
      <c r="AG763" s="296" t="s">
        <v>2259</v>
      </c>
    </row>
    <row r="764" spans="1:33" ht="24" customHeight="1">
      <c r="A764" s="364" t="s">
        <v>2823</v>
      </c>
      <c r="B764" s="365" t="s">
        <v>5883</v>
      </c>
      <c r="C764" s="362">
        <v>1020</v>
      </c>
      <c r="D764" s="365" t="s">
        <v>1716</v>
      </c>
      <c r="F764" s="252">
        <v>1</v>
      </c>
      <c r="G764" s="252" t="s">
        <v>1394</v>
      </c>
      <c r="H764" s="296" t="s">
        <v>2286</v>
      </c>
      <c r="I764" s="252">
        <f>C66</f>
        <v>856</v>
      </c>
      <c r="J764" s="296" t="s">
        <v>1398</v>
      </c>
      <c r="K764" s="252">
        <f t="shared" si="107"/>
        <v>856</v>
      </c>
      <c r="O764" s="296" t="s">
        <v>2284</v>
      </c>
      <c r="S764" s="356">
        <v>4.25</v>
      </c>
      <c r="T764" s="252" t="s">
        <v>528</v>
      </c>
      <c r="U764" s="252" t="s">
        <v>390</v>
      </c>
      <c r="V764" s="252">
        <f t="shared" si="109"/>
        <v>6040</v>
      </c>
      <c r="W764" s="253"/>
      <c r="X764" s="252">
        <f t="shared" si="108"/>
        <v>25670</v>
      </c>
      <c r="AE764" s="370" t="str">
        <f t="shared" si="105"/>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07"/>
        <v>10</v>
      </c>
      <c r="O765" s="296" t="s">
        <v>2113</v>
      </c>
      <c r="S765" s="356">
        <v>40</v>
      </c>
      <c r="T765" s="252" t="s">
        <v>1645</v>
      </c>
      <c r="U765" s="252" t="s">
        <v>4009</v>
      </c>
      <c r="V765" s="252">
        <f t="shared" si="109"/>
        <v>43.2</v>
      </c>
      <c r="W765" s="253"/>
      <c r="X765" s="252">
        <f t="shared" si="108"/>
        <v>1728</v>
      </c>
      <c r="AE765" s="370" t="str">
        <f t="shared" si="105"/>
        <v>|</v>
      </c>
      <c r="AG765" s="296" t="s">
        <v>2259</v>
      </c>
    </row>
    <row r="766" spans="1:33" ht="24" customHeight="1">
      <c r="A766" s="363">
        <f t="shared" ref="A766:A783" si="110">(A765+1)</f>
        <v>562</v>
      </c>
      <c r="B766" s="365" t="s">
        <v>2114</v>
      </c>
      <c r="C766" s="364">
        <v>218</v>
      </c>
      <c r="D766" s="365" t="s">
        <v>1716</v>
      </c>
      <c r="F766" s="252">
        <v>19</v>
      </c>
      <c r="G766" s="252" t="s">
        <v>1432</v>
      </c>
      <c r="H766" s="296" t="s">
        <v>777</v>
      </c>
      <c r="I766" s="399">
        <v>2</v>
      </c>
      <c r="J766" s="296" t="s">
        <v>1432</v>
      </c>
      <c r="K766" s="252">
        <f t="shared" si="107"/>
        <v>38</v>
      </c>
      <c r="O766" s="296" t="s">
        <v>717</v>
      </c>
      <c r="S766" s="356">
        <v>3.5</v>
      </c>
      <c r="T766" s="252" t="s">
        <v>1432</v>
      </c>
      <c r="U766" s="252" t="s">
        <v>465</v>
      </c>
      <c r="V766" s="252">
        <f t="shared" si="109"/>
        <v>932</v>
      </c>
      <c r="W766" s="253"/>
      <c r="X766" s="252">
        <f t="shared" si="108"/>
        <v>3262</v>
      </c>
      <c r="AE766" s="370" t="str">
        <f t="shared" si="105"/>
        <v>|</v>
      </c>
      <c r="AG766" s="296" t="s">
        <v>2259</v>
      </c>
    </row>
    <row r="767" spans="1:33" ht="24" customHeight="1">
      <c r="A767" s="363">
        <f t="shared" si="110"/>
        <v>563</v>
      </c>
      <c r="B767" s="365" t="s">
        <v>718</v>
      </c>
      <c r="C767" s="364">
        <v>926</v>
      </c>
      <c r="D767" s="365" t="s">
        <v>1716</v>
      </c>
      <c r="H767" s="296" t="s">
        <v>504</v>
      </c>
      <c r="K767" s="358" t="s">
        <v>1586</v>
      </c>
      <c r="O767" s="296" t="s">
        <v>86</v>
      </c>
      <c r="S767" s="356">
        <v>21.2</v>
      </c>
      <c r="T767" s="252" t="s">
        <v>1432</v>
      </c>
      <c r="U767" s="252" t="s">
        <v>3463</v>
      </c>
      <c r="V767" s="252">
        <f t="shared" si="109"/>
        <v>651</v>
      </c>
      <c r="W767" s="253"/>
      <c r="X767" s="252">
        <f t="shared" si="108"/>
        <v>13801.2</v>
      </c>
      <c r="AE767" s="370" t="str">
        <f t="shared" si="105"/>
        <v>|</v>
      </c>
      <c r="AG767" s="296" t="s">
        <v>2259</v>
      </c>
    </row>
    <row r="768" spans="1:33" ht="24" customHeight="1">
      <c r="A768" s="363">
        <f t="shared" si="110"/>
        <v>564</v>
      </c>
      <c r="B768" s="365" t="s">
        <v>87</v>
      </c>
      <c r="C768" s="364">
        <v>5.15</v>
      </c>
      <c r="D768" s="365" t="s">
        <v>1771</v>
      </c>
      <c r="H768" s="253" t="s">
        <v>441</v>
      </c>
      <c r="K768" s="252">
        <f>SUM(K757:K766)+0.07</f>
        <v>9466.18</v>
      </c>
      <c r="O768" s="358" t="s">
        <v>1586</v>
      </c>
      <c r="S768" s="356">
        <v>35.299999999999997</v>
      </c>
      <c r="T768" s="252" t="s">
        <v>1432</v>
      </c>
      <c r="U768" s="252" t="s">
        <v>3464</v>
      </c>
      <c r="V768" s="252">
        <f t="shared" si="109"/>
        <v>534</v>
      </c>
      <c r="W768" s="253"/>
      <c r="X768" s="252">
        <f t="shared" si="108"/>
        <v>18850.2</v>
      </c>
      <c r="AE768" s="370" t="str">
        <f t="shared" si="105"/>
        <v>|</v>
      </c>
      <c r="AG768" s="296" t="s">
        <v>2259</v>
      </c>
    </row>
    <row r="769" spans="1:33" ht="24" customHeight="1">
      <c r="A769" s="363">
        <f t="shared" si="110"/>
        <v>565</v>
      </c>
      <c r="B769" s="365" t="s">
        <v>567</v>
      </c>
      <c r="C769" s="364">
        <v>550</v>
      </c>
      <c r="D769" s="365" t="s">
        <v>1716</v>
      </c>
      <c r="K769" s="358" t="s">
        <v>1586</v>
      </c>
      <c r="U769" s="274" t="s">
        <v>4004</v>
      </c>
      <c r="W769" s="253"/>
      <c r="X769" s="274">
        <f>SUM(X761:X768)</f>
        <v>83356.149999999994</v>
      </c>
      <c r="AE769" s="370" t="str">
        <f t="shared" si="105"/>
        <v>|</v>
      </c>
      <c r="AG769" s="296" t="s">
        <v>2259</v>
      </c>
    </row>
    <row r="770" spans="1:33" ht="24" customHeight="1">
      <c r="A770" s="363">
        <f t="shared" si="110"/>
        <v>566</v>
      </c>
      <c r="B770" s="365" t="s">
        <v>978</v>
      </c>
      <c r="C770" s="364">
        <v>286</v>
      </c>
      <c r="D770" s="365" t="s">
        <v>1716</v>
      </c>
      <c r="H770" s="253" t="s">
        <v>552</v>
      </c>
      <c r="K770" s="252">
        <f>(K768/10)</f>
        <v>946.62</v>
      </c>
      <c r="O770" s="296" t="s">
        <v>899</v>
      </c>
      <c r="R770" s="252">
        <f>(C723)</f>
        <v>1183.82</v>
      </c>
      <c r="U770" s="274" t="s">
        <v>4005</v>
      </c>
      <c r="W770" s="253"/>
      <c r="X770" s="274">
        <f>X769/10</f>
        <v>8335.6200000000008</v>
      </c>
      <c r="AE770" s="370" t="str">
        <f t="shared" si="105"/>
        <v>|</v>
      </c>
      <c r="AG770" s="296" t="s">
        <v>2259</v>
      </c>
    </row>
    <row r="771" spans="1:33" ht="24" customHeight="1">
      <c r="A771" s="363">
        <f t="shared" si="110"/>
        <v>567</v>
      </c>
      <c r="B771" s="365" t="s">
        <v>900</v>
      </c>
      <c r="C771" s="364">
        <v>96.3</v>
      </c>
      <c r="D771" s="365" t="s">
        <v>1771</v>
      </c>
      <c r="F771" s="296" t="s">
        <v>975</v>
      </c>
      <c r="R771" s="358" t="s">
        <v>2055</v>
      </c>
      <c r="S771" s="356">
        <v>1</v>
      </c>
      <c r="T771" s="252" t="s">
        <v>1341</v>
      </c>
      <c r="U771" s="252" t="s">
        <v>4031</v>
      </c>
      <c r="V771" s="252">
        <f>V807</f>
        <v>94.2</v>
      </c>
      <c r="W771" s="253"/>
      <c r="X771" s="252">
        <f>V771</f>
        <v>94.2</v>
      </c>
      <c r="AE771" s="370" t="str">
        <f t="shared" si="105"/>
        <v>|</v>
      </c>
      <c r="AG771" s="296" t="s">
        <v>2259</v>
      </c>
    </row>
    <row r="772" spans="1:33" ht="24" customHeight="1">
      <c r="A772" s="363">
        <f t="shared" si="110"/>
        <v>568</v>
      </c>
      <c r="B772" s="365" t="s">
        <v>839</v>
      </c>
      <c r="C772" s="364">
        <v>51</v>
      </c>
      <c r="D772" s="365" t="s">
        <v>1716</v>
      </c>
      <c r="K772" s="358" t="s">
        <v>2055</v>
      </c>
      <c r="U772" s="252" t="s">
        <v>4006</v>
      </c>
      <c r="W772" s="253"/>
      <c r="X772" s="274">
        <f>SUM(X770:X771)</f>
        <v>8429.82</v>
      </c>
      <c r="AE772" s="370" t="str">
        <f t="shared" si="105"/>
        <v>|</v>
      </c>
      <c r="AG772" s="296" t="s">
        <v>2259</v>
      </c>
    </row>
    <row r="773" spans="1:33" ht="24" customHeight="1">
      <c r="A773" s="363">
        <f t="shared" si="110"/>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42.15</v>
      </c>
      <c r="AE773" s="370" t="str">
        <f t="shared" si="105"/>
        <v>|</v>
      </c>
      <c r="AG773" s="296" t="s">
        <v>2259</v>
      </c>
    </row>
    <row r="774" spans="1:33" ht="24" customHeight="1">
      <c r="A774" s="363">
        <f t="shared" si="110"/>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8471.9699999999993</v>
      </c>
      <c r="AE774" s="370" t="str">
        <f t="shared" si="105"/>
        <v>|</v>
      </c>
      <c r="AG774" s="296" t="s">
        <v>2259</v>
      </c>
    </row>
    <row r="775" spans="1:33" ht="24" customHeight="1">
      <c r="A775" s="363">
        <f t="shared" si="110"/>
        <v>571</v>
      </c>
      <c r="B775" s="365" t="s">
        <v>658</v>
      </c>
      <c r="C775" s="364">
        <v>98</v>
      </c>
      <c r="D775" s="365" t="s">
        <v>1716</v>
      </c>
      <c r="H775" s="296" t="s">
        <v>2273</v>
      </c>
      <c r="O775" s="296" t="s">
        <v>1433</v>
      </c>
      <c r="Q775" s="253" t="s">
        <v>826</v>
      </c>
      <c r="R775" s="252">
        <f>(C726)</f>
        <v>147.6</v>
      </c>
      <c r="W775" s="253"/>
      <c r="X775" s="358" t="s">
        <v>1586</v>
      </c>
      <c r="AE775" s="370" t="str">
        <f t="shared" si="105"/>
        <v>|</v>
      </c>
      <c r="AG775" s="296" t="s">
        <v>2259</v>
      </c>
    </row>
    <row r="776" spans="1:33" ht="24" customHeight="1">
      <c r="A776" s="363">
        <f t="shared" si="110"/>
        <v>572</v>
      </c>
      <c r="B776" s="365" t="s">
        <v>1959</v>
      </c>
      <c r="C776" s="364">
        <v>92</v>
      </c>
      <c r="D776" s="365" t="s">
        <v>1771</v>
      </c>
      <c r="H776" s="358" t="s">
        <v>1586</v>
      </c>
      <c r="O776" s="296" t="s">
        <v>2083</v>
      </c>
      <c r="U776" s="296" t="s">
        <v>386</v>
      </c>
      <c r="W776" s="253"/>
      <c r="X776" s="274">
        <f>(X774+C22)</f>
        <v>8591.82</v>
      </c>
      <c r="AE776" s="370" t="str">
        <f t="shared" si="105"/>
        <v>|::</v>
      </c>
      <c r="AG776" s="296" t="s">
        <v>321</v>
      </c>
    </row>
    <row r="777" spans="1:33" ht="24" customHeight="1">
      <c r="A777" s="363">
        <f t="shared" si="110"/>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8827.92</v>
      </c>
      <c r="AE777" s="370">
        <f t="shared" si="105"/>
        <v>0</v>
      </c>
    </row>
    <row r="778" spans="1:33" ht="24" customHeight="1">
      <c r="A778" s="363">
        <f t="shared" si="110"/>
        <v>574</v>
      </c>
      <c r="B778" s="365" t="s">
        <v>715</v>
      </c>
      <c r="C778" s="364">
        <v>53.2</v>
      </c>
      <c r="D778" s="365" t="s">
        <v>1716</v>
      </c>
      <c r="H778" s="296" t="s">
        <v>901</v>
      </c>
      <c r="O778" s="296" t="s">
        <v>1042</v>
      </c>
      <c r="U778" s="296" t="s">
        <v>2232</v>
      </c>
      <c r="W778" s="253"/>
      <c r="X778" s="274">
        <f>(X777+C24)</f>
        <v>9064.02</v>
      </c>
      <c r="AE778" s="370">
        <f t="shared" si="105"/>
        <v>0</v>
      </c>
    </row>
    <row r="779" spans="1:33" ht="24" customHeight="1">
      <c r="A779" s="363">
        <f t="shared" si="110"/>
        <v>575</v>
      </c>
      <c r="B779" s="365" t="s">
        <v>1043</v>
      </c>
      <c r="C779" s="364">
        <v>59</v>
      </c>
      <c r="D779" s="365" t="s">
        <v>1716</v>
      </c>
      <c r="H779" s="296" t="s">
        <v>840</v>
      </c>
      <c r="O779" s="296" t="s">
        <v>1101</v>
      </c>
      <c r="U779" s="296" t="s">
        <v>380</v>
      </c>
      <c r="W779" s="253"/>
      <c r="X779" s="274">
        <f>(X778+C24)</f>
        <v>9300.1200000000008</v>
      </c>
      <c r="AE779" s="370" t="str">
        <f t="shared" si="105"/>
        <v>|</v>
      </c>
      <c r="AG779" s="296" t="s">
        <v>2259</v>
      </c>
    </row>
    <row r="780" spans="1:33" ht="24" customHeight="1">
      <c r="A780" s="363">
        <f t="shared" si="110"/>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9536.2199999999993</v>
      </c>
      <c r="AE780" s="370">
        <f t="shared" si="105"/>
        <v>0</v>
      </c>
    </row>
    <row r="781" spans="1:33" ht="24" customHeight="1">
      <c r="A781" s="363">
        <f t="shared" si="110"/>
        <v>577</v>
      </c>
      <c r="B781" s="365" t="s">
        <v>1111</v>
      </c>
      <c r="C781" s="364">
        <v>49.52</v>
      </c>
      <c r="D781" s="365" t="s">
        <v>1771</v>
      </c>
      <c r="H781" s="296" t="s">
        <v>1001</v>
      </c>
      <c r="O781" s="296" t="s">
        <v>975</v>
      </c>
      <c r="W781" s="253"/>
      <c r="X781" s="274">
        <f>(X780+C$24)</f>
        <v>9772.32</v>
      </c>
      <c r="AE781" s="370" t="str">
        <f t="shared" si="105"/>
        <v>|</v>
      </c>
      <c r="AG781" s="296" t="s">
        <v>2259</v>
      </c>
    </row>
    <row r="782" spans="1:33" ht="24" customHeight="1">
      <c r="A782" s="363">
        <f t="shared" si="110"/>
        <v>578</v>
      </c>
      <c r="B782" s="365" t="s">
        <v>2125</v>
      </c>
      <c r="C782" s="364">
        <v>1080</v>
      </c>
      <c r="D782" s="365" t="s">
        <v>1716</v>
      </c>
      <c r="H782" s="296" t="s">
        <v>816</v>
      </c>
      <c r="W782" s="253"/>
      <c r="X782" s="274">
        <f>(X781+C$24)</f>
        <v>10008.42</v>
      </c>
      <c r="AE782" s="370" t="str">
        <f t="shared" si="105"/>
        <v>|</v>
      </c>
      <c r="AG782" s="296" t="s">
        <v>2259</v>
      </c>
    </row>
    <row r="783" spans="1:33" ht="24" customHeight="1">
      <c r="A783" s="363">
        <f t="shared" si="110"/>
        <v>579</v>
      </c>
      <c r="B783" s="365" t="s">
        <v>4233</v>
      </c>
      <c r="C783" s="314">
        <v>387.4</v>
      </c>
      <c r="D783" s="365" t="s">
        <v>609</v>
      </c>
      <c r="F783" s="252">
        <v>98.5</v>
      </c>
      <c r="G783" s="252" t="s">
        <v>826</v>
      </c>
      <c r="H783" s="296" t="s">
        <v>827</v>
      </c>
      <c r="I783" s="252">
        <f>C270/5</f>
        <v>5.04</v>
      </c>
      <c r="J783" s="296" t="s">
        <v>259</v>
      </c>
      <c r="K783" s="252">
        <f t="shared" ref="K783:K789" si="111">(F783*I783)</f>
        <v>496.44</v>
      </c>
      <c r="N783" s="296" t="s">
        <v>2251</v>
      </c>
      <c r="O783" s="296" t="s">
        <v>2127</v>
      </c>
      <c r="Q783" s="253" t="s">
        <v>2283</v>
      </c>
      <c r="R783" s="252">
        <f>(C730)</f>
        <v>1250</v>
      </c>
      <c r="W783" s="253"/>
      <c r="X783" s="274">
        <f>(X782+C$24)</f>
        <v>10244.52</v>
      </c>
      <c r="AE783" s="370" t="str">
        <f t="shared" si="105"/>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1"/>
        <v>3708.8</v>
      </c>
      <c r="O784" s="296" t="s">
        <v>1683</v>
      </c>
      <c r="W784" s="253"/>
      <c r="AE784" s="370" t="str">
        <f t="shared" si="105"/>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1"/>
        <v>3515.4</v>
      </c>
      <c r="O785" s="296" t="s">
        <v>317</v>
      </c>
      <c r="W785" s="253"/>
      <c r="AE785" s="370" t="str">
        <f t="shared" si="105"/>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1"/>
        <v>856</v>
      </c>
      <c r="O786" s="296" t="s">
        <v>1267</v>
      </c>
      <c r="W786" s="253"/>
      <c r="AE786" s="370" t="str">
        <f t="shared" si="105"/>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1"/>
        <v>11</v>
      </c>
      <c r="W787" s="253"/>
      <c r="AE787" s="370" t="str">
        <f t="shared" si="105"/>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1"/>
        <v>10</v>
      </c>
      <c r="N788" s="296" t="s">
        <v>2251</v>
      </c>
      <c r="O788" s="296" t="s">
        <v>594</v>
      </c>
      <c r="W788" s="253"/>
      <c r="AE788" s="370" t="str">
        <f t="shared" si="105"/>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1"/>
        <v>38</v>
      </c>
      <c r="O789" s="296" t="s">
        <v>4083</v>
      </c>
      <c r="R789" s="296" t="s">
        <v>975</v>
      </c>
      <c r="W789" s="253"/>
      <c r="AE789" s="370" t="str">
        <f t="shared" si="105"/>
        <v>|</v>
      </c>
      <c r="AG789" s="296" t="s">
        <v>2259</v>
      </c>
    </row>
    <row r="790" spans="1:33" ht="24" customHeight="1">
      <c r="A790" s="363"/>
      <c r="B790" s="365" t="s">
        <v>570</v>
      </c>
      <c r="C790" s="364">
        <v>140</v>
      </c>
      <c r="D790" s="364"/>
      <c r="H790" s="296" t="s">
        <v>75</v>
      </c>
      <c r="O790" s="296" t="s">
        <v>2090</v>
      </c>
      <c r="W790" s="253"/>
      <c r="AE790" s="370" t="str">
        <f t="shared" si="105"/>
        <v>|</v>
      </c>
      <c r="AG790" s="296" t="s">
        <v>2259</v>
      </c>
    </row>
    <row r="791" spans="1:33" ht="24" customHeight="1">
      <c r="A791" s="363"/>
      <c r="B791" s="365" t="s">
        <v>838</v>
      </c>
      <c r="C791" s="364">
        <v>222</v>
      </c>
      <c r="D791" s="364"/>
      <c r="K791" s="358" t="s">
        <v>1586</v>
      </c>
      <c r="O791" s="358" t="s">
        <v>1586</v>
      </c>
      <c r="W791" s="253"/>
      <c r="AE791" s="370" t="str">
        <f t="shared" si="105"/>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05"/>
        <v>|</v>
      </c>
      <c r="AG792" s="296" t="s">
        <v>2259</v>
      </c>
    </row>
    <row r="793" spans="1:33" ht="24" customHeight="1">
      <c r="A793" s="363"/>
      <c r="B793" s="365" t="s">
        <v>498</v>
      </c>
      <c r="C793" s="364">
        <v>75</v>
      </c>
      <c r="D793" s="364"/>
      <c r="K793" s="358" t="s">
        <v>1586</v>
      </c>
      <c r="W793" s="253"/>
      <c r="AE793" s="370" t="str">
        <f t="shared" si="105"/>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05"/>
        <v>|</v>
      </c>
      <c r="AG794" s="296" t="s">
        <v>2259</v>
      </c>
    </row>
    <row r="795" spans="1:33" ht="24" customHeight="1">
      <c r="A795" s="363"/>
      <c r="B795" s="365" t="s">
        <v>275</v>
      </c>
      <c r="C795" s="364">
        <v>1854</v>
      </c>
      <c r="D795" s="364"/>
      <c r="K795" s="358" t="s">
        <v>2055</v>
      </c>
      <c r="W795" s="253"/>
      <c r="AE795" s="370" t="str">
        <f t="shared" si="105"/>
        <v>|</v>
      </c>
      <c r="AG795" s="296" t="s">
        <v>2259</v>
      </c>
    </row>
    <row r="796" spans="1:33" ht="24" customHeight="1">
      <c r="A796" s="363"/>
      <c r="B796" s="365" t="s">
        <v>162</v>
      </c>
      <c r="C796" s="364">
        <v>51</v>
      </c>
      <c r="D796" s="364"/>
      <c r="O796" s="296" t="s">
        <v>1326</v>
      </c>
      <c r="P796" s="407" t="s">
        <v>449</v>
      </c>
      <c r="R796" s="252">
        <v>0.64</v>
      </c>
      <c r="W796" s="253"/>
      <c r="AE796" s="370" t="str">
        <f t="shared" si="105"/>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05"/>
        <v>|</v>
      </c>
      <c r="AG797" s="296" t="s">
        <v>2259</v>
      </c>
    </row>
    <row r="798" spans="1:33" ht="24" customHeight="1">
      <c r="A798" s="363"/>
      <c r="B798" s="365" t="s">
        <v>131</v>
      </c>
      <c r="C798" s="364">
        <v>890</v>
      </c>
      <c r="D798" s="364"/>
      <c r="H798" s="296" t="s">
        <v>719</v>
      </c>
      <c r="O798" s="296" t="s">
        <v>1930</v>
      </c>
      <c r="R798" s="252">
        <f>SUM(R792:R796)</f>
        <v>0.64</v>
      </c>
      <c r="W798" s="253"/>
      <c r="AE798" s="370" t="str">
        <f t="shared" si="105"/>
        <v>|</v>
      </c>
      <c r="AG798" s="296" t="s">
        <v>2259</v>
      </c>
    </row>
    <row r="799" spans="1:33" ht="24" customHeight="1">
      <c r="A799" s="363"/>
      <c r="B799" s="365" t="s">
        <v>1931</v>
      </c>
      <c r="C799" s="364">
        <v>5.15</v>
      </c>
      <c r="D799" s="364"/>
      <c r="H799" s="296" t="s">
        <v>277</v>
      </c>
      <c r="R799" s="358" t="s">
        <v>1586</v>
      </c>
      <c r="U799" s="274" t="s">
        <v>3468</v>
      </c>
      <c r="W799" s="253"/>
      <c r="AE799" s="370" t="str">
        <f t="shared" si="105"/>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52" t="s">
        <v>3461</v>
      </c>
      <c r="V800" s="252">
        <f>AC14</f>
        <v>1685.18</v>
      </c>
      <c r="W800" s="253"/>
      <c r="X800" s="252">
        <f>V800*S800</f>
        <v>746.53</v>
      </c>
      <c r="AE800" s="370" t="str">
        <f t="shared" si="105"/>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52" t="s">
        <v>3462</v>
      </c>
      <c r="V801" s="252">
        <f>AC12</f>
        <v>1212.18</v>
      </c>
      <c r="W801" s="253"/>
      <c r="X801" s="252">
        <f t="shared" ref="X801:X807" si="112">V801*S801</f>
        <v>357.59</v>
      </c>
      <c r="AE801" s="370" t="str">
        <f t="shared" si="105"/>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1464.46</v>
      </c>
      <c r="W802" s="253"/>
      <c r="X802" s="252">
        <f t="shared" si="112"/>
        <v>629.72</v>
      </c>
      <c r="AE802" s="370" t="str">
        <f t="shared" si="105"/>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2"/>
        <v>2355.6</v>
      </c>
      <c r="AE803" s="370" t="str">
        <f t="shared" si="105"/>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52" t="s">
        <v>465</v>
      </c>
      <c r="V804" s="252">
        <f>I810</f>
        <v>932</v>
      </c>
      <c r="W804" s="253" t="str">
        <f>J810</f>
        <v>NO.</v>
      </c>
      <c r="X804" s="252">
        <f t="shared" si="112"/>
        <v>326.2</v>
      </c>
      <c r="AE804" s="370" t="str">
        <f t="shared" si="105"/>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52" t="s">
        <v>3463</v>
      </c>
      <c r="V805" s="252">
        <f>I811</f>
        <v>651</v>
      </c>
      <c r="W805" s="253"/>
      <c r="X805" s="252">
        <f t="shared" si="112"/>
        <v>1380.12</v>
      </c>
      <c r="AE805" s="370" t="str">
        <f t="shared" si="105"/>
        <v>|</v>
      </c>
      <c r="AG805" s="296" t="s">
        <v>2259</v>
      </c>
    </row>
    <row r="806" spans="1:33" ht="24" customHeight="1">
      <c r="A806" s="363"/>
      <c r="B806" s="365" t="s">
        <v>6120</v>
      </c>
      <c r="C806" s="434">
        <v>33.9</v>
      </c>
      <c r="D806" s="364"/>
      <c r="H806" s="358" t="s">
        <v>1586</v>
      </c>
      <c r="N806" s="435"/>
      <c r="O806" s="376"/>
      <c r="P806" s="314"/>
      <c r="Q806" s="314"/>
      <c r="R806" s="314"/>
      <c r="S806" s="356">
        <v>3.53</v>
      </c>
      <c r="T806" s="252" t="s">
        <v>1432</v>
      </c>
      <c r="U806" s="252" t="s">
        <v>3464</v>
      </c>
      <c r="V806" s="252">
        <f>I812</f>
        <v>534</v>
      </c>
      <c r="W806" s="253"/>
      <c r="X806" s="252">
        <f t="shared" si="112"/>
        <v>1885.02</v>
      </c>
      <c r="AE806" s="370" t="str">
        <f t="shared" si="105"/>
        <v>|</v>
      </c>
      <c r="AG806" s="296" t="s">
        <v>2259</v>
      </c>
    </row>
    <row r="807" spans="1:33" ht="24" customHeight="1">
      <c r="A807" s="363"/>
      <c r="B807" s="365" t="s">
        <v>1762</v>
      </c>
      <c r="C807" s="364">
        <v>2107</v>
      </c>
      <c r="D807" s="364"/>
      <c r="F807" s="356">
        <v>9</v>
      </c>
      <c r="G807" s="252" t="s">
        <v>869</v>
      </c>
      <c r="H807" s="296" t="s">
        <v>1411</v>
      </c>
      <c r="I807" s="252">
        <f>C73</f>
        <v>1685.18</v>
      </c>
      <c r="J807" s="296" t="s">
        <v>869</v>
      </c>
      <c r="K807" s="252">
        <f t="shared" ref="K807:K812" si="113">F807*I807</f>
        <v>15166.62</v>
      </c>
      <c r="N807" s="314"/>
      <c r="O807" s="376"/>
      <c r="P807" s="314"/>
      <c r="Q807" s="314"/>
      <c r="R807" s="314"/>
      <c r="S807" s="356">
        <v>1</v>
      </c>
      <c r="T807" s="252" t="s">
        <v>1341</v>
      </c>
      <c r="U807" s="252" t="s">
        <v>3465</v>
      </c>
      <c r="V807" s="252">
        <f>K819</f>
        <v>94.2</v>
      </c>
      <c r="W807" s="253"/>
      <c r="X807" s="252">
        <f t="shared" si="112"/>
        <v>94.2</v>
      </c>
      <c r="AE807" s="370" t="str">
        <f t="shared" si="105"/>
        <v>|</v>
      </c>
      <c r="AG807" s="296" t="s">
        <v>2259</v>
      </c>
    </row>
    <row r="808" spans="1:33" ht="24" customHeight="1">
      <c r="A808" s="363"/>
      <c r="B808" s="365" t="s">
        <v>5884</v>
      </c>
      <c r="C808" s="370">
        <v>940</v>
      </c>
      <c r="D808" s="364"/>
      <c r="F808" s="356">
        <v>4.3079999999999998</v>
      </c>
      <c r="G808" s="252" t="s">
        <v>861</v>
      </c>
      <c r="H808" s="296" t="s">
        <v>862</v>
      </c>
      <c r="I808" s="252">
        <f>C67</f>
        <v>6040</v>
      </c>
      <c r="J808" s="296" t="s">
        <v>861</v>
      </c>
      <c r="K808" s="252">
        <f t="shared" si="113"/>
        <v>26020.32</v>
      </c>
      <c r="N808" s="376"/>
      <c r="O808" s="376"/>
      <c r="P808" s="314"/>
      <c r="Q808" s="314"/>
      <c r="R808" s="314"/>
      <c r="S808" s="429" t="s">
        <v>657</v>
      </c>
      <c r="U808" s="252" t="s">
        <v>3466</v>
      </c>
      <c r="V808" s="429" t="s">
        <v>657</v>
      </c>
      <c r="W808" s="253"/>
      <c r="X808" s="252">
        <v>270</v>
      </c>
      <c r="AE808" s="370" t="str">
        <f t="shared" si="105"/>
        <v>|</v>
      </c>
      <c r="AG808" s="296" t="s">
        <v>2259</v>
      </c>
    </row>
    <row r="809" spans="1:33" ht="24" customHeight="1">
      <c r="A809" s="363"/>
      <c r="B809" s="365" t="s">
        <v>4595</v>
      </c>
      <c r="C809" s="362">
        <v>826</v>
      </c>
      <c r="D809" s="364"/>
      <c r="F809" s="356">
        <v>4.5</v>
      </c>
      <c r="G809" s="252" t="s">
        <v>869</v>
      </c>
      <c r="H809" s="296" t="s">
        <v>870</v>
      </c>
      <c r="I809" s="252">
        <f>C78</f>
        <v>1464.46</v>
      </c>
      <c r="J809" s="296" t="s">
        <v>869</v>
      </c>
      <c r="K809" s="252">
        <f t="shared" si="113"/>
        <v>6590.07</v>
      </c>
      <c r="N809" s="314"/>
      <c r="O809" s="376"/>
      <c r="P809" s="314"/>
      <c r="Q809" s="314"/>
      <c r="R809" s="314"/>
      <c r="S809" s="429" t="s">
        <v>657</v>
      </c>
      <c r="U809" s="252" t="s">
        <v>3467</v>
      </c>
      <c r="V809" s="429" t="s">
        <v>657</v>
      </c>
      <c r="W809" s="253"/>
      <c r="X809" s="252">
        <v>150</v>
      </c>
      <c r="AE809" s="370" t="str">
        <f t="shared" si="105"/>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13"/>
        <v>3262</v>
      </c>
      <c r="N810" s="314"/>
      <c r="O810" s="376"/>
      <c r="P810" s="314"/>
      <c r="Q810" s="314"/>
      <c r="R810" s="314"/>
      <c r="S810" s="429" t="s">
        <v>657</v>
      </c>
      <c r="U810" s="252" t="s">
        <v>2271</v>
      </c>
      <c r="V810" s="429" t="s">
        <v>657</v>
      </c>
      <c r="W810" s="253"/>
      <c r="X810" s="252">
        <v>0.06</v>
      </c>
      <c r="AE810" s="370" t="str">
        <f t="shared" si="105"/>
        <v>|</v>
      </c>
      <c r="AG810" s="296" t="s">
        <v>2259</v>
      </c>
    </row>
    <row r="811" spans="1:33" ht="24" customHeight="1">
      <c r="A811" s="363"/>
      <c r="B811" s="364"/>
      <c r="C811" s="364"/>
      <c r="D811" s="364"/>
      <c r="F811" s="356">
        <v>21.2</v>
      </c>
      <c r="G811" s="252" t="s">
        <v>868</v>
      </c>
      <c r="H811" s="296" t="s">
        <v>1902</v>
      </c>
      <c r="I811" s="252">
        <f>C12</f>
        <v>651</v>
      </c>
      <c r="J811" s="296" t="s">
        <v>868</v>
      </c>
      <c r="K811" s="252">
        <f t="shared" si="113"/>
        <v>13801.2</v>
      </c>
      <c r="N811" s="376"/>
      <c r="O811" s="376"/>
      <c r="P811" s="314"/>
      <c r="Q811" s="314"/>
      <c r="R811" s="314"/>
      <c r="W811" s="253"/>
      <c r="X811" s="274">
        <f>SUM(X800:X810)</f>
        <v>8195.0400000000009</v>
      </c>
      <c r="Y811" s="252">
        <v>59.4</v>
      </c>
      <c r="Z811" s="252">
        <v>117</v>
      </c>
      <c r="AE811" s="370" t="str">
        <f t="shared" si="105"/>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13"/>
        <v>18850.2</v>
      </c>
      <c r="N812" s="376"/>
      <c r="O812" s="376"/>
      <c r="P812" s="314"/>
      <c r="Q812" s="314"/>
      <c r="R812" s="314"/>
      <c r="W812" s="253"/>
      <c r="AE812" s="370" t="str">
        <f t="shared" si="105"/>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14">AG813</f>
        <v>|</v>
      </c>
      <c r="AG813" s="296" t="s">
        <v>2259</v>
      </c>
    </row>
    <row r="814" spans="1:33" ht="24" customHeight="1">
      <c r="A814" s="363"/>
      <c r="B814" s="365" t="s">
        <v>4597</v>
      </c>
      <c r="C814" s="426">
        <v>8.5</v>
      </c>
      <c r="D814" s="364"/>
      <c r="K814" s="358" t="s">
        <v>1586</v>
      </c>
      <c r="N814" s="376"/>
      <c r="O814" s="376"/>
      <c r="P814" s="314"/>
      <c r="Q814" s="314"/>
      <c r="R814" s="314"/>
      <c r="U814" s="274" t="s">
        <v>3469</v>
      </c>
      <c r="W814" s="253"/>
      <c r="AE814" s="370" t="str">
        <f t="shared" si="114"/>
        <v>|</v>
      </c>
      <c r="AG814" s="296" t="s">
        <v>2259</v>
      </c>
    </row>
    <row r="815" spans="1:33" ht="24" customHeight="1">
      <c r="A815" s="363"/>
      <c r="B815" s="365" t="s">
        <v>1066</v>
      </c>
      <c r="C815" s="426">
        <v>21.1</v>
      </c>
      <c r="D815" s="364"/>
      <c r="H815" s="253" t="s">
        <v>614</v>
      </c>
      <c r="K815" s="252">
        <f>SUM(K807:K813)</f>
        <v>83690.41</v>
      </c>
      <c r="N815" s="376"/>
      <c r="O815" s="376"/>
      <c r="P815" s="314"/>
      <c r="Q815" s="314"/>
      <c r="R815" s="314"/>
      <c r="S815" s="356">
        <v>0.45300000000000001</v>
      </c>
      <c r="T815" s="252" t="s">
        <v>1341</v>
      </c>
      <c r="U815" s="252" t="s">
        <v>3461</v>
      </c>
      <c r="V815" s="252">
        <f>V800</f>
        <v>1685.18</v>
      </c>
      <c r="W815" s="253"/>
      <c r="X815" s="252">
        <f>V815*S815</f>
        <v>763.39</v>
      </c>
      <c r="Z815" s="252">
        <f>X826+Y811</f>
        <v>8173.74</v>
      </c>
      <c r="AE815" s="370" t="str">
        <f t="shared" si="114"/>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5">V801</f>
        <v>1212.18</v>
      </c>
      <c r="W816" s="253"/>
      <c r="X816" s="252">
        <f t="shared" ref="X816:X822" si="116">V816*S816</f>
        <v>366.08</v>
      </c>
      <c r="Z816" s="252">
        <f>Z815+Z811</f>
        <v>8290.74</v>
      </c>
      <c r="AE816" s="370" t="str">
        <f t="shared" si="114"/>
        <v>|</v>
      </c>
      <c r="AG816" s="296" t="s">
        <v>2259</v>
      </c>
    </row>
    <row r="817" spans="1:33" ht="24" customHeight="1">
      <c r="A817" s="437"/>
      <c r="H817" s="296" t="s">
        <v>773</v>
      </c>
      <c r="K817" s="252">
        <f>K815/10</f>
        <v>8369.0400000000009</v>
      </c>
      <c r="N817" s="376"/>
      <c r="O817" s="376"/>
      <c r="P817" s="314"/>
      <c r="Q817" s="314"/>
      <c r="R817" s="314"/>
      <c r="S817" s="356">
        <v>0.44</v>
      </c>
      <c r="T817" s="252" t="s">
        <v>1341</v>
      </c>
      <c r="U817" s="252" t="s">
        <v>1065</v>
      </c>
      <c r="V817" s="252">
        <f t="shared" si="115"/>
        <v>1464.46</v>
      </c>
      <c r="W817" s="253"/>
      <c r="X817" s="252">
        <f t="shared" si="116"/>
        <v>644.36</v>
      </c>
      <c r="Z817" s="252">
        <f>Z816+Z811</f>
        <v>8407.74</v>
      </c>
      <c r="AE817" s="370" t="str">
        <f t="shared" si="114"/>
        <v>|</v>
      </c>
      <c r="AG817" s="296" t="s">
        <v>2259</v>
      </c>
    </row>
    <row r="818" spans="1:33" ht="24" customHeight="1">
      <c r="A818" s="437"/>
      <c r="S818" s="356">
        <v>0.37</v>
      </c>
      <c r="T818" s="252" t="s">
        <v>528</v>
      </c>
      <c r="U818" s="252" t="s">
        <v>390</v>
      </c>
      <c r="V818" s="252">
        <f t="shared" si="115"/>
        <v>6040</v>
      </c>
      <c r="W818" s="253"/>
      <c r="X818" s="252">
        <f t="shared" si="116"/>
        <v>2234.8000000000002</v>
      </c>
      <c r="Z818" s="252">
        <f>Z817+Z811</f>
        <v>8524.74</v>
      </c>
      <c r="AE818" s="370" t="str">
        <f t="shared" si="114"/>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52" t="s">
        <v>465</v>
      </c>
      <c r="V819" s="252">
        <f t="shared" si="115"/>
        <v>932</v>
      </c>
      <c r="W819" s="253">
        <f>J825</f>
        <v>0</v>
      </c>
      <c r="X819" s="252">
        <f t="shared" si="116"/>
        <v>326.2</v>
      </c>
      <c r="Z819" s="252">
        <f>Z811+Z818</f>
        <v>8641.74</v>
      </c>
      <c r="AE819" s="370" t="str">
        <f t="shared" si="114"/>
        <v>|</v>
      </c>
      <c r="AG819" s="296" t="s">
        <v>2259</v>
      </c>
    </row>
    <row r="820" spans="1:33" ht="24" customHeight="1">
      <c r="A820" s="437"/>
      <c r="K820" s="358" t="s">
        <v>1586</v>
      </c>
      <c r="O820" s="253"/>
      <c r="S820" s="356">
        <v>2.12</v>
      </c>
      <c r="T820" s="252" t="s">
        <v>1432</v>
      </c>
      <c r="U820" s="252" t="s">
        <v>3463</v>
      </c>
      <c r="V820" s="252">
        <f t="shared" si="115"/>
        <v>651</v>
      </c>
      <c r="W820" s="253"/>
      <c r="X820" s="252">
        <f t="shared" si="116"/>
        <v>1380.12</v>
      </c>
      <c r="Z820" s="252">
        <f>Z811+Z819</f>
        <v>8758.74</v>
      </c>
      <c r="AE820" s="370" t="str">
        <f t="shared" si="114"/>
        <v>|</v>
      </c>
      <c r="AG820" s="296" t="s">
        <v>2259</v>
      </c>
    </row>
    <row r="821" spans="1:33" ht="24" customHeight="1">
      <c r="K821" s="252">
        <f>SUM(K817:K819)</f>
        <v>8463.24</v>
      </c>
      <c r="S821" s="356">
        <v>3.53</v>
      </c>
      <c r="T821" s="252" t="s">
        <v>1432</v>
      </c>
      <c r="U821" s="252" t="s">
        <v>3464</v>
      </c>
      <c r="V821" s="252">
        <f t="shared" si="115"/>
        <v>534</v>
      </c>
      <c r="W821" s="253"/>
      <c r="X821" s="252">
        <f t="shared" si="116"/>
        <v>1885.02</v>
      </c>
      <c r="Z821" s="252">
        <f>Z811+Z820</f>
        <v>8875.74</v>
      </c>
      <c r="AE821" s="370" t="str">
        <f t="shared" si="114"/>
        <v>|</v>
      </c>
      <c r="AG821" s="296" t="s">
        <v>2259</v>
      </c>
    </row>
    <row r="822" spans="1:33" ht="24" customHeight="1">
      <c r="A822" s="437"/>
      <c r="K822" s="358" t="s">
        <v>1586</v>
      </c>
      <c r="R822" s="358"/>
      <c r="S822" s="356">
        <v>1</v>
      </c>
      <c r="T822" s="252" t="s">
        <v>1341</v>
      </c>
      <c r="U822" s="252" t="s">
        <v>3465</v>
      </c>
      <c r="V822" s="252">
        <f t="shared" si="115"/>
        <v>94.2</v>
      </c>
      <c r="W822" s="253"/>
      <c r="X822" s="252">
        <f t="shared" si="116"/>
        <v>94.2</v>
      </c>
      <c r="Z822" s="252">
        <f>Z811+Z821</f>
        <v>8992.74</v>
      </c>
      <c r="AE822" s="370" t="str">
        <f t="shared" si="114"/>
        <v>|</v>
      </c>
      <c r="AG822" s="296" t="s">
        <v>2259</v>
      </c>
    </row>
    <row r="823" spans="1:33" ht="24" customHeight="1">
      <c r="A823" s="437"/>
      <c r="H823" s="296" t="s">
        <v>386</v>
      </c>
      <c r="K823" s="274">
        <f>(K821+C22)</f>
        <v>8583.09</v>
      </c>
      <c r="S823" s="429" t="s">
        <v>657</v>
      </c>
      <c r="U823" s="252" t="s">
        <v>3466</v>
      </c>
      <c r="V823" s="407" t="str">
        <f t="shared" si="115"/>
        <v>LS</v>
      </c>
      <c r="W823" s="253"/>
      <c r="X823" s="252">
        <v>270</v>
      </c>
      <c r="Z823" s="252">
        <f>Z811+Z822</f>
        <v>9109.74</v>
      </c>
      <c r="AE823" s="370" t="str">
        <f t="shared" si="114"/>
        <v>|</v>
      </c>
      <c r="AG823" s="296" t="s">
        <v>2259</v>
      </c>
    </row>
    <row r="824" spans="1:33" ht="24" customHeight="1">
      <c r="A824" s="437"/>
      <c r="H824" s="296" t="s">
        <v>388</v>
      </c>
      <c r="K824" s="274">
        <f>(K823+C23)</f>
        <v>8819.19</v>
      </c>
      <c r="N824" s="296"/>
      <c r="O824" s="296"/>
      <c r="S824" s="429" t="s">
        <v>657</v>
      </c>
      <c r="U824" s="252" t="s">
        <v>3467</v>
      </c>
      <c r="V824" s="407" t="str">
        <f t="shared" si="115"/>
        <v>LS</v>
      </c>
      <c r="W824" s="253"/>
      <c r="X824" s="252">
        <v>150</v>
      </c>
      <c r="Z824" s="252">
        <f>Z811+Z823</f>
        <v>9226.74</v>
      </c>
      <c r="AE824" s="370" t="str">
        <f t="shared" si="114"/>
        <v>|</v>
      </c>
      <c r="AG824" s="296" t="s">
        <v>2259</v>
      </c>
    </row>
    <row r="825" spans="1:33" ht="24" customHeight="1">
      <c r="A825" s="437"/>
      <c r="H825" s="296" t="s">
        <v>2232</v>
      </c>
      <c r="K825" s="274">
        <f>(K824+C24)</f>
        <v>9055.2900000000009</v>
      </c>
      <c r="O825" s="296"/>
      <c r="S825" s="429" t="s">
        <v>657</v>
      </c>
      <c r="U825" s="252" t="s">
        <v>2271</v>
      </c>
      <c r="V825" s="407" t="str">
        <f t="shared" si="115"/>
        <v>LS</v>
      </c>
      <c r="W825" s="253"/>
      <c r="X825" s="252">
        <v>0.17</v>
      </c>
      <c r="AE825" s="370" t="str">
        <f t="shared" si="114"/>
        <v>|</v>
      </c>
      <c r="AG825" s="296" t="s">
        <v>2259</v>
      </c>
    </row>
    <row r="826" spans="1:33" ht="24" customHeight="1">
      <c r="A826" s="437"/>
      <c r="H826" s="296" t="s">
        <v>380</v>
      </c>
      <c r="K826" s="274">
        <f>(K825+C24)</f>
        <v>9291.39</v>
      </c>
      <c r="N826" s="296"/>
      <c r="O826" s="296"/>
      <c r="W826" s="253"/>
      <c r="X826" s="274">
        <f>SUM(X815:X825)</f>
        <v>8114.34</v>
      </c>
      <c r="AE826" s="370" t="str">
        <f t="shared" si="114"/>
        <v>|</v>
      </c>
      <c r="AG826" s="296" t="s">
        <v>2259</v>
      </c>
    </row>
    <row r="827" spans="1:33" ht="24" customHeight="1">
      <c r="H827" s="296" t="s">
        <v>1532</v>
      </c>
      <c r="K827" s="274">
        <f>(K826+C24)</f>
        <v>9527.49</v>
      </c>
      <c r="O827" s="296"/>
      <c r="W827" s="253"/>
      <c r="AE827" s="370" t="str">
        <f t="shared" si="114"/>
        <v>|</v>
      </c>
      <c r="AG827" s="296" t="s">
        <v>2259</v>
      </c>
    </row>
    <row r="828" spans="1:33" ht="24" customHeight="1">
      <c r="H828" s="296">
        <v>5</v>
      </c>
      <c r="K828" s="274">
        <f>(K827+C24)</f>
        <v>9763.59</v>
      </c>
      <c r="O828" s="296"/>
      <c r="W828" s="253"/>
      <c r="AE828" s="370">
        <f>SUM(AE681:AE685)</f>
        <v>8206.1</v>
      </c>
      <c r="AG828" s="296"/>
    </row>
    <row r="829" spans="1:33" ht="24" customHeight="1">
      <c r="H829" s="296">
        <v>6</v>
      </c>
      <c r="K829" s="274">
        <f>(K828+C24)</f>
        <v>9999.69</v>
      </c>
      <c r="O829" s="296"/>
      <c r="W829" s="253"/>
      <c r="AE829" s="370"/>
      <c r="AG829" s="296"/>
    </row>
    <row r="830" spans="1:33" ht="24" customHeight="1">
      <c r="H830" s="296">
        <v>7</v>
      </c>
      <c r="K830" s="274">
        <f>(K829+C24)</f>
        <v>10235.790000000001</v>
      </c>
      <c r="O830" s="296"/>
      <c r="W830" s="253"/>
      <c r="AE830" s="370"/>
      <c r="AG830" s="296"/>
    </row>
    <row r="831" spans="1:33" ht="24" customHeight="1">
      <c r="H831" s="296">
        <v>8</v>
      </c>
      <c r="K831" s="274">
        <f>(K830+C24)</f>
        <v>10471.89</v>
      </c>
      <c r="O831" s="296"/>
      <c r="W831" s="253"/>
      <c r="AE831" s="370"/>
      <c r="AG831" s="296"/>
    </row>
    <row r="832" spans="1:33" ht="24" customHeight="1">
      <c r="H832" s="296">
        <v>9</v>
      </c>
      <c r="K832" s="274">
        <f>(K831+C24)</f>
        <v>10707.99</v>
      </c>
      <c r="O832" s="296"/>
      <c r="W832" s="253"/>
      <c r="AE832" s="370"/>
      <c r="AG832" s="296"/>
    </row>
    <row r="833" spans="6:33" ht="24" customHeight="1">
      <c r="H833" s="296">
        <v>10</v>
      </c>
      <c r="K833" s="274">
        <f>(K832+C24)</f>
        <v>10944.09</v>
      </c>
      <c r="O833" s="296"/>
      <c r="W833" s="253"/>
      <c r="AE833" s="370"/>
      <c r="AG833" s="296"/>
    </row>
    <row r="834" spans="6:33" ht="24" customHeight="1">
      <c r="H834" s="296">
        <v>11</v>
      </c>
      <c r="K834" s="274">
        <f>(K833+C24)</f>
        <v>11180.19</v>
      </c>
      <c r="O834" s="296"/>
      <c r="W834" s="253"/>
      <c r="AE834" s="370"/>
      <c r="AG834" s="296"/>
    </row>
    <row r="835" spans="6:33" ht="24" customHeight="1">
      <c r="H835" s="296">
        <v>12</v>
      </c>
      <c r="K835" s="274">
        <f>(K834+C24)</f>
        <v>11416.29</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14"/>
        <v>|</v>
      </c>
      <c r="AG837" s="296" t="s">
        <v>2259</v>
      </c>
    </row>
    <row r="838" spans="6:33" ht="24" customHeight="1">
      <c r="F838" s="296" t="s">
        <v>975</v>
      </c>
      <c r="G838" s="252" t="s">
        <v>2251</v>
      </c>
      <c r="H838" s="253" t="s">
        <v>1321</v>
      </c>
      <c r="N838" s="296"/>
      <c r="O838" s="296"/>
      <c r="W838" s="253"/>
      <c r="AE838" s="370" t="str">
        <f t="shared" si="114"/>
        <v>|</v>
      </c>
      <c r="AG838" s="296" t="s">
        <v>2259</v>
      </c>
    </row>
    <row r="839" spans="6:33" ht="24" customHeight="1">
      <c r="H839" s="358" t="s">
        <v>2055</v>
      </c>
      <c r="N839" s="296"/>
      <c r="O839" s="296"/>
      <c r="W839" s="253"/>
      <c r="AE839" s="370" t="str">
        <f t="shared" si="114"/>
        <v>|</v>
      </c>
      <c r="AG839" s="296" t="s">
        <v>2259</v>
      </c>
    </row>
    <row r="840" spans="6:33" ht="24" customHeight="1">
      <c r="N840" s="296"/>
      <c r="O840" s="296"/>
      <c r="W840" s="253"/>
      <c r="AE840" s="370" t="str">
        <f t="shared" si="114"/>
        <v>|</v>
      </c>
      <c r="AG840" s="296" t="s">
        <v>2259</v>
      </c>
    </row>
    <row r="841" spans="6:33" ht="24" customHeight="1">
      <c r="F841" s="253" t="s">
        <v>1323</v>
      </c>
      <c r="G841" s="252" t="s">
        <v>2251</v>
      </c>
      <c r="H841" s="296" t="s">
        <v>2031</v>
      </c>
      <c r="N841" s="296"/>
      <c r="O841" s="296"/>
      <c r="W841" s="253"/>
      <c r="AE841" s="370" t="str">
        <f t="shared" si="114"/>
        <v>|</v>
      </c>
      <c r="AG841" s="296" t="s">
        <v>2259</v>
      </c>
    </row>
    <row r="842" spans="6:33" ht="24" customHeight="1">
      <c r="H842" s="296" t="s">
        <v>2032</v>
      </c>
      <c r="N842" s="296"/>
      <c r="O842" s="296"/>
      <c r="W842" s="253"/>
      <c r="AE842" s="370" t="str">
        <f t="shared" si="114"/>
        <v>|</v>
      </c>
      <c r="AG842" s="296" t="s">
        <v>2259</v>
      </c>
    </row>
    <row r="843" spans="6:33" ht="24" customHeight="1">
      <c r="H843" s="296" t="s">
        <v>2033</v>
      </c>
      <c r="N843" s="296"/>
      <c r="O843" s="296"/>
      <c r="W843" s="253"/>
      <c r="AE843" s="370" t="str">
        <f t="shared" si="114"/>
        <v>|::</v>
      </c>
      <c r="AG843" s="296" t="s">
        <v>321</v>
      </c>
    </row>
    <row r="844" spans="6:33" ht="24" customHeight="1">
      <c r="H844" s="296" t="s">
        <v>891</v>
      </c>
      <c r="N844" s="296"/>
      <c r="O844" s="296"/>
      <c r="W844" s="253"/>
      <c r="AE844" s="370">
        <f t="shared" si="114"/>
        <v>0</v>
      </c>
    </row>
    <row r="845" spans="6:33" ht="24" customHeight="1">
      <c r="H845" s="296" t="s">
        <v>892</v>
      </c>
      <c r="W845" s="253"/>
      <c r="AE845" s="370">
        <f t="shared" si="114"/>
        <v>0</v>
      </c>
    </row>
    <row r="846" spans="6:33" ht="24" customHeight="1">
      <c r="H846" s="296" t="s">
        <v>1721</v>
      </c>
      <c r="R846" s="358"/>
      <c r="W846" s="253"/>
      <c r="AE846" s="370">
        <f t="shared" si="114"/>
        <v>0</v>
      </c>
    </row>
    <row r="847" spans="6:33" ht="24" customHeight="1">
      <c r="H847" s="296" t="s">
        <v>93</v>
      </c>
      <c r="O847" s="253"/>
      <c r="W847" s="253"/>
      <c r="AE847" s="370" t="str">
        <f t="shared" si="114"/>
        <v>|</v>
      </c>
      <c r="AG847" s="296" t="s">
        <v>2259</v>
      </c>
    </row>
    <row r="848" spans="6:33" ht="24" customHeight="1">
      <c r="H848" s="296" t="s">
        <v>94</v>
      </c>
      <c r="R848" s="358"/>
      <c r="W848" s="253"/>
      <c r="AE848" s="370" t="str">
        <f t="shared" si="114"/>
        <v>|</v>
      </c>
      <c r="AG848" s="296" t="s">
        <v>2259</v>
      </c>
    </row>
    <row r="849" spans="6:33" ht="24" customHeight="1">
      <c r="H849" s="296" t="s">
        <v>95</v>
      </c>
      <c r="O849" s="274" t="s">
        <v>4388</v>
      </c>
      <c r="R849" s="358"/>
      <c r="W849" s="253"/>
      <c r="AE849" s="370" t="str">
        <f t="shared" si="114"/>
        <v>|</v>
      </c>
      <c r="AG849" s="296" t="s">
        <v>2259</v>
      </c>
    </row>
    <row r="850" spans="6:33" ht="24" customHeight="1">
      <c r="H850" s="296" t="s">
        <v>96</v>
      </c>
      <c r="O850" s="253" t="s">
        <v>1743</v>
      </c>
      <c r="R850" s="358"/>
      <c r="W850" s="253"/>
      <c r="AE850" s="370" t="str">
        <f t="shared" si="114"/>
        <v>|</v>
      </c>
      <c r="AG850" s="296" t="s">
        <v>2259</v>
      </c>
    </row>
    <row r="851" spans="6:33" ht="24" customHeight="1">
      <c r="H851" s="296" t="s">
        <v>2053</v>
      </c>
      <c r="R851" s="358"/>
      <c r="W851" s="253"/>
      <c r="AE851" s="370" t="str">
        <f t="shared" si="114"/>
        <v>|</v>
      </c>
      <c r="AG851" s="296" t="s">
        <v>2259</v>
      </c>
    </row>
    <row r="852" spans="6:33" ht="24" customHeight="1">
      <c r="H852" s="296" t="s">
        <v>1028</v>
      </c>
      <c r="M852" s="400">
        <v>6.5000000000000002E-2</v>
      </c>
      <c r="N852" s="252" t="s">
        <v>869</v>
      </c>
      <c r="O852" s="296" t="s">
        <v>2073</v>
      </c>
      <c r="P852" s="252">
        <f>I859</f>
        <v>7681.28</v>
      </c>
      <c r="Q852" s="296" t="s">
        <v>869</v>
      </c>
      <c r="R852" s="252">
        <f>P852*M852</f>
        <v>499.28</v>
      </c>
      <c r="W852" s="253"/>
      <c r="AE852" s="370" t="str">
        <f t="shared" si="114"/>
        <v>|</v>
      </c>
      <c r="AG852" s="296" t="s">
        <v>2259</v>
      </c>
    </row>
    <row r="853" spans="6:33" ht="24" customHeight="1">
      <c r="H853" s="296" t="s">
        <v>1778</v>
      </c>
      <c r="M853" s="438">
        <v>8.4499999999999993</v>
      </c>
      <c r="N853" s="252" t="s">
        <v>1645</v>
      </c>
      <c r="O853" s="296" t="s">
        <v>2074</v>
      </c>
      <c r="P853" s="252">
        <f t="shared" ref="P853:P862" si="117">I860</f>
        <v>88873.5</v>
      </c>
      <c r="Q853" s="296" t="s">
        <v>861</v>
      </c>
      <c r="R853" s="252">
        <f>P853*M853/1000</f>
        <v>750.98</v>
      </c>
      <c r="W853" s="253"/>
      <c r="AE853" s="370" t="str">
        <f t="shared" si="114"/>
        <v>|</v>
      </c>
      <c r="AG853" s="296" t="s">
        <v>2259</v>
      </c>
    </row>
    <row r="854" spans="6:33" ht="24" customHeight="1">
      <c r="H854" s="296" t="s">
        <v>1779</v>
      </c>
      <c r="M854" s="252">
        <v>3</v>
      </c>
      <c r="N854" s="252" t="s">
        <v>868</v>
      </c>
      <c r="O854" s="296" t="s">
        <v>1186</v>
      </c>
      <c r="P854" s="252">
        <f t="shared" si="117"/>
        <v>14.8</v>
      </c>
      <c r="Q854" s="296" t="s">
        <v>868</v>
      </c>
      <c r="R854" s="252">
        <f t="shared" ref="R854:R861" si="118">P854*M854</f>
        <v>44.4</v>
      </c>
      <c r="W854" s="253"/>
      <c r="AE854" s="370" t="str">
        <f t="shared" si="114"/>
        <v>|</v>
      </c>
      <c r="AG854" s="296" t="s">
        <v>2259</v>
      </c>
    </row>
    <row r="855" spans="6:33" ht="24" customHeight="1">
      <c r="M855" s="252">
        <v>12</v>
      </c>
      <c r="N855" s="252" t="s">
        <v>868</v>
      </c>
      <c r="O855" s="296" t="s">
        <v>1187</v>
      </c>
      <c r="P855" s="252">
        <f t="shared" si="117"/>
        <v>2</v>
      </c>
      <c r="Q855" s="296" t="s">
        <v>868</v>
      </c>
      <c r="R855" s="252">
        <f t="shared" si="118"/>
        <v>24</v>
      </c>
      <c r="W855" s="253"/>
      <c r="AE855" s="370" t="str">
        <f t="shared" si="114"/>
        <v>|</v>
      </c>
      <c r="AG855" s="296" t="s">
        <v>2259</v>
      </c>
    </row>
    <row r="856" spans="6:33" ht="24" customHeight="1">
      <c r="M856" s="252">
        <v>2</v>
      </c>
      <c r="N856" s="252" t="s">
        <v>868</v>
      </c>
      <c r="O856" s="296" t="s">
        <v>1188</v>
      </c>
      <c r="P856" s="252">
        <f t="shared" si="117"/>
        <v>4.9000000000000004</v>
      </c>
      <c r="Q856" s="296" t="s">
        <v>868</v>
      </c>
      <c r="R856" s="252">
        <f t="shared" si="118"/>
        <v>9.8000000000000007</v>
      </c>
      <c r="W856" s="253"/>
      <c r="AE856" s="370" t="str">
        <f t="shared" si="114"/>
        <v>|</v>
      </c>
      <c r="AG856" s="296" t="s">
        <v>2259</v>
      </c>
    </row>
    <row r="857" spans="6:33" ht="24" customHeight="1">
      <c r="G857" s="252" t="s">
        <v>316</v>
      </c>
      <c r="H857" s="253" t="s">
        <v>1776</v>
      </c>
      <c r="M857" s="252">
        <v>6</v>
      </c>
      <c r="N857" s="252" t="s">
        <v>868</v>
      </c>
      <c r="O857" s="296" t="s">
        <v>2220</v>
      </c>
      <c r="P857" s="252">
        <f t="shared" si="117"/>
        <v>4.45</v>
      </c>
      <c r="Q857" s="296" t="s">
        <v>868</v>
      </c>
      <c r="R857" s="252">
        <f t="shared" si="118"/>
        <v>26.7</v>
      </c>
      <c r="S857" s="252"/>
      <c r="T857" s="252" t="s">
        <v>316</v>
      </c>
      <c r="U857" s="253" t="s">
        <v>3757</v>
      </c>
      <c r="W857" s="253"/>
      <c r="AE857" s="370" t="str">
        <f t="shared" si="114"/>
        <v>|</v>
      </c>
      <c r="AG857" s="296" t="s">
        <v>2259</v>
      </c>
    </row>
    <row r="858" spans="6:33" ht="24" customHeight="1">
      <c r="H858" s="253" t="s">
        <v>1781</v>
      </c>
      <c r="M858" s="252">
        <v>1</v>
      </c>
      <c r="N858" s="252" t="s">
        <v>868</v>
      </c>
      <c r="O858" s="296" t="s">
        <v>1193</v>
      </c>
      <c r="P858" s="252">
        <f t="shared" si="117"/>
        <v>999</v>
      </c>
      <c r="Q858" s="296" t="s">
        <v>868</v>
      </c>
      <c r="R858" s="252">
        <f t="shared" si="118"/>
        <v>999</v>
      </c>
      <c r="S858" s="252"/>
      <c r="U858" s="253" t="s">
        <v>1781</v>
      </c>
      <c r="W858" s="253"/>
      <c r="AE858" s="370" t="str">
        <f t="shared" si="114"/>
        <v>|</v>
      </c>
      <c r="AG858" s="296" t="s">
        <v>2259</v>
      </c>
    </row>
    <row r="859" spans="6:33" ht="24" customHeight="1">
      <c r="F859" s="400">
        <v>3.8100000000000002E-2</v>
      </c>
      <c r="G859" s="252" t="s">
        <v>869</v>
      </c>
      <c r="H859" s="296" t="s">
        <v>6045</v>
      </c>
      <c r="I859" s="252">
        <f>I877</f>
        <v>7681.28</v>
      </c>
      <c r="J859" s="296" t="s">
        <v>869</v>
      </c>
      <c r="K859" s="252">
        <f>F859*I859</f>
        <v>292.66000000000003</v>
      </c>
      <c r="M859" s="252">
        <v>1</v>
      </c>
      <c r="N859" s="252" t="s">
        <v>868</v>
      </c>
      <c r="O859" s="296" t="s">
        <v>1194</v>
      </c>
      <c r="P859" s="252">
        <f t="shared" si="117"/>
        <v>651</v>
      </c>
      <c r="Q859" s="296" t="s">
        <v>868</v>
      </c>
      <c r="R859" s="252">
        <f t="shared" si="118"/>
        <v>651</v>
      </c>
      <c r="S859" s="400">
        <v>4.9500000000000002E-2</v>
      </c>
      <c r="T859" s="252" t="s">
        <v>869</v>
      </c>
      <c r="U859" s="296" t="s">
        <v>2073</v>
      </c>
      <c r="V859" s="252">
        <f>I859</f>
        <v>7681.28</v>
      </c>
      <c r="W859" s="253" t="s">
        <v>869</v>
      </c>
      <c r="X859" s="252">
        <f>S859*V859</f>
        <v>380.22</v>
      </c>
      <c r="AE859" s="370" t="str">
        <f t="shared" si="114"/>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17"/>
        <v>25</v>
      </c>
      <c r="Q860" s="296" t="s">
        <v>868</v>
      </c>
      <c r="R860" s="252">
        <f t="shared" si="118"/>
        <v>25</v>
      </c>
      <c r="S860" s="377">
        <v>5.66</v>
      </c>
      <c r="T860" s="252" t="s">
        <v>1645</v>
      </c>
      <c r="U860" s="296" t="s">
        <v>2074</v>
      </c>
      <c r="V860" s="252">
        <f t="shared" ref="V860:V868" si="119">I860</f>
        <v>88873.5</v>
      </c>
      <c r="W860" s="253" t="s">
        <v>861</v>
      </c>
      <c r="X860" s="252">
        <f>S860*V860/1000</f>
        <v>503.02</v>
      </c>
      <c r="AE860" s="370" t="str">
        <f t="shared" si="114"/>
        <v>|</v>
      </c>
      <c r="AG860" s="296" t="s">
        <v>2259</v>
      </c>
    </row>
    <row r="861" spans="6:33" ht="24" customHeight="1">
      <c r="F861" s="252">
        <v>3</v>
      </c>
      <c r="G861" s="252" t="s">
        <v>868</v>
      </c>
      <c r="H861" s="439" t="s">
        <v>1186</v>
      </c>
      <c r="I861" s="399">
        <v>14.8</v>
      </c>
      <c r="J861" s="296" t="s">
        <v>868</v>
      </c>
      <c r="K861" s="252">
        <f t="shared" ref="K861:K868" si="120">F861*I861</f>
        <v>44.4</v>
      </c>
      <c r="M861" s="252">
        <v>0.5</v>
      </c>
      <c r="N861" s="252" t="s">
        <v>868</v>
      </c>
      <c r="O861" s="296" t="s">
        <v>1196</v>
      </c>
      <c r="P861" s="252">
        <f t="shared" si="117"/>
        <v>534</v>
      </c>
      <c r="Q861" s="296" t="s">
        <v>868</v>
      </c>
      <c r="R861" s="252">
        <f t="shared" si="118"/>
        <v>267</v>
      </c>
      <c r="S861" s="252">
        <v>3</v>
      </c>
      <c r="T861" s="252" t="s">
        <v>868</v>
      </c>
      <c r="U861" s="296" t="s">
        <v>1186</v>
      </c>
      <c r="V861" s="252">
        <f t="shared" si="119"/>
        <v>14.8</v>
      </c>
      <c r="W861" s="253" t="s">
        <v>868</v>
      </c>
      <c r="X861" s="252">
        <f t="shared" ref="X861:X868" si="121">S861*V861</f>
        <v>44.4</v>
      </c>
      <c r="AE861" s="370" t="str">
        <f t="shared" si="114"/>
        <v>|</v>
      </c>
      <c r="AG861" s="296" t="s">
        <v>2259</v>
      </c>
    </row>
    <row r="862" spans="6:33" ht="24" customHeight="1">
      <c r="F862" s="252">
        <v>12</v>
      </c>
      <c r="G862" s="252" t="s">
        <v>868</v>
      </c>
      <c r="H862" s="439" t="s">
        <v>1187</v>
      </c>
      <c r="I862" s="399">
        <v>2</v>
      </c>
      <c r="J862" s="296" t="s">
        <v>868</v>
      </c>
      <c r="K862" s="252">
        <f t="shared" si="120"/>
        <v>24</v>
      </c>
      <c r="N862" s="252" t="s">
        <v>449</v>
      </c>
      <c r="O862" s="296" t="s">
        <v>2139</v>
      </c>
      <c r="P862" s="252">
        <f t="shared" si="117"/>
        <v>0</v>
      </c>
      <c r="Q862" s="296" t="s">
        <v>449</v>
      </c>
      <c r="R862" s="252">
        <v>2.1</v>
      </c>
      <c r="S862" s="252">
        <v>12</v>
      </c>
      <c r="T862" s="252" t="s">
        <v>868</v>
      </c>
      <c r="U862" s="296" t="s">
        <v>1187</v>
      </c>
      <c r="V862" s="252">
        <f t="shared" si="119"/>
        <v>2</v>
      </c>
      <c r="W862" s="253" t="s">
        <v>868</v>
      </c>
      <c r="X862" s="252">
        <f t="shared" si="121"/>
        <v>24</v>
      </c>
      <c r="AE862" s="370" t="str">
        <f t="shared" si="114"/>
        <v>|</v>
      </c>
      <c r="AG862" s="296" t="s">
        <v>2259</v>
      </c>
    </row>
    <row r="863" spans="6:33" ht="24" customHeight="1">
      <c r="F863" s="252">
        <v>2</v>
      </c>
      <c r="G863" s="252" t="s">
        <v>868</v>
      </c>
      <c r="H863" s="439" t="s">
        <v>1188</v>
      </c>
      <c r="I863" s="399">
        <v>4.9000000000000004</v>
      </c>
      <c r="J863" s="296" t="s">
        <v>868</v>
      </c>
      <c r="K863" s="252">
        <f t="shared" si="120"/>
        <v>9.8000000000000007</v>
      </c>
      <c r="Q863" s="296"/>
      <c r="R863" s="358" t="s">
        <v>1586</v>
      </c>
      <c r="S863" s="252">
        <v>2</v>
      </c>
      <c r="T863" s="252" t="s">
        <v>868</v>
      </c>
      <c r="U863" s="296" t="s">
        <v>1188</v>
      </c>
      <c r="V863" s="252">
        <f t="shared" si="119"/>
        <v>4.9000000000000004</v>
      </c>
      <c r="W863" s="253" t="s">
        <v>868</v>
      </c>
      <c r="X863" s="252">
        <f t="shared" si="121"/>
        <v>9.8000000000000007</v>
      </c>
      <c r="AE863" s="370" t="str">
        <f t="shared" si="114"/>
        <v>|</v>
      </c>
      <c r="AG863" s="296" t="s">
        <v>2259</v>
      </c>
    </row>
    <row r="864" spans="6:33" ht="24" customHeight="1">
      <c r="F864" s="252">
        <v>6</v>
      </c>
      <c r="G864" s="252" t="s">
        <v>868</v>
      </c>
      <c r="H864" s="439" t="s">
        <v>2220</v>
      </c>
      <c r="I864" s="399">
        <v>4.45</v>
      </c>
      <c r="J864" s="296" t="s">
        <v>868</v>
      </c>
      <c r="K864" s="252">
        <f t="shared" si="120"/>
        <v>26.7</v>
      </c>
      <c r="O864" s="255" t="s">
        <v>283</v>
      </c>
      <c r="Q864" s="296"/>
      <c r="R864" s="274">
        <f>SUM(R852:R862)</f>
        <v>3299.26</v>
      </c>
      <c r="S864" s="252">
        <v>6</v>
      </c>
      <c r="T864" s="252" t="s">
        <v>868</v>
      </c>
      <c r="U864" s="296" t="s">
        <v>2220</v>
      </c>
      <c r="V864" s="252">
        <f t="shared" si="119"/>
        <v>4.45</v>
      </c>
      <c r="W864" s="253" t="s">
        <v>868</v>
      </c>
      <c r="X864" s="252">
        <f t="shared" si="121"/>
        <v>26.7</v>
      </c>
      <c r="AE864" s="370" t="str">
        <f t="shared" si="114"/>
        <v>|</v>
      </c>
      <c r="AG864" s="296" t="s">
        <v>2259</v>
      </c>
    </row>
    <row r="865" spans="2:33" ht="24" customHeight="1">
      <c r="F865" s="252">
        <v>1</v>
      </c>
      <c r="G865" s="252" t="s">
        <v>868</v>
      </c>
      <c r="H865" s="296" t="s">
        <v>1193</v>
      </c>
      <c r="I865" s="252">
        <f>C10</f>
        <v>999</v>
      </c>
      <c r="J865" s="296" t="s">
        <v>868</v>
      </c>
      <c r="K865" s="252">
        <f t="shared" si="120"/>
        <v>999</v>
      </c>
      <c r="Q865" s="296"/>
      <c r="R865" s="358" t="s">
        <v>1586</v>
      </c>
      <c r="S865" s="252">
        <v>1</v>
      </c>
      <c r="T865" s="252" t="s">
        <v>868</v>
      </c>
      <c r="U865" s="296" t="s">
        <v>1193</v>
      </c>
      <c r="V865" s="252">
        <f t="shared" si="119"/>
        <v>999</v>
      </c>
      <c r="W865" s="253" t="s">
        <v>868</v>
      </c>
      <c r="X865" s="252">
        <f t="shared" si="121"/>
        <v>999</v>
      </c>
      <c r="AE865" s="370">
        <f t="shared" si="114"/>
        <v>0</v>
      </c>
      <c r="AG865" s="296"/>
    </row>
    <row r="866" spans="2:33" ht="24" customHeight="1">
      <c r="F866" s="252">
        <v>1</v>
      </c>
      <c r="G866" s="252" t="s">
        <v>868</v>
      </c>
      <c r="H866" s="296" t="s">
        <v>1194</v>
      </c>
      <c r="I866" s="252">
        <f>C12</f>
        <v>651</v>
      </c>
      <c r="J866" s="296" t="s">
        <v>868</v>
      </c>
      <c r="K866" s="252">
        <f t="shared" si="120"/>
        <v>651</v>
      </c>
      <c r="S866" s="252">
        <v>1</v>
      </c>
      <c r="T866" s="252" t="s">
        <v>868</v>
      </c>
      <c r="U866" s="296" t="s">
        <v>1194</v>
      </c>
      <c r="V866" s="252">
        <f t="shared" si="119"/>
        <v>651</v>
      </c>
      <c r="W866" s="253" t="s">
        <v>868</v>
      </c>
      <c r="X866" s="252">
        <f t="shared" si="121"/>
        <v>651</v>
      </c>
      <c r="AE866" s="370">
        <f t="shared" si="114"/>
        <v>0</v>
      </c>
      <c r="AG866" s="296"/>
    </row>
    <row r="867" spans="2:33" ht="24" customHeight="1">
      <c r="F867" s="252">
        <v>1</v>
      </c>
      <c r="G867" s="252" t="s">
        <v>868</v>
      </c>
      <c r="H867" s="439" t="s">
        <v>1195</v>
      </c>
      <c r="I867" s="399">
        <v>25</v>
      </c>
      <c r="J867" s="296" t="s">
        <v>868</v>
      </c>
      <c r="K867" s="252">
        <f t="shared" si="120"/>
        <v>25</v>
      </c>
      <c r="R867" s="358"/>
      <c r="S867" s="252">
        <v>1</v>
      </c>
      <c r="T867" s="252" t="s">
        <v>868</v>
      </c>
      <c r="U867" s="296" t="s">
        <v>1195</v>
      </c>
      <c r="V867" s="252">
        <f t="shared" si="119"/>
        <v>25</v>
      </c>
      <c r="W867" s="253" t="s">
        <v>868</v>
      </c>
      <c r="X867" s="252">
        <f t="shared" si="121"/>
        <v>25</v>
      </c>
      <c r="AE867" s="370">
        <f t="shared" si="114"/>
        <v>0</v>
      </c>
      <c r="AG867" s="296"/>
    </row>
    <row r="868" spans="2:33" ht="24" customHeight="1">
      <c r="F868" s="252">
        <v>0.5</v>
      </c>
      <c r="G868" s="252" t="s">
        <v>868</v>
      </c>
      <c r="H868" s="296" t="s">
        <v>1196</v>
      </c>
      <c r="I868" s="252">
        <f>C13</f>
        <v>534</v>
      </c>
      <c r="J868" s="296" t="s">
        <v>868</v>
      </c>
      <c r="K868" s="252">
        <f t="shared" si="120"/>
        <v>267</v>
      </c>
      <c r="R868" s="296" t="s">
        <v>975</v>
      </c>
      <c r="S868" s="252">
        <v>0.5</v>
      </c>
      <c r="T868" s="252" t="s">
        <v>868</v>
      </c>
      <c r="U868" s="296" t="s">
        <v>1196</v>
      </c>
      <c r="V868" s="252">
        <f t="shared" si="119"/>
        <v>534</v>
      </c>
      <c r="W868" s="253" t="s">
        <v>868</v>
      </c>
      <c r="X868" s="252">
        <f t="shared" si="121"/>
        <v>267</v>
      </c>
      <c r="AE868" s="370">
        <f t="shared" si="114"/>
        <v>0</v>
      </c>
      <c r="AG868" s="296"/>
    </row>
    <row r="869" spans="2:33" ht="24" customHeight="1">
      <c r="G869" s="252" t="s">
        <v>449</v>
      </c>
      <c r="H869" s="296" t="s">
        <v>2139</v>
      </c>
      <c r="J869" s="296" t="s">
        <v>449</v>
      </c>
      <c r="K869" s="252">
        <v>1.1299999999999999</v>
      </c>
      <c r="N869" s="296"/>
      <c r="O869" s="296"/>
      <c r="S869" s="252"/>
      <c r="T869" s="252" t="s">
        <v>449</v>
      </c>
      <c r="U869" s="296" t="s">
        <v>2139</v>
      </c>
      <c r="W869" s="253" t="s">
        <v>449</v>
      </c>
      <c r="X869" s="252">
        <v>0.06</v>
      </c>
      <c r="AE869" s="370">
        <f t="shared" si="114"/>
        <v>0</v>
      </c>
      <c r="AG869" s="296"/>
    </row>
    <row r="870" spans="2:33" ht="24" customHeight="1">
      <c r="K870" s="358" t="s">
        <v>1586</v>
      </c>
      <c r="O870" s="296"/>
      <c r="S870" s="252"/>
      <c r="W870" s="253"/>
      <c r="X870" s="358" t="s">
        <v>1586</v>
      </c>
      <c r="AE870" s="370">
        <f t="shared" si="114"/>
        <v>0</v>
      </c>
      <c r="AG870" s="296"/>
    </row>
    <row r="871" spans="2:33" ht="24" customHeight="1">
      <c r="H871" s="255" t="s">
        <v>283</v>
      </c>
      <c r="K871" s="274">
        <f>SUM(K859:K869)</f>
        <v>2785.95</v>
      </c>
      <c r="N871" s="296"/>
      <c r="O871" s="296"/>
      <c r="S871" s="252"/>
      <c r="U871" s="255" t="s">
        <v>283</v>
      </c>
      <c r="W871" s="253"/>
      <c r="X871" s="274">
        <f>SUM(X859:X869)</f>
        <v>2930.2</v>
      </c>
      <c r="AE871" s="370">
        <f t="shared" si="114"/>
        <v>0</v>
      </c>
      <c r="AG871" s="296"/>
    </row>
    <row r="872" spans="2:33" ht="24" customHeight="1">
      <c r="K872" s="358" t="s">
        <v>1586</v>
      </c>
      <c r="O872" s="296"/>
      <c r="W872" s="253"/>
      <c r="AE872" s="370">
        <f t="shared" si="114"/>
        <v>0</v>
      </c>
      <c r="AG872" s="296"/>
    </row>
    <row r="873" spans="2:33" ht="24" customHeight="1">
      <c r="O873" s="296"/>
      <c r="W873" s="253"/>
      <c r="AE873" s="370">
        <f t="shared" si="114"/>
        <v>0</v>
      </c>
      <c r="AG873" s="296"/>
    </row>
    <row r="874" spans="2:33" ht="24" customHeight="1">
      <c r="N874" s="296"/>
      <c r="O874" s="296"/>
      <c r="W874" s="253"/>
      <c r="AE874" s="370">
        <f t="shared" si="114"/>
        <v>0</v>
      </c>
      <c r="AG874" s="296"/>
    </row>
    <row r="875" spans="2:33" ht="24" customHeight="1">
      <c r="G875" s="252" t="s">
        <v>1907</v>
      </c>
      <c r="H875" s="253" t="s">
        <v>1780</v>
      </c>
      <c r="N875" s="296"/>
      <c r="O875" s="296"/>
      <c r="S875" s="252"/>
      <c r="T875" s="252" t="s">
        <v>316</v>
      </c>
      <c r="U875" s="253" t="s">
        <v>3758</v>
      </c>
      <c r="W875" s="253"/>
      <c r="AE875" s="370">
        <f t="shared" si="114"/>
        <v>0</v>
      </c>
      <c r="AG875" s="296"/>
    </row>
    <row r="876" spans="2:33" ht="24" customHeight="1">
      <c r="H876" s="253" t="s">
        <v>1781</v>
      </c>
      <c r="N876" s="296"/>
      <c r="O876" s="296"/>
      <c r="S876" s="252"/>
      <c r="U876" s="253" t="s">
        <v>1781</v>
      </c>
      <c r="W876" s="253"/>
      <c r="AE876" s="370">
        <f t="shared" si="114"/>
        <v>0</v>
      </c>
      <c r="AG876" s="296"/>
    </row>
    <row r="877" spans="2:33" ht="64.5" customHeight="1">
      <c r="B877" s="389" t="s">
        <v>6121</v>
      </c>
      <c r="C877" s="252">
        <f>Y688</f>
        <v>8225.5400000000009</v>
      </c>
      <c r="F877" s="400">
        <v>3.6799999999999999E-2</v>
      </c>
      <c r="G877" s="252" t="s">
        <v>869</v>
      </c>
      <c r="H877" s="389" t="s">
        <v>6121</v>
      </c>
      <c r="I877" s="252">
        <f>Z718</f>
        <v>7681.28</v>
      </c>
      <c r="J877" s="296" t="s">
        <v>869</v>
      </c>
      <c r="K877" s="252">
        <f>F877*I877</f>
        <v>282.67</v>
      </c>
      <c r="N877" s="296"/>
      <c r="O877" s="296"/>
      <c r="S877" s="400">
        <v>5.4699999999999999E-2</v>
      </c>
      <c r="T877" s="252" t="s">
        <v>869</v>
      </c>
      <c r="U877" s="296" t="s">
        <v>2073</v>
      </c>
      <c r="V877" s="252">
        <f>I877</f>
        <v>7681.28</v>
      </c>
      <c r="W877" s="253" t="s">
        <v>869</v>
      </c>
      <c r="X877" s="252">
        <f>S877*V877</f>
        <v>420.17</v>
      </c>
      <c r="AE877" s="370">
        <f t="shared" ref="AE877:AE949" si="122">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296" t="s">
        <v>2074</v>
      </c>
      <c r="V878" s="252">
        <f t="shared" ref="V878:V886" si="123">I878</f>
        <v>88873.5</v>
      </c>
      <c r="W878" s="253" t="s">
        <v>861</v>
      </c>
      <c r="X878" s="252">
        <f>S878*V878/1000</f>
        <v>547.46</v>
      </c>
      <c r="AE878" s="370">
        <f t="shared" si="122"/>
        <v>0</v>
      </c>
      <c r="AG878" s="296"/>
    </row>
    <row r="879" spans="2:33" ht="24" customHeight="1">
      <c r="F879" s="252">
        <v>3</v>
      </c>
      <c r="G879" s="252" t="s">
        <v>868</v>
      </c>
      <c r="H879" s="296" t="s">
        <v>1186</v>
      </c>
      <c r="I879" s="434">
        <f>I861</f>
        <v>14.8</v>
      </c>
      <c r="J879" s="296" t="s">
        <v>868</v>
      </c>
      <c r="K879" s="252">
        <f t="shared" ref="K879:K886" si="124">F879*I879</f>
        <v>44.4</v>
      </c>
      <c r="N879" s="296"/>
      <c r="O879" s="296"/>
      <c r="S879" s="252">
        <v>3</v>
      </c>
      <c r="T879" s="252" t="s">
        <v>868</v>
      </c>
      <c r="U879" s="296" t="s">
        <v>1186</v>
      </c>
      <c r="V879" s="252">
        <f t="shared" si="123"/>
        <v>14.8</v>
      </c>
      <c r="W879" s="253" t="s">
        <v>868</v>
      </c>
      <c r="X879" s="252">
        <f t="shared" ref="X879:X886" si="125">S879*V879</f>
        <v>44.4</v>
      </c>
      <c r="AE879" s="370">
        <f t="shared" si="122"/>
        <v>0</v>
      </c>
      <c r="AG879" s="296"/>
    </row>
    <row r="880" spans="2:33" ht="24" customHeight="1">
      <c r="F880" s="252">
        <v>12</v>
      </c>
      <c r="G880" s="252" t="s">
        <v>868</v>
      </c>
      <c r="H880" s="296" t="s">
        <v>1187</v>
      </c>
      <c r="I880" s="434">
        <f>I862</f>
        <v>2</v>
      </c>
      <c r="J880" s="296" t="s">
        <v>868</v>
      </c>
      <c r="K880" s="252">
        <f t="shared" si="124"/>
        <v>24</v>
      </c>
      <c r="N880" s="296"/>
      <c r="O880" s="296"/>
      <c r="S880" s="252">
        <v>12</v>
      </c>
      <c r="T880" s="252" t="s">
        <v>868</v>
      </c>
      <c r="U880" s="296" t="s">
        <v>1187</v>
      </c>
      <c r="V880" s="252">
        <f t="shared" si="123"/>
        <v>2</v>
      </c>
      <c r="W880" s="253" t="s">
        <v>868</v>
      </c>
      <c r="X880" s="252">
        <f t="shared" si="125"/>
        <v>24</v>
      </c>
      <c r="AE880" s="370">
        <f t="shared" si="122"/>
        <v>0</v>
      </c>
      <c r="AG880" s="296"/>
    </row>
    <row r="881" spans="6:33" ht="24" customHeight="1">
      <c r="F881" s="252">
        <v>2</v>
      </c>
      <c r="G881" s="252" t="s">
        <v>868</v>
      </c>
      <c r="H881" s="296" t="s">
        <v>1188</v>
      </c>
      <c r="I881" s="434">
        <f>I863</f>
        <v>4.9000000000000004</v>
      </c>
      <c r="J881" s="296" t="s">
        <v>868</v>
      </c>
      <c r="K881" s="252">
        <f t="shared" si="124"/>
        <v>9.8000000000000007</v>
      </c>
      <c r="S881" s="252">
        <v>2</v>
      </c>
      <c r="T881" s="252" t="s">
        <v>868</v>
      </c>
      <c r="U881" s="296" t="s">
        <v>1188</v>
      </c>
      <c r="V881" s="252">
        <f t="shared" si="123"/>
        <v>4.9000000000000004</v>
      </c>
      <c r="W881" s="253" t="s">
        <v>868</v>
      </c>
      <c r="X881" s="252">
        <f t="shared" si="125"/>
        <v>9.8000000000000007</v>
      </c>
      <c r="AE881" s="370">
        <f t="shared" si="122"/>
        <v>0</v>
      </c>
      <c r="AG881" s="296"/>
    </row>
    <row r="882" spans="6:33" ht="24" customHeight="1">
      <c r="F882" s="252">
        <v>6</v>
      </c>
      <c r="G882" s="252" t="s">
        <v>868</v>
      </c>
      <c r="H882" s="296" t="s">
        <v>2220</v>
      </c>
      <c r="I882" s="434">
        <f>I864</f>
        <v>4.45</v>
      </c>
      <c r="J882" s="296" t="s">
        <v>868</v>
      </c>
      <c r="K882" s="252">
        <f t="shared" si="124"/>
        <v>26.7</v>
      </c>
      <c r="R882" s="358"/>
      <c r="S882" s="252">
        <v>6</v>
      </c>
      <c r="T882" s="252" t="s">
        <v>868</v>
      </c>
      <c r="U882" s="296" t="s">
        <v>2220</v>
      </c>
      <c r="V882" s="252">
        <f t="shared" si="123"/>
        <v>4.45</v>
      </c>
      <c r="W882" s="253" t="s">
        <v>868</v>
      </c>
      <c r="X882" s="252">
        <f t="shared" si="125"/>
        <v>26.7</v>
      </c>
      <c r="AE882" s="370">
        <f t="shared" si="122"/>
        <v>0</v>
      </c>
      <c r="AG882" s="296"/>
    </row>
    <row r="883" spans="6:33" ht="24" customHeight="1">
      <c r="F883" s="252">
        <v>1</v>
      </c>
      <c r="G883" s="252" t="s">
        <v>868</v>
      </c>
      <c r="H883" s="296" t="s">
        <v>1193</v>
      </c>
      <c r="I883" s="252">
        <f>C10</f>
        <v>999</v>
      </c>
      <c r="J883" s="296" t="s">
        <v>868</v>
      </c>
      <c r="K883" s="252">
        <f t="shared" si="124"/>
        <v>999</v>
      </c>
      <c r="O883" s="253"/>
      <c r="S883" s="252">
        <v>1</v>
      </c>
      <c r="T883" s="252" t="s">
        <v>868</v>
      </c>
      <c r="U883" s="296" t="s">
        <v>1193</v>
      </c>
      <c r="V883" s="252">
        <f t="shared" si="123"/>
        <v>999</v>
      </c>
      <c r="W883" s="253" t="s">
        <v>868</v>
      </c>
      <c r="X883" s="252">
        <f t="shared" si="125"/>
        <v>999</v>
      </c>
      <c r="AE883" s="370">
        <f t="shared" si="122"/>
        <v>0</v>
      </c>
      <c r="AG883" s="296"/>
    </row>
    <row r="884" spans="6:33" ht="24" customHeight="1">
      <c r="F884" s="252">
        <v>1</v>
      </c>
      <c r="G884" s="252" t="s">
        <v>868</v>
      </c>
      <c r="H884" s="296" t="s">
        <v>1194</v>
      </c>
      <c r="I884" s="252">
        <f>C12</f>
        <v>651</v>
      </c>
      <c r="J884" s="296" t="s">
        <v>868</v>
      </c>
      <c r="K884" s="252">
        <f t="shared" si="124"/>
        <v>651</v>
      </c>
      <c r="R884" s="358"/>
      <c r="S884" s="252">
        <v>1</v>
      </c>
      <c r="T884" s="252" t="s">
        <v>868</v>
      </c>
      <c r="U884" s="296" t="s">
        <v>1194</v>
      </c>
      <c r="V884" s="252">
        <f t="shared" si="123"/>
        <v>651</v>
      </c>
      <c r="W884" s="253" t="s">
        <v>868</v>
      </c>
      <c r="X884" s="252">
        <f t="shared" si="125"/>
        <v>651</v>
      </c>
      <c r="AE884" s="370" t="str">
        <f t="shared" si="122"/>
        <v>|</v>
      </c>
      <c r="AG884" s="296" t="s">
        <v>2259</v>
      </c>
    </row>
    <row r="885" spans="6:33" ht="24" customHeight="1">
      <c r="F885" s="252">
        <v>1</v>
      </c>
      <c r="G885" s="252" t="s">
        <v>868</v>
      </c>
      <c r="H885" s="296" t="s">
        <v>1195</v>
      </c>
      <c r="I885" s="440">
        <v>25</v>
      </c>
      <c r="J885" s="296" t="s">
        <v>868</v>
      </c>
      <c r="K885" s="252">
        <f t="shared" si="124"/>
        <v>25</v>
      </c>
      <c r="S885" s="252">
        <v>1</v>
      </c>
      <c r="T885" s="252" t="s">
        <v>868</v>
      </c>
      <c r="U885" s="296" t="s">
        <v>1195</v>
      </c>
      <c r="V885" s="252">
        <f t="shared" si="123"/>
        <v>25</v>
      </c>
      <c r="W885" s="253" t="s">
        <v>868</v>
      </c>
      <c r="X885" s="252">
        <f t="shared" si="125"/>
        <v>25</v>
      </c>
      <c r="AE885" s="370" t="str">
        <f t="shared" si="122"/>
        <v>|</v>
      </c>
      <c r="AG885" s="296" t="s">
        <v>2259</v>
      </c>
    </row>
    <row r="886" spans="6:33" ht="24" customHeight="1">
      <c r="F886" s="252">
        <v>0.5</v>
      </c>
      <c r="G886" s="252" t="s">
        <v>868</v>
      </c>
      <c r="H886" s="296" t="s">
        <v>1196</v>
      </c>
      <c r="I886" s="252">
        <f>C13</f>
        <v>534</v>
      </c>
      <c r="J886" s="296" t="s">
        <v>868</v>
      </c>
      <c r="K886" s="252">
        <f t="shared" si="124"/>
        <v>267</v>
      </c>
      <c r="M886" s="253" t="s">
        <v>1105</v>
      </c>
      <c r="N886" s="296" t="s">
        <v>2251</v>
      </c>
      <c r="O886" s="296" t="s">
        <v>1106</v>
      </c>
      <c r="S886" s="252">
        <v>0.5</v>
      </c>
      <c r="T886" s="252" t="s">
        <v>868</v>
      </c>
      <c r="U886" s="296" t="s">
        <v>1196</v>
      </c>
      <c r="V886" s="252">
        <f t="shared" si="123"/>
        <v>534</v>
      </c>
      <c r="W886" s="253" t="s">
        <v>868</v>
      </c>
      <c r="X886" s="252">
        <f t="shared" si="125"/>
        <v>267</v>
      </c>
      <c r="AE886" s="370" t="str">
        <f t="shared" si="122"/>
        <v>|</v>
      </c>
      <c r="AG886" s="296" t="s">
        <v>2259</v>
      </c>
    </row>
    <row r="887" spans="6:33" ht="24" customHeight="1">
      <c r="G887" s="252" t="s">
        <v>449</v>
      </c>
      <c r="H887" s="296" t="s">
        <v>2139</v>
      </c>
      <c r="J887" s="296" t="s">
        <v>449</v>
      </c>
      <c r="K887" s="252">
        <v>1.98</v>
      </c>
      <c r="O887" s="296" t="s">
        <v>580</v>
      </c>
      <c r="S887" s="252"/>
      <c r="T887" s="252" t="s">
        <v>449</v>
      </c>
      <c r="U887" s="296" t="s">
        <v>2139</v>
      </c>
      <c r="W887" s="253" t="s">
        <v>449</v>
      </c>
      <c r="X887" s="252">
        <v>0.27</v>
      </c>
      <c r="AE887" s="370" t="str">
        <f t="shared" si="122"/>
        <v>|</v>
      </c>
      <c r="AG887" s="296" t="s">
        <v>2259</v>
      </c>
    </row>
    <row r="888" spans="6:33" ht="24" customHeight="1">
      <c r="K888" s="358" t="s">
        <v>1586</v>
      </c>
      <c r="O888" s="358" t="s">
        <v>1586</v>
      </c>
      <c r="P888" s="358" t="s">
        <v>1586</v>
      </c>
      <c r="S888" s="252"/>
      <c r="W888" s="253"/>
      <c r="X888" s="358" t="s">
        <v>1586</v>
      </c>
      <c r="AE888" s="370" t="str">
        <f t="shared" si="122"/>
        <v>|</v>
      </c>
      <c r="AG888" s="296" t="s">
        <v>2259</v>
      </c>
    </row>
    <row r="889" spans="6:33" ht="24" customHeight="1">
      <c r="H889" s="255" t="s">
        <v>283</v>
      </c>
      <c r="K889" s="274">
        <f>SUM(K877:K887)</f>
        <v>2764.36</v>
      </c>
      <c r="L889" s="252">
        <f>K889-1729</f>
        <v>1035.3599999999999</v>
      </c>
      <c r="O889" s="296" t="s">
        <v>581</v>
      </c>
      <c r="S889" s="252"/>
      <c r="U889" s="255" t="s">
        <v>283</v>
      </c>
      <c r="W889" s="253"/>
      <c r="X889" s="274">
        <f>SUM(X877:X887)</f>
        <v>3014.8</v>
      </c>
      <c r="AE889" s="370" t="str">
        <f t="shared" si="122"/>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2"/>
        <v>|</v>
      </c>
      <c r="AG890" s="296" t="s">
        <v>2259</v>
      </c>
    </row>
    <row r="891" spans="6:33" ht="24" customHeight="1">
      <c r="F891" s="253"/>
      <c r="G891" s="252" t="s">
        <v>520</v>
      </c>
      <c r="H891" s="253" t="s">
        <v>563</v>
      </c>
      <c r="K891" s="252">
        <f>K889-1800.2</f>
        <v>964.16</v>
      </c>
      <c r="M891" s="252">
        <v>0.25</v>
      </c>
      <c r="N891" s="253" t="s">
        <v>769</v>
      </c>
      <c r="O891" s="296" t="s">
        <v>878</v>
      </c>
      <c r="P891" s="252">
        <f>C12</f>
        <v>651</v>
      </c>
      <c r="Q891" s="253" t="s">
        <v>1716</v>
      </c>
      <c r="R891" s="252">
        <f>(M891*P891)</f>
        <v>162.75</v>
      </c>
      <c r="S891" s="252"/>
      <c r="T891" s="252" t="s">
        <v>316</v>
      </c>
      <c r="U891" s="253" t="s">
        <v>3759</v>
      </c>
      <c r="W891" s="253"/>
      <c r="AE891" s="370" t="str">
        <f t="shared" si="122"/>
        <v>|</v>
      </c>
      <c r="AG891" s="296" t="s">
        <v>2259</v>
      </c>
    </row>
    <row r="892" spans="6:33" ht="24" customHeight="1">
      <c r="H892" s="253" t="s">
        <v>1781</v>
      </c>
      <c r="R892" s="358" t="s">
        <v>1586</v>
      </c>
      <c r="S892" s="252"/>
      <c r="U892" s="253" t="s">
        <v>1781</v>
      </c>
      <c r="W892" s="253"/>
      <c r="AE892" s="370" t="str">
        <f t="shared" si="122"/>
        <v>|</v>
      </c>
      <c r="AG892" s="296" t="s">
        <v>2259</v>
      </c>
    </row>
    <row r="893" spans="6:33" ht="24" customHeight="1">
      <c r="F893" s="400">
        <v>3.5299999999999998E-2</v>
      </c>
      <c r="G893" s="252" t="s">
        <v>869</v>
      </c>
      <c r="H893" s="296" t="s">
        <v>2073</v>
      </c>
      <c r="I893" s="252">
        <f t="shared" ref="I893:I898" si="126">I877</f>
        <v>7681.28</v>
      </c>
      <c r="J893" s="296" t="s">
        <v>869</v>
      </c>
      <c r="K893" s="252">
        <f>F893*I893</f>
        <v>271.14999999999998</v>
      </c>
      <c r="O893" s="253" t="s">
        <v>1162</v>
      </c>
      <c r="R893" s="252">
        <f>SUM(R890:R891)</f>
        <v>650.75</v>
      </c>
      <c r="S893" s="400">
        <v>5.91E-2</v>
      </c>
      <c r="T893" s="252" t="s">
        <v>869</v>
      </c>
      <c r="U893" s="296" t="s">
        <v>2073</v>
      </c>
      <c r="V893" s="252">
        <f>V877</f>
        <v>7681.28</v>
      </c>
      <c r="W893" s="253" t="s">
        <v>869</v>
      </c>
      <c r="X893" s="252">
        <f>S893*V893</f>
        <v>453.96</v>
      </c>
      <c r="AE893" s="370" t="str">
        <f t="shared" si="122"/>
        <v>|</v>
      </c>
      <c r="AG893" s="296" t="s">
        <v>2259</v>
      </c>
    </row>
    <row r="894" spans="6:33" ht="24" customHeight="1">
      <c r="F894" s="252">
        <v>4.59</v>
      </c>
      <c r="G894" s="252" t="s">
        <v>1645</v>
      </c>
      <c r="H894" s="296" t="s">
        <v>2074</v>
      </c>
      <c r="I894" s="252">
        <f t="shared" si="126"/>
        <v>88873.5</v>
      </c>
      <c r="J894" s="296" t="s">
        <v>861</v>
      </c>
      <c r="K894" s="252">
        <f>F894*I894/1000</f>
        <v>407.93</v>
      </c>
      <c r="R894" s="358" t="s">
        <v>1586</v>
      </c>
      <c r="S894" s="377">
        <v>6.58</v>
      </c>
      <c r="T894" s="252" t="s">
        <v>1645</v>
      </c>
      <c r="U894" s="296" t="s">
        <v>2074</v>
      </c>
      <c r="V894" s="252">
        <f t="shared" ref="V894:V902" si="127">V878</f>
        <v>88873.5</v>
      </c>
      <c r="W894" s="253" t="s">
        <v>861</v>
      </c>
      <c r="X894" s="252">
        <f>S894*V894/1000</f>
        <v>584.79</v>
      </c>
      <c r="AE894" s="370" t="str">
        <f t="shared" si="122"/>
        <v>|</v>
      </c>
      <c r="AG894" s="296" t="s">
        <v>2259</v>
      </c>
    </row>
    <row r="895" spans="6:33" ht="24" customHeight="1">
      <c r="F895" s="252">
        <v>3</v>
      </c>
      <c r="G895" s="252" t="s">
        <v>868</v>
      </c>
      <c r="H895" s="296" t="s">
        <v>1186</v>
      </c>
      <c r="I895" s="434">
        <f t="shared" si="126"/>
        <v>14.8</v>
      </c>
      <c r="J895" s="296" t="s">
        <v>868</v>
      </c>
      <c r="K895" s="252">
        <f t="shared" ref="K895:K902" si="128">F895*I895</f>
        <v>44.4</v>
      </c>
      <c r="O895" s="253" t="s">
        <v>1163</v>
      </c>
      <c r="R895" s="252">
        <f>R893/0.0283</f>
        <v>22994.7</v>
      </c>
      <c r="S895" s="252">
        <v>3</v>
      </c>
      <c r="T895" s="252" t="s">
        <v>868</v>
      </c>
      <c r="U895" s="296" t="s">
        <v>1186</v>
      </c>
      <c r="V895" s="252">
        <f t="shared" si="127"/>
        <v>14.8</v>
      </c>
      <c r="W895" s="253" t="s">
        <v>868</v>
      </c>
      <c r="X895" s="252">
        <f t="shared" ref="X895:X902" si="129">S895*V895</f>
        <v>44.4</v>
      </c>
      <c r="AE895" s="370" t="str">
        <f t="shared" si="122"/>
        <v>|</v>
      </c>
      <c r="AG895" s="296" t="s">
        <v>2259</v>
      </c>
    </row>
    <row r="896" spans="6:33" ht="24" customHeight="1">
      <c r="F896" s="252">
        <v>12</v>
      </c>
      <c r="G896" s="252" t="s">
        <v>868</v>
      </c>
      <c r="H896" s="296" t="s">
        <v>1187</v>
      </c>
      <c r="I896" s="434">
        <f t="shared" si="126"/>
        <v>2</v>
      </c>
      <c r="J896" s="296" t="s">
        <v>868</v>
      </c>
      <c r="K896" s="252">
        <f t="shared" si="128"/>
        <v>24</v>
      </c>
      <c r="R896" s="358" t="s">
        <v>1586</v>
      </c>
      <c r="S896" s="252">
        <v>12</v>
      </c>
      <c r="T896" s="252" t="s">
        <v>868</v>
      </c>
      <c r="U896" s="296" t="s">
        <v>1187</v>
      </c>
      <c r="V896" s="252">
        <f t="shared" si="127"/>
        <v>2</v>
      </c>
      <c r="W896" s="253" t="s">
        <v>868</v>
      </c>
      <c r="X896" s="252">
        <f t="shared" si="129"/>
        <v>24</v>
      </c>
      <c r="AE896" s="370" t="str">
        <f t="shared" si="122"/>
        <v>|</v>
      </c>
      <c r="AG896" s="296" t="s">
        <v>2259</v>
      </c>
    </row>
    <row r="897" spans="6:33" ht="24" customHeight="1">
      <c r="F897" s="252">
        <v>2</v>
      </c>
      <c r="G897" s="252" t="s">
        <v>868</v>
      </c>
      <c r="H897" s="252" t="str">
        <f>H881</f>
        <v>TOWER BOLT RECEIVER</v>
      </c>
      <c r="I897" s="434">
        <f t="shared" si="126"/>
        <v>4.9000000000000004</v>
      </c>
      <c r="J897" s="296" t="s">
        <v>868</v>
      </c>
      <c r="K897" s="252">
        <f t="shared" si="128"/>
        <v>9.8000000000000007</v>
      </c>
      <c r="S897" s="252">
        <v>2</v>
      </c>
      <c r="T897" s="252" t="s">
        <v>868</v>
      </c>
      <c r="U897" s="296" t="s">
        <v>1188</v>
      </c>
      <c r="V897" s="252">
        <f t="shared" si="127"/>
        <v>4.9000000000000004</v>
      </c>
      <c r="W897" s="253" t="s">
        <v>868</v>
      </c>
      <c r="X897" s="252">
        <f t="shared" si="129"/>
        <v>9.8000000000000007</v>
      </c>
      <c r="AE897" s="370" t="str">
        <f t="shared" si="122"/>
        <v>|</v>
      </c>
      <c r="AG897" s="296" t="s">
        <v>2259</v>
      </c>
    </row>
    <row r="898" spans="6:33" ht="24" customHeight="1">
      <c r="F898" s="252">
        <v>6</v>
      </c>
      <c r="G898" s="252" t="s">
        <v>868</v>
      </c>
      <c r="H898" s="296" t="s">
        <v>2220</v>
      </c>
      <c r="I898" s="434">
        <f t="shared" si="126"/>
        <v>4.45</v>
      </c>
      <c r="J898" s="296" t="s">
        <v>868</v>
      </c>
      <c r="K898" s="252">
        <f t="shared" si="128"/>
        <v>26.7</v>
      </c>
      <c r="S898" s="252">
        <v>6</v>
      </c>
      <c r="T898" s="252" t="s">
        <v>868</v>
      </c>
      <c r="U898" s="296" t="s">
        <v>2220</v>
      </c>
      <c r="V898" s="252">
        <f t="shared" si="127"/>
        <v>4.45</v>
      </c>
      <c r="W898" s="253" t="s">
        <v>868</v>
      </c>
      <c r="X898" s="252">
        <f t="shared" si="129"/>
        <v>26.7</v>
      </c>
      <c r="AE898" s="370" t="str">
        <f t="shared" si="122"/>
        <v>|</v>
      </c>
      <c r="AG898" s="296" t="s">
        <v>2259</v>
      </c>
    </row>
    <row r="899" spans="6:33" ht="24" customHeight="1">
      <c r="F899" s="252">
        <v>1</v>
      </c>
      <c r="G899" s="252" t="s">
        <v>868</v>
      </c>
      <c r="H899" s="296" t="s">
        <v>1193</v>
      </c>
      <c r="I899" s="252">
        <f>C10</f>
        <v>999</v>
      </c>
      <c r="J899" s="296" t="s">
        <v>868</v>
      </c>
      <c r="K899" s="252">
        <f t="shared" si="128"/>
        <v>999</v>
      </c>
      <c r="S899" s="252">
        <v>1</v>
      </c>
      <c r="T899" s="252" t="s">
        <v>868</v>
      </c>
      <c r="U899" s="296" t="s">
        <v>1193</v>
      </c>
      <c r="V899" s="252">
        <f t="shared" si="127"/>
        <v>999</v>
      </c>
      <c r="W899" s="253" t="s">
        <v>868</v>
      </c>
      <c r="X899" s="252">
        <f t="shared" si="129"/>
        <v>999</v>
      </c>
      <c r="AE899" s="370" t="str">
        <f t="shared" si="122"/>
        <v>|</v>
      </c>
      <c r="AG899" s="296" t="s">
        <v>2259</v>
      </c>
    </row>
    <row r="900" spans="6:33" ht="24" customHeight="1">
      <c r="F900" s="252">
        <v>1</v>
      </c>
      <c r="G900" s="252" t="s">
        <v>868</v>
      </c>
      <c r="H900" s="296" t="s">
        <v>1194</v>
      </c>
      <c r="I900" s="252">
        <f>C12</f>
        <v>651</v>
      </c>
      <c r="J900" s="296" t="s">
        <v>868</v>
      </c>
      <c r="K900" s="252">
        <f t="shared" si="128"/>
        <v>651</v>
      </c>
      <c r="S900" s="252">
        <v>1</v>
      </c>
      <c r="T900" s="252" t="s">
        <v>868</v>
      </c>
      <c r="U900" s="296" t="s">
        <v>1194</v>
      </c>
      <c r="V900" s="252">
        <f t="shared" si="127"/>
        <v>651</v>
      </c>
      <c r="W900" s="253" t="s">
        <v>868</v>
      </c>
      <c r="X900" s="252">
        <f t="shared" si="129"/>
        <v>651</v>
      </c>
      <c r="AE900" s="370" t="str">
        <f t="shared" si="122"/>
        <v>|</v>
      </c>
      <c r="AG900" s="296" t="s">
        <v>2259</v>
      </c>
    </row>
    <row r="901" spans="6:33" ht="101.25" customHeight="1">
      <c r="F901" s="252">
        <v>1</v>
      </c>
      <c r="G901" s="252" t="s">
        <v>868</v>
      </c>
      <c r="H901" s="252" t="str">
        <f>H885</f>
        <v>MOULDING CHARGES</v>
      </c>
      <c r="I901" s="399">
        <v>25</v>
      </c>
      <c r="J901" s="296" t="s">
        <v>868</v>
      </c>
      <c r="K901" s="252">
        <f t="shared" si="128"/>
        <v>25</v>
      </c>
      <c r="S901" s="252">
        <v>1</v>
      </c>
      <c r="T901" s="252" t="s">
        <v>868</v>
      </c>
      <c r="U901" s="296" t="s">
        <v>1195</v>
      </c>
      <c r="V901" s="252">
        <f t="shared" si="127"/>
        <v>25</v>
      </c>
      <c r="W901" s="253" t="s">
        <v>868</v>
      </c>
      <c r="X901" s="252">
        <f t="shared" si="129"/>
        <v>25</v>
      </c>
      <c r="AE901" s="370">
        <f t="shared" si="122"/>
        <v>0</v>
      </c>
    </row>
    <row r="902" spans="6:33" ht="44.25" customHeight="1">
      <c r="F902" s="252">
        <v>0.5</v>
      </c>
      <c r="G902" s="252" t="s">
        <v>868</v>
      </c>
      <c r="H902" s="296" t="s">
        <v>1196</v>
      </c>
      <c r="I902" s="252">
        <f>C13</f>
        <v>534</v>
      </c>
      <c r="J902" s="296" t="s">
        <v>868</v>
      </c>
      <c r="K902" s="252">
        <f t="shared" si="128"/>
        <v>267</v>
      </c>
      <c r="N902" s="296"/>
      <c r="O902" s="296"/>
      <c r="S902" s="252">
        <v>0.5</v>
      </c>
      <c r="T902" s="252" t="s">
        <v>868</v>
      </c>
      <c r="U902" s="296" t="s">
        <v>1196</v>
      </c>
      <c r="V902" s="252">
        <f t="shared" si="127"/>
        <v>534</v>
      </c>
      <c r="W902" s="253" t="s">
        <v>868</v>
      </c>
      <c r="X902" s="252">
        <f t="shared" si="129"/>
        <v>267</v>
      </c>
      <c r="AE902" s="370">
        <f t="shared" si="122"/>
        <v>0</v>
      </c>
    </row>
    <row r="903" spans="6:33" ht="39.75" customHeight="1">
      <c r="G903" s="252" t="s">
        <v>449</v>
      </c>
      <c r="H903" s="296" t="s">
        <v>2139</v>
      </c>
      <c r="J903" s="296" t="s">
        <v>449</v>
      </c>
      <c r="K903" s="252">
        <v>1.39</v>
      </c>
      <c r="M903" s="316"/>
      <c r="N903" s="296"/>
      <c r="O903" s="296"/>
      <c r="S903" s="252"/>
      <c r="T903" s="252" t="s">
        <v>449</v>
      </c>
      <c r="U903" s="296" t="s">
        <v>2139</v>
      </c>
      <c r="W903" s="253" t="s">
        <v>449</v>
      </c>
      <c r="X903" s="252">
        <v>0.21</v>
      </c>
      <c r="AE903" s="370">
        <f t="shared" si="122"/>
        <v>0</v>
      </c>
    </row>
    <row r="904" spans="6:33" ht="24" customHeight="1">
      <c r="K904" s="358" t="s">
        <v>1586</v>
      </c>
      <c r="N904" s="296"/>
      <c r="O904" s="296"/>
      <c r="S904" s="252"/>
      <c r="W904" s="253"/>
      <c r="X904" s="358" t="s">
        <v>1586</v>
      </c>
      <c r="AE904" s="370">
        <f t="shared" si="122"/>
        <v>0</v>
      </c>
    </row>
    <row r="905" spans="6:33" ht="24" customHeight="1">
      <c r="H905" s="255" t="s">
        <v>283</v>
      </c>
      <c r="K905" s="274">
        <f>SUM(K893:K903)</f>
        <v>2727.37</v>
      </c>
      <c r="S905" s="252"/>
      <c r="U905" s="255" t="s">
        <v>283</v>
      </c>
      <c r="W905" s="253"/>
      <c r="X905" s="274">
        <f>SUM(X893:X903)</f>
        <v>3085.86</v>
      </c>
      <c r="AE905" s="370">
        <f t="shared" si="122"/>
        <v>0</v>
      </c>
    </row>
    <row r="906" spans="6:33" ht="24" customHeight="1">
      <c r="K906" s="358" t="s">
        <v>1586</v>
      </c>
      <c r="W906" s="253"/>
      <c r="AE906" s="370">
        <f t="shared" si="122"/>
        <v>0</v>
      </c>
    </row>
    <row r="907" spans="6:33" ht="24" customHeight="1">
      <c r="R907" s="358"/>
      <c r="W907" s="253"/>
      <c r="AE907" s="370">
        <f t="shared" si="122"/>
        <v>0</v>
      </c>
    </row>
    <row r="908" spans="6:33" ht="55.5" customHeight="1">
      <c r="F908" s="441">
        <v>21.3</v>
      </c>
      <c r="G908" s="252" t="s">
        <v>2251</v>
      </c>
      <c r="H908" s="442" t="s">
        <v>1727</v>
      </c>
      <c r="O908" s="253"/>
      <c r="W908" s="253"/>
      <c r="AE908" s="370">
        <f t="shared" si="122"/>
        <v>0</v>
      </c>
    </row>
    <row r="909" spans="6:33" ht="24" customHeight="1">
      <c r="H909" s="296" t="s">
        <v>2260</v>
      </c>
      <c r="W909" s="253"/>
      <c r="AE909" s="370">
        <f t="shared" si="122"/>
        <v>0</v>
      </c>
    </row>
    <row r="910" spans="6:33" ht="24" customHeight="1">
      <c r="H910" s="358" t="s">
        <v>1586</v>
      </c>
      <c r="J910" s="296" t="s">
        <v>1304</v>
      </c>
      <c r="W910" s="253"/>
      <c r="AE910" s="370">
        <f t="shared" si="122"/>
        <v>0</v>
      </c>
    </row>
    <row r="911" spans="6:33" ht="24" customHeight="1">
      <c r="W911" s="253"/>
      <c r="AE911" s="370">
        <f t="shared" si="122"/>
        <v>0</v>
      </c>
    </row>
    <row r="912" spans="6:33" ht="24" customHeight="1">
      <c r="H912" s="393" t="s">
        <v>5317</v>
      </c>
      <c r="J912" s="296" t="s">
        <v>609</v>
      </c>
      <c r="K912" s="366">
        <v>2135</v>
      </c>
      <c r="W912" s="253"/>
      <c r="AE912" s="370">
        <f t="shared" si="122"/>
        <v>0</v>
      </c>
    </row>
    <row r="913" spans="6:33" ht="24" customHeight="1">
      <c r="F913" s="296" t="s">
        <v>975</v>
      </c>
      <c r="W913" s="253"/>
      <c r="AE913" s="370">
        <f t="shared" si="122"/>
        <v>0</v>
      </c>
    </row>
    <row r="914" spans="6:33" ht="24" customHeight="1">
      <c r="H914" s="253" t="s">
        <v>2261</v>
      </c>
      <c r="K914" s="358" t="s">
        <v>2055</v>
      </c>
      <c r="W914" s="253"/>
      <c r="AE914" s="370">
        <f t="shared" si="122"/>
        <v>0</v>
      </c>
    </row>
    <row r="915" spans="6:33" ht="24" customHeight="1">
      <c r="H915" s="253" t="s">
        <v>1368</v>
      </c>
      <c r="W915" s="253"/>
      <c r="AE915" s="370">
        <f t="shared" si="122"/>
        <v>0</v>
      </c>
    </row>
    <row r="916" spans="6:33" ht="24" customHeight="1">
      <c r="F916" s="375">
        <v>21.2</v>
      </c>
      <c r="H916" s="274" t="s">
        <v>1728</v>
      </c>
      <c r="W916" s="253"/>
      <c r="AE916" s="370">
        <f t="shared" si="122"/>
        <v>0</v>
      </c>
    </row>
    <row r="917" spans="6:33" ht="24" customHeight="1">
      <c r="F917" s="375"/>
      <c r="H917" s="358" t="s">
        <v>1586</v>
      </c>
      <c r="W917" s="253"/>
      <c r="AE917" s="370" t="str">
        <f t="shared" si="122"/>
        <v>|</v>
      </c>
      <c r="AG917" s="296" t="s">
        <v>2259</v>
      </c>
    </row>
    <row r="918" spans="6:33" ht="24" customHeight="1">
      <c r="G918" s="252" t="s">
        <v>154</v>
      </c>
      <c r="H918" s="296" t="s">
        <v>1369</v>
      </c>
      <c r="K918" s="296" t="s">
        <v>975</v>
      </c>
      <c r="W918" s="253"/>
      <c r="AE918" s="370" t="str">
        <f t="shared" si="122"/>
        <v>|</v>
      </c>
      <c r="AG918" s="296" t="s">
        <v>2259</v>
      </c>
    </row>
    <row r="919" spans="6:33" ht="24" customHeight="1">
      <c r="H919" s="358" t="s">
        <v>1586</v>
      </c>
      <c r="K919" s="296" t="s">
        <v>975</v>
      </c>
      <c r="W919" s="253"/>
      <c r="AE919" s="370" t="str">
        <f t="shared" si="122"/>
        <v>|</v>
      </c>
      <c r="AG919" s="296" t="s">
        <v>2259</v>
      </c>
    </row>
    <row r="920" spans="6:33" ht="24" customHeight="1">
      <c r="F920" s="252">
        <v>1</v>
      </c>
      <c r="G920" s="252" t="s">
        <v>869</v>
      </c>
      <c r="H920" s="296" t="s">
        <v>1568</v>
      </c>
      <c r="I920" s="252">
        <f>C30</f>
        <v>13690</v>
      </c>
      <c r="J920" s="296" t="s">
        <v>869</v>
      </c>
      <c r="K920" s="252">
        <f>(F920*I920)</f>
        <v>13690</v>
      </c>
      <c r="W920" s="253"/>
      <c r="AE920" s="370" t="str">
        <f t="shared" si="122"/>
        <v>|</v>
      </c>
      <c r="AG920" s="296" t="s">
        <v>2259</v>
      </c>
    </row>
    <row r="921" spans="6:33" ht="24" customHeight="1">
      <c r="F921" s="252">
        <v>1</v>
      </c>
      <c r="G921" s="252" t="s">
        <v>869</v>
      </c>
      <c r="H921" s="296" t="s">
        <v>1369</v>
      </c>
      <c r="I921" s="252">
        <f>C88</f>
        <v>111600</v>
      </c>
      <c r="J921" s="296" t="s">
        <v>869</v>
      </c>
      <c r="K921" s="252">
        <f>(F921*I921)</f>
        <v>111600</v>
      </c>
      <c r="W921" s="253"/>
      <c r="AE921" s="370" t="str">
        <f t="shared" si="122"/>
        <v>|</v>
      </c>
      <c r="AG921" s="296" t="s">
        <v>2259</v>
      </c>
    </row>
    <row r="922" spans="6:33" ht="24" customHeight="1">
      <c r="K922" s="358" t="s">
        <v>2055</v>
      </c>
      <c r="W922" s="253"/>
      <c r="AE922" s="370">
        <f t="shared" si="122"/>
        <v>0</v>
      </c>
    </row>
    <row r="923" spans="6:33" ht="24" customHeight="1">
      <c r="H923" s="296" t="s">
        <v>1569</v>
      </c>
      <c r="K923" s="274">
        <f>SUM(K920:K921)</f>
        <v>125290</v>
      </c>
      <c r="W923" s="253"/>
      <c r="AE923" s="370" t="str">
        <f t="shared" si="122"/>
        <v>|</v>
      </c>
      <c r="AG923" s="296" t="s">
        <v>2259</v>
      </c>
    </row>
    <row r="924" spans="6:33" ht="24" customHeight="1">
      <c r="K924" s="358" t="s">
        <v>2055</v>
      </c>
      <c r="W924" s="253"/>
      <c r="AE924" s="370" t="str">
        <f t="shared" si="122"/>
        <v>|</v>
      </c>
      <c r="AG924" s="296" t="s">
        <v>2259</v>
      </c>
    </row>
    <row r="925" spans="6:33" ht="24" customHeight="1">
      <c r="G925" s="252" t="s">
        <v>1555</v>
      </c>
      <c r="H925" s="296" t="s">
        <v>1570</v>
      </c>
      <c r="K925" s="296" t="s">
        <v>975</v>
      </c>
      <c r="W925" s="253"/>
      <c r="AE925" s="370" t="str">
        <f t="shared" si="122"/>
        <v>|</v>
      </c>
      <c r="AG925" s="296" t="s">
        <v>2259</v>
      </c>
    </row>
    <row r="926" spans="6:33" ht="24" customHeight="1">
      <c r="H926" s="358" t="s">
        <v>1586</v>
      </c>
      <c r="M926" s="253" t="s">
        <v>564</v>
      </c>
      <c r="N926" s="252" t="s">
        <v>2251</v>
      </c>
      <c r="O926" s="296" t="s">
        <v>329</v>
      </c>
      <c r="Q926" s="296"/>
      <c r="W926" s="253"/>
      <c r="AE926" s="370">
        <f t="shared" si="122"/>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2"/>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2"/>
        <v>|</v>
      </c>
      <c r="AG928" s="296" t="s">
        <v>2259</v>
      </c>
    </row>
    <row r="929" spans="6:33" ht="24" customHeight="1">
      <c r="K929" s="358" t="s">
        <v>2055</v>
      </c>
      <c r="O929" s="358" t="s">
        <v>1586</v>
      </c>
      <c r="Q929" s="296"/>
      <c r="W929" s="253"/>
      <c r="AE929" s="370" t="str">
        <f t="shared" si="122"/>
        <v>|</v>
      </c>
      <c r="AG929" s="296" t="s">
        <v>2259</v>
      </c>
    </row>
    <row r="930" spans="6:33" ht="24" customHeight="1">
      <c r="H930" s="296" t="s">
        <v>1571</v>
      </c>
      <c r="K930" s="274">
        <f>SUM(K927:K928)</f>
        <v>113090</v>
      </c>
      <c r="O930" s="296" t="s">
        <v>89</v>
      </c>
      <c r="Q930" s="296"/>
      <c r="W930" s="253"/>
      <c r="AE930" s="370" t="str">
        <f t="shared" si="122"/>
        <v>|</v>
      </c>
      <c r="AG930" s="296" t="s">
        <v>2259</v>
      </c>
    </row>
    <row r="931" spans="6:33" ht="24" customHeight="1">
      <c r="K931" s="358" t="s">
        <v>2055</v>
      </c>
      <c r="O931" s="296" t="s">
        <v>90</v>
      </c>
      <c r="Q931" s="296"/>
      <c r="W931" s="253"/>
      <c r="AE931" s="370" t="str">
        <f t="shared" si="122"/>
        <v>|</v>
      </c>
      <c r="AG931" s="296" t="s">
        <v>2259</v>
      </c>
    </row>
    <row r="932" spans="6:33" ht="24" customHeight="1">
      <c r="Q932" s="296" t="s">
        <v>1586</v>
      </c>
      <c r="W932" s="253"/>
      <c r="AE932" s="370" t="str">
        <f t="shared" si="122"/>
        <v>|</v>
      </c>
      <c r="AG932" s="296" t="s">
        <v>2259</v>
      </c>
    </row>
    <row r="933" spans="6:33" ht="24" customHeight="1">
      <c r="F933" s="253" t="s">
        <v>564</v>
      </c>
      <c r="G933" s="252" t="s">
        <v>2251</v>
      </c>
      <c r="H933" s="296" t="s">
        <v>255</v>
      </c>
      <c r="O933" s="296" t="s">
        <v>1172</v>
      </c>
      <c r="Q933" s="296"/>
      <c r="W933" s="253"/>
      <c r="AE933" s="370" t="str">
        <f t="shared" si="122"/>
        <v>|</v>
      </c>
      <c r="AG933" s="296" t="s">
        <v>2259</v>
      </c>
    </row>
    <row r="934" spans="6:33" ht="24" customHeight="1">
      <c r="H934" s="296" t="s">
        <v>256</v>
      </c>
      <c r="O934" s="296" t="s">
        <v>2006</v>
      </c>
      <c r="Q934" s="296"/>
      <c r="R934" s="400">
        <v>2.4299999999999999E-2</v>
      </c>
      <c r="W934" s="253"/>
      <c r="AE934" s="370" t="str">
        <f t="shared" si="122"/>
        <v>|</v>
      </c>
      <c r="AG934" s="296" t="s">
        <v>2259</v>
      </c>
    </row>
    <row r="935" spans="6:33" ht="24" customHeight="1">
      <c r="H935" s="296" t="s">
        <v>1470</v>
      </c>
      <c r="Q935" s="296" t="s">
        <v>975</v>
      </c>
      <c r="R935" s="358" t="s">
        <v>1586</v>
      </c>
      <c r="W935" s="253"/>
      <c r="AE935" s="370" t="str">
        <f t="shared" si="122"/>
        <v>|</v>
      </c>
      <c r="AG935" s="296" t="s">
        <v>2259</v>
      </c>
    </row>
    <row r="936" spans="6:33" ht="24" customHeight="1">
      <c r="H936" s="358" t="s">
        <v>1586</v>
      </c>
      <c r="O936" s="296" t="s">
        <v>2007</v>
      </c>
      <c r="Q936" s="443" t="s">
        <v>975</v>
      </c>
      <c r="R936" s="400">
        <v>1.47E-2</v>
      </c>
      <c r="W936" s="253"/>
      <c r="AE936" s="370" t="str">
        <f t="shared" si="122"/>
        <v>|</v>
      </c>
      <c r="AG936" s="296" t="s">
        <v>2259</v>
      </c>
    </row>
    <row r="937" spans="6:33" ht="24" customHeight="1">
      <c r="H937" s="296" t="s">
        <v>89</v>
      </c>
      <c r="O937" s="296" t="s">
        <v>1766</v>
      </c>
      <c r="Q937" s="296" t="s">
        <v>975</v>
      </c>
      <c r="R937" s="400">
        <v>4.5999999999999999E-3</v>
      </c>
      <c r="W937" s="253"/>
      <c r="AE937" s="370" t="str">
        <f t="shared" si="122"/>
        <v>|</v>
      </c>
      <c r="AG937" s="296" t="s">
        <v>2259</v>
      </c>
    </row>
    <row r="938" spans="6:33" ht="24" customHeight="1">
      <c r="H938" s="296" t="s">
        <v>90</v>
      </c>
      <c r="Q938" s="296"/>
      <c r="R938" s="358" t="s">
        <v>1586</v>
      </c>
      <c r="W938" s="253"/>
      <c r="AE938" s="370" t="str">
        <f t="shared" si="122"/>
        <v>|</v>
      </c>
      <c r="AG938" s="296" t="s">
        <v>2259</v>
      </c>
    </row>
    <row r="939" spans="6:33" ht="24" customHeight="1">
      <c r="J939" s="296" t="s">
        <v>1586</v>
      </c>
      <c r="Q939" s="296"/>
      <c r="R939" s="400">
        <v>1.9300000000000001E-2</v>
      </c>
      <c r="W939" s="253"/>
      <c r="AE939" s="370" t="str">
        <f t="shared" si="122"/>
        <v>|</v>
      </c>
      <c r="AG939" s="296" t="s">
        <v>2259</v>
      </c>
    </row>
    <row r="940" spans="6:33" ht="24" customHeight="1">
      <c r="H940" s="296" t="s">
        <v>1172</v>
      </c>
      <c r="Q940" s="296"/>
      <c r="R940" s="358" t="s">
        <v>1586</v>
      </c>
      <c r="W940" s="253"/>
      <c r="AE940" s="370" t="str">
        <f t="shared" si="122"/>
        <v>|</v>
      </c>
      <c r="AG940" s="296" t="s">
        <v>2259</v>
      </c>
    </row>
    <row r="941" spans="6:33" ht="24" customHeight="1">
      <c r="H941" s="296" t="s">
        <v>2006</v>
      </c>
      <c r="K941" s="400">
        <v>2.4299999999999999E-2</v>
      </c>
      <c r="Q941" s="296"/>
      <c r="W941" s="253"/>
      <c r="AE941" s="370" t="str">
        <f t="shared" si="122"/>
        <v>|</v>
      </c>
      <c r="AG941" s="296" t="s">
        <v>2259</v>
      </c>
    </row>
    <row r="942" spans="6:33" ht="24" customHeight="1">
      <c r="J942" s="296" t="s">
        <v>975</v>
      </c>
      <c r="K942" s="358" t="s">
        <v>1586</v>
      </c>
      <c r="Q942" s="296"/>
      <c r="W942" s="253"/>
      <c r="AE942" s="370" t="str">
        <f t="shared" si="122"/>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2"/>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2"/>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2"/>
        <v>|</v>
      </c>
      <c r="AG945" s="296" t="s">
        <v>2259</v>
      </c>
    </row>
    <row r="946" spans="6:33" ht="24" customHeight="1">
      <c r="K946" s="400">
        <v>1.9300000000000001E-2</v>
      </c>
      <c r="M946" s="316"/>
      <c r="O946" s="296"/>
      <c r="P946" s="296" t="s">
        <v>975</v>
      </c>
      <c r="Q946" s="296"/>
      <c r="R946" s="296" t="s">
        <v>975</v>
      </c>
      <c r="W946" s="253"/>
      <c r="AE946" s="370">
        <f t="shared" si="122"/>
        <v>0</v>
      </c>
    </row>
    <row r="947" spans="6:33" ht="24" customHeight="1">
      <c r="K947" s="358" t="s">
        <v>1586</v>
      </c>
      <c r="M947" s="316">
        <v>1.823</v>
      </c>
      <c r="N947" s="252" t="s">
        <v>609</v>
      </c>
      <c r="O947" s="296" t="s">
        <v>447</v>
      </c>
      <c r="P947" s="252">
        <f>I954</f>
        <v>1537</v>
      </c>
      <c r="Q947" s="296" t="s">
        <v>609</v>
      </c>
      <c r="R947" s="252">
        <f t="shared" ref="R947:R953" si="130">(M947*P947)</f>
        <v>2801.95</v>
      </c>
      <c r="W947" s="253"/>
      <c r="AE947" s="370">
        <f t="shared" si="122"/>
        <v>0</v>
      </c>
    </row>
    <row r="948" spans="6:33" ht="24" customHeight="1">
      <c r="M948" s="252">
        <v>1</v>
      </c>
      <c r="N948" s="252" t="s">
        <v>769</v>
      </c>
      <c r="O948" s="296" t="s">
        <v>1463</v>
      </c>
      <c r="P948" s="252">
        <f t="shared" ref="P948:P953" si="131">I955</f>
        <v>57.65</v>
      </c>
      <c r="Q948" s="296" t="s">
        <v>868</v>
      </c>
      <c r="R948" s="252">
        <f t="shared" si="130"/>
        <v>57.65</v>
      </c>
      <c r="W948" s="253"/>
      <c r="AE948" s="370">
        <f t="shared" si="122"/>
        <v>0</v>
      </c>
    </row>
    <row r="949" spans="6:33" ht="24" customHeight="1">
      <c r="M949" s="252">
        <v>3</v>
      </c>
      <c r="N949" s="252" t="s">
        <v>868</v>
      </c>
      <c r="O949" s="296" t="s">
        <v>1464</v>
      </c>
      <c r="P949" s="252">
        <f t="shared" si="131"/>
        <v>89.6</v>
      </c>
      <c r="Q949" s="296" t="s">
        <v>868</v>
      </c>
      <c r="R949" s="252">
        <f t="shared" si="130"/>
        <v>268.8</v>
      </c>
      <c r="W949" s="253"/>
      <c r="AE949" s="370">
        <f t="shared" si="122"/>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1"/>
        <v>64.8</v>
      </c>
      <c r="Q950" s="296" t="s">
        <v>868</v>
      </c>
      <c r="R950" s="252">
        <f t="shared" si="130"/>
        <v>129.6</v>
      </c>
      <c r="W950" s="253"/>
      <c r="AE950" s="370">
        <f t="shared" ref="AE950:AE1013" si="132">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1"/>
        <v>181</v>
      </c>
      <c r="Q951" s="296" t="s">
        <v>868</v>
      </c>
      <c r="R951" s="252">
        <f t="shared" si="130"/>
        <v>181</v>
      </c>
      <c r="W951" s="253"/>
      <c r="AE951" s="370">
        <f t="shared" si="132"/>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1"/>
        <v>7.3</v>
      </c>
      <c r="Q952" s="296" t="s">
        <v>868</v>
      </c>
      <c r="R952" s="252">
        <f t="shared" si="130"/>
        <v>7.3</v>
      </c>
      <c r="W952" s="253"/>
      <c r="AE952" s="370">
        <f t="shared" si="132"/>
        <v>0</v>
      </c>
    </row>
    <row r="953" spans="6:33" ht="24" customHeight="1">
      <c r="F953" s="316"/>
      <c r="H953" s="296" t="s">
        <v>446</v>
      </c>
      <c r="I953" s="296" t="s">
        <v>975</v>
      </c>
      <c r="K953" s="296" t="s">
        <v>975</v>
      </c>
      <c r="M953" s="252">
        <v>1</v>
      </c>
      <c r="N953" s="252" t="s">
        <v>868</v>
      </c>
      <c r="O953" s="296" t="s">
        <v>1982</v>
      </c>
      <c r="P953" s="252">
        <f t="shared" si="131"/>
        <v>49.55</v>
      </c>
      <c r="Q953" s="296" t="s">
        <v>868</v>
      </c>
      <c r="R953" s="252">
        <f t="shared" si="130"/>
        <v>49.55</v>
      </c>
      <c r="W953" s="253"/>
      <c r="AE953" s="370">
        <f t="shared" si="132"/>
        <v>0</v>
      </c>
    </row>
    <row r="954" spans="6:33" ht="24" customHeight="1">
      <c r="F954" s="316">
        <v>1.823</v>
      </c>
      <c r="G954" s="252" t="s">
        <v>609</v>
      </c>
      <c r="H954" s="296" t="s">
        <v>447</v>
      </c>
      <c r="I954" s="252">
        <f>C31</f>
        <v>1537</v>
      </c>
      <c r="J954" s="296" t="s">
        <v>609</v>
      </c>
      <c r="K954" s="252">
        <f t="shared" ref="K954:K961" si="133">(F954*I954)</f>
        <v>2801.95</v>
      </c>
      <c r="Q954" s="296"/>
      <c r="R954" s="358" t="s">
        <v>1586</v>
      </c>
      <c r="W954" s="253"/>
      <c r="AE954" s="370">
        <f t="shared" si="132"/>
        <v>0</v>
      </c>
    </row>
    <row r="955" spans="6:33" ht="24" customHeight="1">
      <c r="F955" s="252">
        <v>1</v>
      </c>
      <c r="G955" s="252" t="s">
        <v>769</v>
      </c>
      <c r="H955" s="296" t="s">
        <v>6046</v>
      </c>
      <c r="I955" s="252">
        <f>C598</f>
        <v>57.65</v>
      </c>
      <c r="J955" s="296" t="s">
        <v>868</v>
      </c>
      <c r="K955" s="252">
        <f t="shared" si="133"/>
        <v>57.65</v>
      </c>
      <c r="O955" s="296" t="s">
        <v>1468</v>
      </c>
      <c r="Q955" s="296"/>
      <c r="R955" s="252">
        <f>SUM(R943:R953)</f>
        <v>5480.78</v>
      </c>
      <c r="W955" s="253"/>
      <c r="AE955" s="370">
        <f t="shared" si="132"/>
        <v>0</v>
      </c>
    </row>
    <row r="956" spans="6:33" ht="24" customHeight="1">
      <c r="F956" s="252">
        <v>3</v>
      </c>
      <c r="G956" s="252" t="s">
        <v>868</v>
      </c>
      <c r="H956" s="296" t="s">
        <v>6047</v>
      </c>
      <c r="I956" s="252">
        <f>C279</f>
        <v>89.6</v>
      </c>
      <c r="J956" s="296" t="s">
        <v>868</v>
      </c>
      <c r="K956" s="252">
        <f t="shared" si="133"/>
        <v>268.8</v>
      </c>
      <c r="Q956" s="296"/>
      <c r="R956" s="358" t="s">
        <v>1586</v>
      </c>
      <c r="W956" s="253"/>
      <c r="AE956" s="370">
        <f t="shared" si="132"/>
        <v>0</v>
      </c>
    </row>
    <row r="957" spans="6:33" ht="24" customHeight="1">
      <c r="F957" s="252">
        <v>2</v>
      </c>
      <c r="G957" s="252" t="s">
        <v>868</v>
      </c>
      <c r="H957" s="296" t="s">
        <v>6048</v>
      </c>
      <c r="I957" s="252">
        <f>C284</f>
        <v>64.8</v>
      </c>
      <c r="J957" s="296" t="s">
        <v>868</v>
      </c>
      <c r="K957" s="252">
        <f t="shared" si="133"/>
        <v>129.6</v>
      </c>
      <c r="O957" s="255" t="s">
        <v>552</v>
      </c>
      <c r="Q957" s="296"/>
      <c r="R957" s="274">
        <f>R955/M947</f>
        <v>3006.46</v>
      </c>
      <c r="W957" s="253"/>
      <c r="AE957" s="370">
        <f t="shared" si="132"/>
        <v>0</v>
      </c>
    </row>
    <row r="958" spans="6:33" ht="24" customHeight="1">
      <c r="F958" s="252">
        <v>1</v>
      </c>
      <c r="G958" s="252" t="s">
        <v>868</v>
      </c>
      <c r="H958" s="296" t="s">
        <v>6049</v>
      </c>
      <c r="I958" s="252">
        <f>C286</f>
        <v>181</v>
      </c>
      <c r="J958" s="296" t="s">
        <v>868</v>
      </c>
      <c r="K958" s="252">
        <f t="shared" si="133"/>
        <v>181</v>
      </c>
      <c r="M958" s="296" t="s">
        <v>975</v>
      </c>
      <c r="Q958" s="296"/>
      <c r="W958" s="253"/>
      <c r="AE958" s="370">
        <f t="shared" si="132"/>
        <v>0</v>
      </c>
    </row>
    <row r="959" spans="6:33" ht="24" customHeight="1">
      <c r="F959" s="252">
        <v>1</v>
      </c>
      <c r="G959" s="252" t="s">
        <v>868</v>
      </c>
      <c r="H959" s="296" t="s">
        <v>1467</v>
      </c>
      <c r="I959" s="252">
        <f>C288</f>
        <v>7.3</v>
      </c>
      <c r="J959" s="296" t="s">
        <v>868</v>
      </c>
      <c r="K959" s="252">
        <f t="shared" si="133"/>
        <v>7.3</v>
      </c>
      <c r="Q959" s="296"/>
      <c r="R959" s="358" t="s">
        <v>2055</v>
      </c>
      <c r="W959" s="253"/>
      <c r="AE959" s="370" t="str">
        <f t="shared" si="132"/>
        <v>|</v>
      </c>
      <c r="AG959" s="296" t="s">
        <v>2259</v>
      </c>
    </row>
    <row r="960" spans="6:33" ht="24" customHeight="1">
      <c r="F960" s="252">
        <v>1</v>
      </c>
      <c r="G960" s="252" t="s">
        <v>868</v>
      </c>
      <c r="H960" s="296" t="s">
        <v>6050</v>
      </c>
      <c r="I960" s="252">
        <f>D598</f>
        <v>49.55</v>
      </c>
      <c r="J960" s="296" t="s">
        <v>868</v>
      </c>
      <c r="K960" s="252">
        <f t="shared" si="133"/>
        <v>49.55</v>
      </c>
      <c r="W960" s="253"/>
      <c r="AE960" s="370" t="str">
        <f t="shared" si="132"/>
        <v>|</v>
      </c>
      <c r="AG960" s="296" t="s">
        <v>2259</v>
      </c>
    </row>
    <row r="961" spans="6:33" ht="24" customHeight="1">
      <c r="F961" s="252">
        <v>64</v>
      </c>
      <c r="G961" s="252" t="s">
        <v>1030</v>
      </c>
      <c r="H961" s="393" t="s">
        <v>5885</v>
      </c>
      <c r="I961" s="362">
        <v>2.41</v>
      </c>
      <c r="J961" s="296" t="s">
        <v>158</v>
      </c>
      <c r="K961" s="252">
        <f t="shared" si="133"/>
        <v>154.24</v>
      </c>
      <c r="W961" s="253"/>
      <c r="AE961" s="370" t="str">
        <f t="shared" si="132"/>
        <v>|</v>
      </c>
      <c r="AG961" s="296" t="s">
        <v>2259</v>
      </c>
    </row>
    <row r="962" spans="6:33" ht="24" customHeight="1">
      <c r="H962" s="296" t="s">
        <v>1468</v>
      </c>
      <c r="K962" s="252">
        <f>SUM(K950:K961)</f>
        <v>9171.25</v>
      </c>
      <c r="W962" s="253"/>
      <c r="AE962" s="370" t="str">
        <f t="shared" si="132"/>
        <v>|</v>
      </c>
      <c r="AG962" s="296" t="s">
        <v>2259</v>
      </c>
    </row>
    <row r="963" spans="6:33" ht="24" customHeight="1">
      <c r="K963" s="358" t="s">
        <v>1586</v>
      </c>
      <c r="W963" s="253"/>
      <c r="AE963" s="370" t="str">
        <f t="shared" si="132"/>
        <v>|</v>
      </c>
      <c r="AG963" s="296" t="s">
        <v>2259</v>
      </c>
    </row>
    <row r="964" spans="6:33" ht="24" customHeight="1">
      <c r="H964" s="255" t="s">
        <v>552</v>
      </c>
      <c r="K964" s="274">
        <f>K962/F954</f>
        <v>5030.8599999999997</v>
      </c>
      <c r="W964" s="253"/>
      <c r="AE964" s="370" t="str">
        <f t="shared" si="132"/>
        <v>|</v>
      </c>
      <c r="AG964" s="296" t="s">
        <v>2259</v>
      </c>
    </row>
    <row r="965" spans="6:33" ht="24" customHeight="1">
      <c r="F965" s="296" t="s">
        <v>975</v>
      </c>
      <c r="W965" s="253"/>
      <c r="AE965" s="370" t="str">
        <f t="shared" si="132"/>
        <v>|</v>
      </c>
      <c r="AG965" s="296" t="s">
        <v>2259</v>
      </c>
    </row>
    <row r="966" spans="6:33" ht="24" customHeight="1">
      <c r="K966" s="358" t="s">
        <v>2055</v>
      </c>
      <c r="W966" s="253"/>
      <c r="AE966" s="370" t="str">
        <f t="shared" si="132"/>
        <v>|</v>
      </c>
      <c r="AG966" s="296" t="s">
        <v>2259</v>
      </c>
    </row>
    <row r="967" spans="6:33" ht="24" customHeight="1">
      <c r="W967" s="253"/>
      <c r="AE967" s="370" t="str">
        <f t="shared" si="132"/>
        <v>|</v>
      </c>
      <c r="AG967" s="296" t="s">
        <v>2259</v>
      </c>
    </row>
    <row r="968" spans="6:33" ht="24" customHeight="1">
      <c r="W968" s="253"/>
      <c r="AE968" s="370" t="str">
        <f t="shared" si="132"/>
        <v>|</v>
      </c>
      <c r="AG968" s="296" t="s">
        <v>2259</v>
      </c>
    </row>
    <row r="969" spans="6:33" ht="24" customHeight="1">
      <c r="F969" s="253" t="s">
        <v>1338</v>
      </c>
      <c r="G969" s="252" t="s">
        <v>2251</v>
      </c>
      <c r="H969" s="296" t="s">
        <v>255</v>
      </c>
      <c r="W969" s="253"/>
      <c r="AE969" s="370" t="str">
        <f t="shared" si="132"/>
        <v>|</v>
      </c>
      <c r="AG969" s="296" t="s">
        <v>2259</v>
      </c>
    </row>
    <row r="970" spans="6:33" ht="24" customHeight="1">
      <c r="H970" s="296" t="s">
        <v>256</v>
      </c>
      <c r="W970" s="253"/>
      <c r="AE970" s="370" t="str">
        <f t="shared" si="132"/>
        <v>|</v>
      </c>
      <c r="AG970" s="296" t="s">
        <v>2259</v>
      </c>
    </row>
    <row r="971" spans="6:33" ht="24" customHeight="1">
      <c r="H971" s="296" t="s">
        <v>1471</v>
      </c>
      <c r="W971" s="253"/>
      <c r="AE971" s="370" t="str">
        <f t="shared" si="132"/>
        <v>|</v>
      </c>
      <c r="AG971" s="296" t="s">
        <v>2259</v>
      </c>
    </row>
    <row r="972" spans="6:33" ht="24" customHeight="1">
      <c r="H972" s="358" t="s">
        <v>1586</v>
      </c>
      <c r="W972" s="253"/>
      <c r="AE972" s="370" t="str">
        <f t="shared" si="132"/>
        <v>|</v>
      </c>
      <c r="AG972" s="296" t="s">
        <v>2259</v>
      </c>
    </row>
    <row r="973" spans="6:33" ht="24" customHeight="1">
      <c r="W973" s="253"/>
      <c r="AE973" s="370" t="str">
        <f t="shared" si="132"/>
        <v>|</v>
      </c>
      <c r="AG973" s="296" t="s">
        <v>2259</v>
      </c>
    </row>
    <row r="974" spans="6:33" ht="24" customHeight="1">
      <c r="H974" s="296" t="s">
        <v>644</v>
      </c>
      <c r="W974" s="253"/>
      <c r="AE974" s="370">
        <f t="shared" si="132"/>
        <v>0</v>
      </c>
    </row>
    <row r="975" spans="6:33" ht="24" customHeight="1">
      <c r="H975" s="296" t="s">
        <v>645</v>
      </c>
      <c r="W975" s="253"/>
      <c r="AE975" s="370" t="str">
        <f t="shared" si="132"/>
        <v>|</v>
      </c>
      <c r="AG975" s="296" t="s">
        <v>2259</v>
      </c>
    </row>
    <row r="976" spans="6:33" ht="24" customHeight="1">
      <c r="J976" s="296" t="s">
        <v>1586</v>
      </c>
      <c r="W976" s="253"/>
      <c r="AE976" s="370">
        <f t="shared" si="132"/>
        <v>0</v>
      </c>
    </row>
    <row r="977" spans="6:33" ht="24" customHeight="1">
      <c r="H977" s="296" t="s">
        <v>646</v>
      </c>
      <c r="W977" s="253"/>
      <c r="AE977" s="370">
        <f t="shared" si="132"/>
        <v>0</v>
      </c>
    </row>
    <row r="978" spans="6:33" ht="24" customHeight="1">
      <c r="H978" s="296" t="s">
        <v>647</v>
      </c>
      <c r="K978" s="400">
        <v>2.1999999999999999E-2</v>
      </c>
      <c r="W978" s="253"/>
      <c r="AE978" s="370" t="str">
        <f t="shared" si="132"/>
        <v>|</v>
      </c>
      <c r="AG978" s="296" t="s">
        <v>2259</v>
      </c>
    </row>
    <row r="979" spans="6:33" ht="24" customHeight="1">
      <c r="J979" s="296" t="s">
        <v>975</v>
      </c>
      <c r="K979" s="358" t="s">
        <v>1586</v>
      </c>
      <c r="W979" s="253"/>
      <c r="AE979" s="370" t="str">
        <f t="shared" si="132"/>
        <v>|</v>
      </c>
      <c r="AG979" s="296" t="s">
        <v>2259</v>
      </c>
    </row>
    <row r="980" spans="6:33" ht="24" customHeight="1">
      <c r="H980" s="296" t="s">
        <v>859</v>
      </c>
      <c r="J980" s="443" t="s">
        <v>975</v>
      </c>
      <c r="K980" s="400">
        <v>1.3100000000000001E-2</v>
      </c>
      <c r="W980" s="253"/>
      <c r="AE980" s="370" t="str">
        <f t="shared" si="132"/>
        <v>|</v>
      </c>
      <c r="AG980" s="296" t="s">
        <v>2259</v>
      </c>
    </row>
    <row r="981" spans="6:33" ht="24" customHeight="1">
      <c r="H981" s="296" t="s">
        <v>2152</v>
      </c>
      <c r="J981" s="296" t="s">
        <v>975</v>
      </c>
      <c r="K981" s="400">
        <v>3.3999999999999998E-3</v>
      </c>
      <c r="W981" s="253"/>
      <c r="AE981" s="370" t="str">
        <f t="shared" si="132"/>
        <v>|</v>
      </c>
      <c r="AG981" s="296" t="s">
        <v>2259</v>
      </c>
    </row>
    <row r="982" spans="6:33" ht="24" customHeight="1">
      <c r="K982" s="358" t="s">
        <v>1586</v>
      </c>
      <c r="W982" s="253"/>
      <c r="AE982" s="370">
        <f t="shared" si="132"/>
        <v>0</v>
      </c>
    </row>
    <row r="983" spans="6:33" ht="24" customHeight="1">
      <c r="K983" s="400">
        <v>1.6500000000000001E-2</v>
      </c>
      <c r="W983" s="253"/>
      <c r="AE983" s="370">
        <f t="shared" si="132"/>
        <v>0</v>
      </c>
    </row>
    <row r="984" spans="6:33" ht="24" customHeight="1">
      <c r="K984" s="358" t="s">
        <v>1586</v>
      </c>
      <c r="O984" s="252" t="s">
        <v>4383</v>
      </c>
      <c r="W984" s="253"/>
      <c r="AE984" s="370">
        <f t="shared" si="132"/>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2"/>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2"/>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4">I1053</f>
        <v>111600</v>
      </c>
      <c r="Q987" s="446" t="s">
        <v>869</v>
      </c>
      <c r="R987" s="445">
        <f t="shared" ref="R987:R997" si="135">(M987*P987)</f>
        <v>1286.75</v>
      </c>
      <c r="W987" s="253"/>
      <c r="AE987" s="370">
        <f t="shared" si="132"/>
        <v>0</v>
      </c>
    </row>
    <row r="988" spans="6:33" ht="24" customHeight="1">
      <c r="F988" s="400"/>
      <c r="H988" s="296" t="s">
        <v>446</v>
      </c>
      <c r="I988" s="296" t="s">
        <v>975</v>
      </c>
      <c r="K988" s="296" t="s">
        <v>975</v>
      </c>
      <c r="M988" s="447">
        <v>1.013E-2</v>
      </c>
      <c r="N988" s="252" t="s">
        <v>869</v>
      </c>
      <c r="O988" s="296" t="s">
        <v>693</v>
      </c>
      <c r="P988" s="445">
        <f t="shared" si="134"/>
        <v>99400</v>
      </c>
      <c r="Q988" s="296" t="s">
        <v>869</v>
      </c>
      <c r="R988" s="252">
        <f t="shared" si="135"/>
        <v>1006.92</v>
      </c>
      <c r="W988" s="253"/>
      <c r="AE988" s="370">
        <f t="shared" si="132"/>
        <v>0</v>
      </c>
    </row>
    <row r="989" spans="6:33" ht="24" customHeight="1">
      <c r="F989" s="400">
        <v>1.64</v>
      </c>
      <c r="G989" s="252" t="s">
        <v>609</v>
      </c>
      <c r="H989" s="296" t="s">
        <v>447</v>
      </c>
      <c r="I989" s="252">
        <f>C31</f>
        <v>1537</v>
      </c>
      <c r="J989" s="296" t="s">
        <v>609</v>
      </c>
      <c r="K989" s="252">
        <f t="shared" ref="K989:K996" si="136">(F989*I989)</f>
        <v>2520.6799999999998</v>
      </c>
      <c r="M989" s="447">
        <v>0.77780000000000005</v>
      </c>
      <c r="N989" s="252" t="s">
        <v>609</v>
      </c>
      <c r="O989" s="296" t="s">
        <v>2091</v>
      </c>
      <c r="P989" s="445">
        <f t="shared" si="134"/>
        <v>387.4</v>
      </c>
      <c r="Q989" s="296" t="s">
        <v>609</v>
      </c>
      <c r="R989" s="252">
        <f t="shared" si="135"/>
        <v>301.32</v>
      </c>
      <c r="W989" s="253"/>
      <c r="AE989" s="370">
        <f t="shared" si="132"/>
        <v>0</v>
      </c>
    </row>
    <row r="990" spans="6:33" ht="24" customHeight="1">
      <c r="F990" s="252">
        <v>1</v>
      </c>
      <c r="G990" s="252" t="s">
        <v>769</v>
      </c>
      <c r="H990" s="296" t="s">
        <v>1136</v>
      </c>
      <c r="I990" s="252">
        <f>C598</f>
        <v>57.65</v>
      </c>
      <c r="J990" s="296" t="s">
        <v>868</v>
      </c>
      <c r="K990" s="252">
        <f t="shared" si="136"/>
        <v>57.65</v>
      </c>
      <c r="M990" s="447">
        <v>1.23</v>
      </c>
      <c r="N990" s="252" t="s">
        <v>609</v>
      </c>
      <c r="O990" s="296" t="s">
        <v>2092</v>
      </c>
      <c r="P990" s="445">
        <f t="shared" si="134"/>
        <v>1281</v>
      </c>
      <c r="Q990" s="296" t="s">
        <v>609</v>
      </c>
      <c r="R990" s="252">
        <f t="shared" si="135"/>
        <v>1575.63</v>
      </c>
      <c r="W990" s="253"/>
      <c r="AE990" s="370">
        <f t="shared" si="132"/>
        <v>0</v>
      </c>
    </row>
    <row r="991" spans="6:33" ht="24" customHeight="1">
      <c r="F991" s="252">
        <v>3</v>
      </c>
      <c r="G991" s="252" t="s">
        <v>868</v>
      </c>
      <c r="H991" s="296" t="str">
        <f>H956</f>
        <v xml:space="preserve">  5"BUTT HINGS (p-40)</v>
      </c>
      <c r="I991" s="252">
        <f>C279</f>
        <v>89.6</v>
      </c>
      <c r="J991" s="296" t="s">
        <v>868</v>
      </c>
      <c r="K991" s="252">
        <f t="shared" si="136"/>
        <v>268.8</v>
      </c>
      <c r="M991" s="252">
        <v>2</v>
      </c>
      <c r="N991" s="252" t="s">
        <v>868</v>
      </c>
      <c r="O991" s="296" t="s">
        <v>2093</v>
      </c>
      <c r="P991" s="445">
        <f t="shared" si="134"/>
        <v>64.8</v>
      </c>
      <c r="Q991" s="296" t="s">
        <v>868</v>
      </c>
      <c r="R991" s="252">
        <f t="shared" si="135"/>
        <v>129.6</v>
      </c>
      <c r="W991" s="253"/>
      <c r="AE991" s="370">
        <f t="shared" si="132"/>
        <v>0</v>
      </c>
    </row>
    <row r="992" spans="6:33" ht="24" customHeight="1">
      <c r="F992" s="252">
        <v>2</v>
      </c>
      <c r="G992" s="252" t="s">
        <v>868</v>
      </c>
      <c r="H992" s="296" t="str">
        <f t="shared" ref="H992:H996" si="137">H957</f>
        <v xml:space="preserve"> 6"X1/2"TOWER BOLT (p-40)</v>
      </c>
      <c r="I992" s="252">
        <f>C284</f>
        <v>64.8</v>
      </c>
      <c r="J992" s="296" t="s">
        <v>868</v>
      </c>
      <c r="K992" s="252">
        <f t="shared" si="136"/>
        <v>129.6</v>
      </c>
      <c r="M992" s="252">
        <v>3</v>
      </c>
      <c r="N992" s="252" t="s">
        <v>868</v>
      </c>
      <c r="O992" s="296" t="s">
        <v>1517</v>
      </c>
      <c r="P992" s="445">
        <f t="shared" si="134"/>
        <v>89.6</v>
      </c>
      <c r="Q992" s="296" t="s">
        <v>868</v>
      </c>
      <c r="R992" s="252">
        <f t="shared" si="135"/>
        <v>268.8</v>
      </c>
      <c r="W992" s="253"/>
      <c r="AE992" s="370">
        <f t="shared" si="132"/>
        <v>0</v>
      </c>
    </row>
    <row r="993" spans="6:33" ht="24" customHeight="1">
      <c r="F993" s="252">
        <v>1</v>
      </c>
      <c r="G993" s="252" t="s">
        <v>868</v>
      </c>
      <c r="H993" s="296" t="str">
        <f t="shared" si="137"/>
        <v>10"X5/8"ALDROP (p-41)</v>
      </c>
      <c r="I993" s="252">
        <f>C286</f>
        <v>181</v>
      </c>
      <c r="J993" s="296" t="s">
        <v>868</v>
      </c>
      <c r="K993" s="252">
        <f t="shared" si="136"/>
        <v>181</v>
      </c>
      <c r="M993" s="252">
        <v>1</v>
      </c>
      <c r="N993" s="252" t="s">
        <v>868</v>
      </c>
      <c r="O993" s="296" t="s">
        <v>1979</v>
      </c>
      <c r="P993" s="445">
        <f t="shared" si="134"/>
        <v>181</v>
      </c>
      <c r="Q993" s="296" t="s">
        <v>868</v>
      </c>
      <c r="R993" s="252">
        <f t="shared" si="135"/>
        <v>181</v>
      </c>
      <c r="W993" s="253"/>
      <c r="AE993" s="370">
        <f t="shared" si="132"/>
        <v>0</v>
      </c>
    </row>
    <row r="994" spans="6:33" ht="24" customHeight="1">
      <c r="F994" s="252">
        <v>1</v>
      </c>
      <c r="G994" s="252" t="s">
        <v>868</v>
      </c>
      <c r="H994" s="296" t="str">
        <f t="shared" si="137"/>
        <v>NYLONBUSH</v>
      </c>
      <c r="I994" s="252">
        <f>C288</f>
        <v>7.3</v>
      </c>
      <c r="J994" s="296" t="s">
        <v>868</v>
      </c>
      <c r="K994" s="252">
        <f t="shared" si="136"/>
        <v>7.3</v>
      </c>
      <c r="M994" s="252">
        <v>1</v>
      </c>
      <c r="N994" s="252" t="s">
        <v>868</v>
      </c>
      <c r="O994" s="296" t="s">
        <v>1980</v>
      </c>
      <c r="P994" s="445">
        <f t="shared" si="134"/>
        <v>7.3</v>
      </c>
      <c r="Q994" s="296" t="s">
        <v>868</v>
      </c>
      <c r="R994" s="252">
        <f t="shared" si="135"/>
        <v>7.3</v>
      </c>
      <c r="W994" s="253"/>
      <c r="AE994" s="370" t="str">
        <f t="shared" si="132"/>
        <v>|</v>
      </c>
      <c r="AG994" s="296" t="s">
        <v>2259</v>
      </c>
    </row>
    <row r="995" spans="6:33" ht="24" customHeight="1">
      <c r="F995" s="252">
        <v>1</v>
      </c>
      <c r="G995" s="252" t="s">
        <v>868</v>
      </c>
      <c r="H995" s="296" t="str">
        <f t="shared" si="137"/>
        <v>DOOR STOPPER (p-41)</v>
      </c>
      <c r="I995" s="252">
        <f>D598</f>
        <v>49.55</v>
      </c>
      <c r="J995" s="296" t="s">
        <v>868</v>
      </c>
      <c r="K995" s="252">
        <f t="shared" si="136"/>
        <v>49.55</v>
      </c>
      <c r="M995" s="252">
        <v>1</v>
      </c>
      <c r="N995" s="252" t="s">
        <v>868</v>
      </c>
      <c r="O995" s="296" t="s">
        <v>1137</v>
      </c>
      <c r="P995" s="445">
        <f t="shared" si="134"/>
        <v>57.65</v>
      </c>
      <c r="Q995" s="296" t="s">
        <v>868</v>
      </c>
      <c r="R995" s="252">
        <f t="shared" si="135"/>
        <v>57.65</v>
      </c>
      <c r="W995" s="253"/>
      <c r="AE995" s="370" t="str">
        <f t="shared" si="132"/>
        <v>|</v>
      </c>
      <c r="AG995" s="296" t="s">
        <v>2259</v>
      </c>
    </row>
    <row r="996" spans="6:33" ht="24" customHeight="1">
      <c r="F996" s="252">
        <v>10</v>
      </c>
      <c r="G996" s="252" t="s">
        <v>1030</v>
      </c>
      <c r="H996" s="296" t="str">
        <f t="shared" si="137"/>
        <v>Brass screw p-55 it-232</v>
      </c>
      <c r="I996" s="252">
        <f>I961</f>
        <v>2.41</v>
      </c>
      <c r="J996" s="296" t="s">
        <v>868</v>
      </c>
      <c r="K996" s="252">
        <f t="shared" si="136"/>
        <v>24.1</v>
      </c>
      <c r="M996" s="252">
        <v>1</v>
      </c>
      <c r="N996" s="252" t="s">
        <v>868</v>
      </c>
      <c r="O996" s="296" t="s">
        <v>1982</v>
      </c>
      <c r="P996" s="445">
        <f t="shared" si="134"/>
        <v>49.55</v>
      </c>
      <c r="Q996" s="296" t="s">
        <v>868</v>
      </c>
      <c r="R996" s="252">
        <f t="shared" si="135"/>
        <v>49.55</v>
      </c>
      <c r="W996" s="253"/>
      <c r="AE996" s="370" t="str">
        <f t="shared" si="132"/>
        <v>|</v>
      </c>
      <c r="AG996" s="296" t="s">
        <v>2259</v>
      </c>
    </row>
    <row r="997" spans="6:33" ht="24" customHeight="1">
      <c r="K997" s="358" t="s">
        <v>1586</v>
      </c>
      <c r="M997" s="252">
        <v>58</v>
      </c>
      <c r="O997" s="296" t="s">
        <v>1742</v>
      </c>
      <c r="P997" s="445">
        <f t="shared" si="134"/>
        <v>2.41</v>
      </c>
      <c r="Q997" s="296"/>
      <c r="R997" s="252">
        <f t="shared" si="135"/>
        <v>139.78</v>
      </c>
      <c r="W997" s="253"/>
      <c r="AE997" s="370" t="str">
        <f t="shared" si="132"/>
        <v>|</v>
      </c>
      <c r="AG997" s="296" t="s">
        <v>2259</v>
      </c>
    </row>
    <row r="998" spans="6:33" ht="24" customHeight="1">
      <c r="H998" s="296" t="s">
        <v>2153</v>
      </c>
      <c r="K998" s="252">
        <f>SUM(K985:K996)</f>
        <v>8276.3799999999992</v>
      </c>
      <c r="O998" s="253" t="s">
        <v>1983</v>
      </c>
      <c r="Q998" s="296"/>
      <c r="R998" s="252">
        <f>SUM(R987:R997)</f>
        <v>5004.3</v>
      </c>
      <c r="W998" s="253"/>
      <c r="AE998" s="370" t="str">
        <f t="shared" si="132"/>
        <v>|</v>
      </c>
      <c r="AG998" s="296" t="s">
        <v>2259</v>
      </c>
    </row>
    <row r="999" spans="6:33" ht="24" customHeight="1">
      <c r="K999" s="358" t="s">
        <v>1586</v>
      </c>
      <c r="N999" s="252" t="s">
        <v>975</v>
      </c>
      <c r="Q999" s="296"/>
      <c r="R999" s="358" t="s">
        <v>1586</v>
      </c>
      <c r="W999" s="253"/>
      <c r="AE999" s="370" t="str">
        <f t="shared" si="132"/>
        <v>|</v>
      </c>
      <c r="AG999" s="296" t="s">
        <v>2259</v>
      </c>
    </row>
    <row r="1000" spans="6:33" ht="24" customHeight="1">
      <c r="H1000" s="255" t="s">
        <v>5475</v>
      </c>
      <c r="K1000" s="274">
        <f>K998/F989</f>
        <v>5046.57</v>
      </c>
      <c r="O1000" s="255" t="s">
        <v>552</v>
      </c>
      <c r="Q1000" s="296"/>
      <c r="R1000" s="274">
        <f>R998/M990</f>
        <v>4068.54</v>
      </c>
      <c r="W1000" s="253"/>
      <c r="AE1000" s="370" t="str">
        <f t="shared" si="132"/>
        <v>|</v>
      </c>
      <c r="AG1000" s="296" t="s">
        <v>2259</v>
      </c>
    </row>
    <row r="1001" spans="6:33" ht="24" customHeight="1">
      <c r="K1001" s="358" t="s">
        <v>2055</v>
      </c>
      <c r="Q1001" s="296"/>
      <c r="R1001" s="358" t="s">
        <v>2055</v>
      </c>
      <c r="W1001" s="253"/>
      <c r="AE1001" s="370" t="str">
        <f t="shared" si="132"/>
        <v>|::</v>
      </c>
      <c r="AG1001" s="296" t="s">
        <v>321</v>
      </c>
    </row>
    <row r="1002" spans="6:33" ht="24" customHeight="1">
      <c r="F1002" s="253" t="s">
        <v>1337</v>
      </c>
      <c r="G1002" s="252" t="s">
        <v>2251</v>
      </c>
      <c r="H1002" s="296" t="s">
        <v>255</v>
      </c>
      <c r="W1002" s="253"/>
      <c r="AE1002" s="370">
        <f t="shared" si="132"/>
        <v>0</v>
      </c>
    </row>
    <row r="1003" spans="6:33" ht="24" customHeight="1">
      <c r="H1003" s="296" t="s">
        <v>256</v>
      </c>
      <c r="W1003" s="253"/>
      <c r="AE1003" s="370">
        <f t="shared" si="132"/>
        <v>0</v>
      </c>
    </row>
    <row r="1004" spans="6:33" ht="24" customHeight="1">
      <c r="H1004" s="296" t="s">
        <v>1472</v>
      </c>
      <c r="W1004" s="253"/>
      <c r="AE1004" s="370" t="str">
        <f t="shared" si="132"/>
        <v>|</v>
      </c>
      <c r="AG1004" s="296" t="s">
        <v>2259</v>
      </c>
    </row>
    <row r="1005" spans="6:33" ht="24" customHeight="1">
      <c r="H1005" s="358" t="s">
        <v>1586</v>
      </c>
      <c r="W1005" s="253"/>
      <c r="AE1005" s="370"/>
      <c r="AG1005" s="296"/>
    </row>
    <row r="1006" spans="6:33" ht="24" customHeight="1">
      <c r="H1006" s="296" t="s">
        <v>2154</v>
      </c>
      <c r="W1006" s="253"/>
      <c r="AE1006" s="370" t="str">
        <f t="shared" si="132"/>
        <v>|</v>
      </c>
      <c r="AG1006" s="296" t="s">
        <v>2259</v>
      </c>
    </row>
    <row r="1007" spans="6:33" ht="24" customHeight="1">
      <c r="H1007" s="296" t="s">
        <v>90</v>
      </c>
      <c r="W1007" s="253"/>
      <c r="AE1007" s="370" t="str">
        <f t="shared" si="132"/>
        <v>|</v>
      </c>
      <c r="AG1007" s="296" t="s">
        <v>2259</v>
      </c>
    </row>
    <row r="1008" spans="6:33" ht="24" customHeight="1">
      <c r="J1008" s="296" t="s">
        <v>1586</v>
      </c>
      <c r="W1008" s="253"/>
      <c r="AE1008" s="370" t="str">
        <f t="shared" si="132"/>
        <v>|</v>
      </c>
      <c r="AG1008" s="296" t="s">
        <v>2259</v>
      </c>
    </row>
    <row r="1009" spans="6:33" ht="24" customHeight="1">
      <c r="H1009" s="296" t="s">
        <v>2155</v>
      </c>
      <c r="W1009" s="253"/>
      <c r="AE1009" s="370" t="str">
        <f t="shared" si="132"/>
        <v>|</v>
      </c>
      <c r="AG1009" s="296" t="s">
        <v>2259</v>
      </c>
    </row>
    <row r="1010" spans="6:33" ht="24" customHeight="1">
      <c r="H1010" s="296" t="s">
        <v>459</v>
      </c>
      <c r="K1010" s="400">
        <v>1.1900000000000001E-2</v>
      </c>
      <c r="W1010" s="253"/>
      <c r="AE1010" s="370" t="str">
        <f t="shared" si="132"/>
        <v>|</v>
      </c>
      <c r="AG1010" s="296" t="s">
        <v>2259</v>
      </c>
    </row>
    <row r="1011" spans="6:33" ht="24" customHeight="1">
      <c r="J1011" s="296" t="s">
        <v>975</v>
      </c>
      <c r="K1011" s="358" t="s">
        <v>1586</v>
      </c>
      <c r="W1011" s="253"/>
      <c r="AE1011" s="370">
        <f t="shared" si="132"/>
        <v>0</v>
      </c>
    </row>
    <row r="1012" spans="6:33" ht="24" customHeight="1">
      <c r="H1012" s="296" t="s">
        <v>460</v>
      </c>
      <c r="J1012" s="443" t="s">
        <v>975</v>
      </c>
      <c r="K1012" s="400">
        <v>1.18E-2</v>
      </c>
      <c r="W1012" s="253"/>
      <c r="AE1012" s="370">
        <f t="shared" si="132"/>
        <v>0</v>
      </c>
    </row>
    <row r="1013" spans="6:33" ht="24" customHeight="1">
      <c r="H1013" s="296" t="s">
        <v>249</v>
      </c>
      <c r="J1013" s="296" t="s">
        <v>975</v>
      </c>
      <c r="K1013" s="448" t="s">
        <v>1586</v>
      </c>
      <c r="W1013" s="253"/>
      <c r="AE1013" s="370">
        <f t="shared" si="132"/>
        <v>0</v>
      </c>
    </row>
    <row r="1014" spans="6:33" ht="24" customHeight="1">
      <c r="W1014" s="253"/>
      <c r="AE1014" s="370">
        <f t="shared" ref="AE1014:AE1034" si="138">AG1014</f>
        <v>0</v>
      </c>
    </row>
    <row r="1015" spans="6:33" ht="24" customHeight="1">
      <c r="F1015" s="400">
        <v>1.14E-2</v>
      </c>
      <c r="G1015" s="252" t="s">
        <v>869</v>
      </c>
      <c r="H1015" s="296" t="s">
        <v>308</v>
      </c>
      <c r="I1015" s="252">
        <f>C88</f>
        <v>111600</v>
      </c>
      <c r="J1015" s="296" t="s">
        <v>869</v>
      </c>
      <c r="K1015" s="252">
        <f>(F1015*I1015)</f>
        <v>1272.24</v>
      </c>
      <c r="W1015" s="253"/>
      <c r="AE1015" s="370">
        <f t="shared" si="138"/>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38"/>
        <v>0</v>
      </c>
    </row>
    <row r="1017" spans="6:33" ht="24" customHeight="1">
      <c r="F1017" s="400">
        <v>1.18E-2</v>
      </c>
      <c r="G1017" s="252" t="s">
        <v>869</v>
      </c>
      <c r="H1017" s="296" t="s">
        <v>310</v>
      </c>
      <c r="I1017" s="252">
        <f>C90</f>
        <v>95000</v>
      </c>
      <c r="J1017" s="296" t="s">
        <v>869</v>
      </c>
      <c r="K1017" s="252">
        <f>(F1017*I1017)</f>
        <v>1121</v>
      </c>
      <c r="W1017" s="253"/>
      <c r="AE1017" s="370">
        <f t="shared" si="138"/>
        <v>0</v>
      </c>
    </row>
    <row r="1018" spans="6:33" ht="24" customHeight="1">
      <c r="F1018" s="400"/>
      <c r="H1018" s="296" t="s">
        <v>446</v>
      </c>
      <c r="I1018" s="296" t="s">
        <v>975</v>
      </c>
      <c r="K1018" s="296" t="s">
        <v>975</v>
      </c>
      <c r="W1018" s="253"/>
      <c r="AE1018" s="370">
        <f t="shared" si="138"/>
        <v>0</v>
      </c>
    </row>
    <row r="1019" spans="6:33" ht="24" customHeight="1">
      <c r="F1019" s="400">
        <v>1.2150000000000001</v>
      </c>
      <c r="G1019" s="252" t="s">
        <v>609</v>
      </c>
      <c r="H1019" s="296" t="s">
        <v>447</v>
      </c>
      <c r="I1019" s="252">
        <f>C31</f>
        <v>1537</v>
      </c>
      <c r="J1019" s="296" t="s">
        <v>609</v>
      </c>
      <c r="K1019" s="252">
        <f t="shared" ref="K1019:K1026" si="139">(F1019*I1019)</f>
        <v>1867.46</v>
      </c>
      <c r="W1019" s="253"/>
      <c r="AE1019" s="370">
        <f t="shared" si="138"/>
        <v>0</v>
      </c>
    </row>
    <row r="1020" spans="6:33" ht="24" customHeight="1">
      <c r="F1020" s="252">
        <v>1</v>
      </c>
      <c r="G1020" s="252" t="s">
        <v>769</v>
      </c>
      <c r="H1020" s="296" t="s">
        <v>1136</v>
      </c>
      <c r="I1020" s="252">
        <f>C598</f>
        <v>57.65</v>
      </c>
      <c r="J1020" s="296" t="s">
        <v>868</v>
      </c>
      <c r="K1020" s="252">
        <f t="shared" si="139"/>
        <v>57.65</v>
      </c>
      <c r="W1020" s="253"/>
      <c r="AE1020" s="370">
        <f t="shared" si="138"/>
        <v>0</v>
      </c>
    </row>
    <row r="1021" spans="6:33" ht="24" customHeight="1">
      <c r="F1021" s="252">
        <v>3</v>
      </c>
      <c r="G1021" s="252" t="s">
        <v>868</v>
      </c>
      <c r="H1021" s="296" t="str">
        <f>H991</f>
        <v xml:space="preserve">  5"BUTT HINGS (p-40)</v>
      </c>
      <c r="I1021" s="252">
        <f>C279</f>
        <v>89.6</v>
      </c>
      <c r="J1021" s="296" t="s">
        <v>868</v>
      </c>
      <c r="K1021" s="252">
        <f t="shared" si="139"/>
        <v>268.8</v>
      </c>
      <c r="W1021" s="253"/>
      <c r="AE1021" s="370">
        <f t="shared" si="138"/>
        <v>0</v>
      </c>
    </row>
    <row r="1022" spans="6:33" ht="24" customHeight="1">
      <c r="F1022" s="252">
        <v>2</v>
      </c>
      <c r="G1022" s="252" t="s">
        <v>868</v>
      </c>
      <c r="H1022" s="296" t="str">
        <f t="shared" ref="H1022:H1026" si="140">H992</f>
        <v xml:space="preserve"> 6"X1/2"TOWER BOLT (p-40)</v>
      </c>
      <c r="I1022" s="252">
        <f>C284</f>
        <v>64.8</v>
      </c>
      <c r="J1022" s="296" t="s">
        <v>868</v>
      </c>
      <c r="K1022" s="252">
        <f t="shared" si="139"/>
        <v>129.6</v>
      </c>
      <c r="W1022" s="253"/>
      <c r="AE1022" s="370">
        <f t="shared" si="138"/>
        <v>0</v>
      </c>
    </row>
    <row r="1023" spans="6:33" ht="24" customHeight="1">
      <c r="F1023" s="252">
        <v>1</v>
      </c>
      <c r="G1023" s="252" t="s">
        <v>868</v>
      </c>
      <c r="H1023" s="296" t="str">
        <f t="shared" si="140"/>
        <v>10"X5/8"ALDROP (p-41)</v>
      </c>
      <c r="I1023" s="252">
        <f>C286</f>
        <v>181</v>
      </c>
      <c r="J1023" s="296" t="s">
        <v>868</v>
      </c>
      <c r="K1023" s="252">
        <f t="shared" si="139"/>
        <v>181</v>
      </c>
      <c r="W1023" s="253"/>
      <c r="AE1023" s="370">
        <f t="shared" si="138"/>
        <v>0</v>
      </c>
    </row>
    <row r="1024" spans="6:33" ht="24" customHeight="1">
      <c r="F1024" s="252">
        <v>1</v>
      </c>
      <c r="G1024" s="252" t="s">
        <v>868</v>
      </c>
      <c r="H1024" s="296" t="str">
        <f t="shared" si="140"/>
        <v>NYLONBUSH</v>
      </c>
      <c r="I1024" s="252">
        <f>C288</f>
        <v>7.3</v>
      </c>
      <c r="J1024" s="296" t="s">
        <v>868</v>
      </c>
      <c r="K1024" s="252">
        <f t="shared" si="139"/>
        <v>7.3</v>
      </c>
      <c r="W1024" s="253"/>
      <c r="AE1024" s="370">
        <f t="shared" si="138"/>
        <v>0</v>
      </c>
    </row>
    <row r="1025" spans="6:31" ht="24" customHeight="1">
      <c r="F1025" s="252">
        <v>1</v>
      </c>
      <c r="G1025" s="252" t="s">
        <v>868</v>
      </c>
      <c r="H1025" s="296" t="str">
        <f t="shared" si="140"/>
        <v>DOOR STOPPER (p-41)</v>
      </c>
      <c r="I1025" s="252">
        <f>D598</f>
        <v>49.55</v>
      </c>
      <c r="J1025" s="296" t="s">
        <v>868</v>
      </c>
      <c r="K1025" s="252">
        <f t="shared" si="139"/>
        <v>49.55</v>
      </c>
      <c r="W1025" s="253"/>
      <c r="AE1025" s="370">
        <f t="shared" si="138"/>
        <v>0</v>
      </c>
    </row>
    <row r="1026" spans="6:31" ht="24" customHeight="1">
      <c r="F1026" s="252">
        <v>10</v>
      </c>
      <c r="G1026" s="252" t="s">
        <v>1030</v>
      </c>
      <c r="H1026" s="296" t="str">
        <f t="shared" si="140"/>
        <v>Brass screw p-55 it-232</v>
      </c>
      <c r="I1026" s="252">
        <f>I996</f>
        <v>2.41</v>
      </c>
      <c r="J1026" s="296" t="s">
        <v>868</v>
      </c>
      <c r="K1026" s="252">
        <f t="shared" si="139"/>
        <v>24.1</v>
      </c>
      <c r="M1026" s="253" t="s">
        <v>462</v>
      </c>
      <c r="N1026" s="252" t="s">
        <v>2251</v>
      </c>
      <c r="O1026" s="296" t="s">
        <v>2177</v>
      </c>
      <c r="Q1026" s="296"/>
      <c r="W1026" s="253"/>
      <c r="AE1026" s="370">
        <f t="shared" si="138"/>
        <v>0</v>
      </c>
    </row>
    <row r="1027" spans="6:31" ht="24" customHeight="1">
      <c r="K1027" s="358" t="s">
        <v>1586</v>
      </c>
      <c r="O1027" s="296" t="s">
        <v>2179</v>
      </c>
      <c r="Q1027" s="296"/>
      <c r="W1027" s="253"/>
      <c r="AE1027" s="370">
        <f t="shared" si="138"/>
        <v>0</v>
      </c>
    </row>
    <row r="1028" spans="6:31" ht="24" customHeight="1">
      <c r="H1028" s="296" t="s">
        <v>461</v>
      </c>
      <c r="K1028" s="252">
        <f>SUM(K1015:K1026)</f>
        <v>6161.56</v>
      </c>
      <c r="O1028" s="296" t="s">
        <v>2180</v>
      </c>
      <c r="Q1028" s="296"/>
      <c r="W1028" s="253"/>
      <c r="AE1028" s="370">
        <f t="shared" si="138"/>
        <v>0</v>
      </c>
    </row>
    <row r="1029" spans="6:31" ht="24" customHeight="1">
      <c r="K1029" s="358" t="s">
        <v>1586</v>
      </c>
      <c r="O1029" s="296" t="s">
        <v>2181</v>
      </c>
      <c r="Q1029" s="296"/>
      <c r="W1029" s="253"/>
      <c r="AE1029" s="370">
        <f t="shared" si="138"/>
        <v>0</v>
      </c>
    </row>
    <row r="1030" spans="6:31" ht="24" customHeight="1">
      <c r="H1030" s="255" t="s">
        <v>552</v>
      </c>
      <c r="K1030" s="274">
        <f>K1028/F1019</f>
        <v>5071.24</v>
      </c>
      <c r="O1030" s="296" t="s">
        <v>2182</v>
      </c>
      <c r="Q1030" s="296"/>
      <c r="W1030" s="253"/>
      <c r="AE1030" s="370">
        <f t="shared" si="138"/>
        <v>0</v>
      </c>
    </row>
    <row r="1031" spans="6:31" ht="24" customHeight="1">
      <c r="K1031" s="358" t="s">
        <v>2055</v>
      </c>
      <c r="O1031" s="296" t="s">
        <v>2183</v>
      </c>
      <c r="Q1031" s="296"/>
      <c r="W1031" s="253"/>
      <c r="AE1031" s="370">
        <f t="shared" si="138"/>
        <v>0</v>
      </c>
    </row>
    <row r="1032" spans="6:31" ht="24" customHeight="1">
      <c r="H1032" s="449" t="s">
        <v>3507</v>
      </c>
      <c r="I1032" s="450"/>
      <c r="J1032" s="451"/>
      <c r="K1032" s="449">
        <f>K912</f>
        <v>2135</v>
      </c>
      <c r="O1032" s="358" t="s">
        <v>1586</v>
      </c>
      <c r="Q1032" s="296"/>
      <c r="W1032" s="253"/>
      <c r="AE1032" s="370">
        <f t="shared" si="138"/>
        <v>0</v>
      </c>
    </row>
    <row r="1033" spans="6:31" ht="24" customHeight="1">
      <c r="F1033" s="253" t="s">
        <v>462</v>
      </c>
      <c r="G1033" s="252" t="s">
        <v>2251</v>
      </c>
      <c r="H1033" s="296" t="s">
        <v>2177</v>
      </c>
      <c r="O1033" s="296" t="s">
        <v>644</v>
      </c>
      <c r="Q1033" s="296"/>
      <c r="W1033" s="253"/>
      <c r="AE1033" s="370">
        <f t="shared" si="138"/>
        <v>0</v>
      </c>
    </row>
    <row r="1034" spans="6:31" ht="24" customHeight="1">
      <c r="H1034" s="296" t="s">
        <v>2179</v>
      </c>
      <c r="O1034" s="296" t="s">
        <v>2184</v>
      </c>
      <c r="Q1034" s="296"/>
      <c r="W1034" s="253"/>
      <c r="AE1034" s="370">
        <f t="shared" si="138"/>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1">AG1036</f>
        <v>0</v>
      </c>
    </row>
    <row r="1037" spans="6:31" ht="24" customHeight="1">
      <c r="H1037" s="296" t="s">
        <v>2182</v>
      </c>
      <c r="O1037" s="296" t="s">
        <v>975</v>
      </c>
      <c r="P1037" s="296" t="s">
        <v>975</v>
      </c>
      <c r="Q1037" s="296"/>
      <c r="R1037" s="443" t="s">
        <v>975</v>
      </c>
      <c r="W1037" s="253"/>
      <c r="AE1037" s="370">
        <f t="shared" si="141"/>
        <v>0</v>
      </c>
    </row>
    <row r="1038" spans="6:31" ht="24" customHeight="1">
      <c r="H1038" s="296" t="s">
        <v>2183</v>
      </c>
      <c r="Q1038" s="296" t="s">
        <v>975</v>
      </c>
      <c r="R1038" s="296" t="s">
        <v>975</v>
      </c>
      <c r="W1038" s="253"/>
      <c r="AE1038" s="370">
        <f t="shared" si="141"/>
        <v>0</v>
      </c>
    </row>
    <row r="1039" spans="6:31" ht="24" customHeight="1">
      <c r="H1039" s="358" t="s">
        <v>1586</v>
      </c>
      <c r="O1039" s="296" t="s">
        <v>2111</v>
      </c>
      <c r="Q1039" s="443" t="s">
        <v>975</v>
      </c>
      <c r="R1039" s="443" t="s">
        <v>975</v>
      </c>
      <c r="W1039" s="253"/>
      <c r="AE1039" s="370">
        <f t="shared" si="141"/>
        <v>0</v>
      </c>
    </row>
    <row r="1040" spans="6:31" ht="24" customHeight="1">
      <c r="H1040" s="296" t="s">
        <v>644</v>
      </c>
      <c r="O1040" s="296" t="s">
        <v>111</v>
      </c>
      <c r="Q1040" s="296"/>
      <c r="R1040" s="443" t="s">
        <v>1740</v>
      </c>
      <c r="W1040" s="253"/>
      <c r="AE1040" s="370">
        <f t="shared" si="141"/>
        <v>0</v>
      </c>
    </row>
    <row r="1041" spans="6:33" ht="24" customHeight="1">
      <c r="H1041" s="296" t="s">
        <v>2184</v>
      </c>
      <c r="Q1041" s="296"/>
      <c r="R1041" s="296" t="s">
        <v>975</v>
      </c>
      <c r="W1041" s="253"/>
      <c r="AE1041" s="370">
        <f t="shared" si="141"/>
        <v>0</v>
      </c>
    </row>
    <row r="1042" spans="6:33" ht="24" customHeight="1">
      <c r="J1042" s="296" t="s">
        <v>1586</v>
      </c>
      <c r="Q1042" s="296"/>
      <c r="R1042" s="443" t="s">
        <v>975</v>
      </c>
      <c r="W1042" s="253"/>
      <c r="AB1042" s="253" t="s">
        <v>462</v>
      </c>
      <c r="AC1042" s="252" t="s">
        <v>2251</v>
      </c>
      <c r="AD1042" s="296" t="s">
        <v>6122</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2">(M1046*P1046)</f>
        <v>395.48</v>
      </c>
      <c r="S1046" s="452"/>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2"/>
        <v>463.05</v>
      </c>
      <c r="W1047" s="253"/>
      <c r="AD1047" s="296" t="s">
        <v>6123</v>
      </c>
      <c r="AF1047" s="296"/>
    </row>
    <row r="1048" spans="6:33" ht="24" customHeight="1">
      <c r="K1048" s="296" t="s">
        <v>975</v>
      </c>
      <c r="M1048" s="447">
        <v>1.016</v>
      </c>
      <c r="N1048" s="252" t="s">
        <v>609</v>
      </c>
      <c r="O1048" s="296" t="s">
        <v>2091</v>
      </c>
      <c r="P1048" s="252">
        <f>I1055</f>
        <v>387.4</v>
      </c>
      <c r="Q1048" s="296" t="s">
        <v>609</v>
      </c>
      <c r="R1048" s="252">
        <f t="shared" si="142"/>
        <v>393.6</v>
      </c>
      <c r="W1048" s="253"/>
      <c r="AD1048" s="358" t="s">
        <v>1586</v>
      </c>
      <c r="AF1048" s="296"/>
    </row>
    <row r="1049" spans="6:33" ht="24" customHeight="1">
      <c r="K1049" s="443" t="s">
        <v>975</v>
      </c>
      <c r="M1049" s="447">
        <v>1.64</v>
      </c>
      <c r="N1049" s="252" t="s">
        <v>609</v>
      </c>
      <c r="O1049" s="296" t="s">
        <v>2092</v>
      </c>
      <c r="P1049" s="252">
        <f t="shared" ref="P1049:P1054" si="143">I1056</f>
        <v>1281</v>
      </c>
      <c r="Q1049" s="296" t="s">
        <v>609</v>
      </c>
      <c r="R1049" s="252">
        <f t="shared" si="142"/>
        <v>2100.84</v>
      </c>
      <c r="W1049" s="253"/>
      <c r="AD1049" s="296" t="s">
        <v>1731</v>
      </c>
      <c r="AF1049" s="296"/>
    </row>
    <row r="1050" spans="6:33" ht="24" customHeight="1">
      <c r="K1050" s="296" t="s">
        <v>975</v>
      </c>
      <c r="M1050" s="252">
        <v>2</v>
      </c>
      <c r="N1050" s="252" t="s">
        <v>868</v>
      </c>
      <c r="O1050" s="296" t="s">
        <v>2093</v>
      </c>
      <c r="P1050" s="252">
        <f t="shared" si="143"/>
        <v>64.8</v>
      </c>
      <c r="Q1050" s="296" t="s">
        <v>868</v>
      </c>
      <c r="R1050" s="252">
        <f t="shared" si="142"/>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43"/>
        <v>89.6</v>
      </c>
      <c r="Q1051" s="296" t="s">
        <v>868</v>
      </c>
      <c r="R1051" s="252">
        <f t="shared" si="142"/>
        <v>268.8</v>
      </c>
      <c r="W1051" s="253"/>
      <c r="AF1051" s="296" t="s">
        <v>1586</v>
      </c>
    </row>
    <row r="1052" spans="6:33" ht="24" customHeight="1">
      <c r="H1052" s="358" t="s">
        <v>1586</v>
      </c>
      <c r="M1052" s="252">
        <v>1</v>
      </c>
      <c r="N1052" s="252" t="s">
        <v>868</v>
      </c>
      <c r="O1052" s="296" t="s">
        <v>1979</v>
      </c>
      <c r="P1052" s="252">
        <f t="shared" si="143"/>
        <v>181</v>
      </c>
      <c r="Q1052" s="296" t="s">
        <v>868</v>
      </c>
      <c r="R1052" s="252">
        <f t="shared" si="142"/>
        <v>181</v>
      </c>
      <c r="W1052" s="253"/>
      <c r="AD1052" s="296" t="s">
        <v>1733</v>
      </c>
      <c r="AF1052" s="296"/>
    </row>
    <row r="1053" spans="6:33" ht="24" customHeight="1">
      <c r="F1053" s="444">
        <v>1.153E-2</v>
      </c>
      <c r="G1053" s="445" t="s">
        <v>869</v>
      </c>
      <c r="H1053" s="446" t="s">
        <v>692</v>
      </c>
      <c r="I1053" s="445">
        <f>C88</f>
        <v>111600</v>
      </c>
      <c r="J1053" s="446" t="s">
        <v>869</v>
      </c>
      <c r="K1053" s="445">
        <f t="shared" ref="K1053:K1063" si="144">(F1053*I1053)</f>
        <v>1286.75</v>
      </c>
      <c r="M1053" s="252">
        <v>1</v>
      </c>
      <c r="N1053" s="252" t="s">
        <v>868</v>
      </c>
      <c r="O1053" s="296" t="s">
        <v>1980</v>
      </c>
      <c r="P1053" s="252">
        <f t="shared" si="143"/>
        <v>7.3</v>
      </c>
      <c r="Q1053" s="296" t="s">
        <v>868</v>
      </c>
      <c r="R1053" s="252">
        <f t="shared" si="142"/>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44"/>
        <v>1341.9</v>
      </c>
      <c r="M1054" s="252">
        <v>1</v>
      </c>
      <c r="N1054" s="252" t="s">
        <v>868</v>
      </c>
      <c r="O1054" s="296" t="s">
        <v>1981</v>
      </c>
      <c r="P1054" s="252">
        <f t="shared" si="143"/>
        <v>57.65</v>
      </c>
      <c r="Q1054" s="296" t="s">
        <v>868</v>
      </c>
      <c r="R1054" s="252">
        <f t="shared" si="142"/>
        <v>57.65</v>
      </c>
      <c r="W1054" s="253"/>
      <c r="AF1054" s="296" t="s">
        <v>975</v>
      </c>
      <c r="AG1054" s="296" t="s">
        <v>975</v>
      </c>
    </row>
    <row r="1055" spans="6:33" ht="24" customHeight="1">
      <c r="F1055" s="447">
        <v>1.016</v>
      </c>
      <c r="G1055" s="252" t="s">
        <v>609</v>
      </c>
      <c r="H1055" s="296" t="s">
        <v>2091</v>
      </c>
      <c r="I1055" s="252">
        <f>C783</f>
        <v>387.4</v>
      </c>
      <c r="J1055" s="296" t="s">
        <v>609</v>
      </c>
      <c r="K1055" s="252">
        <f t="shared" si="144"/>
        <v>393.6</v>
      </c>
      <c r="M1055" s="252">
        <v>1</v>
      </c>
      <c r="N1055" s="252" t="s">
        <v>868</v>
      </c>
      <c r="O1055" s="296" t="s">
        <v>1982</v>
      </c>
      <c r="P1055" s="252">
        <f>P953</f>
        <v>49.55</v>
      </c>
      <c r="Q1055" s="296" t="s">
        <v>868</v>
      </c>
      <c r="R1055" s="252">
        <f t="shared" si="142"/>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44"/>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44"/>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44"/>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44"/>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44"/>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44"/>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44"/>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45">(AB1062*AE1062)</f>
        <v>2573.5</v>
      </c>
    </row>
    <row r="1063" spans="6:33" ht="24" customHeight="1">
      <c r="F1063" s="252">
        <v>58</v>
      </c>
      <c r="G1063" s="252" t="s">
        <v>1030</v>
      </c>
      <c r="H1063" s="296" t="s">
        <v>1141</v>
      </c>
      <c r="I1063" s="252">
        <f>I1026</f>
        <v>2.41</v>
      </c>
      <c r="J1063" s="296" t="s">
        <v>868</v>
      </c>
      <c r="K1063" s="252">
        <f t="shared" si="144"/>
        <v>139.78</v>
      </c>
      <c r="O1063" s="358" t="s">
        <v>1586</v>
      </c>
      <c r="Q1063" s="296"/>
      <c r="W1063" s="253"/>
      <c r="AB1063" s="447">
        <v>1.856E-2</v>
      </c>
      <c r="AC1063" s="252" t="s">
        <v>869</v>
      </c>
      <c r="AD1063" s="296" t="s">
        <v>693</v>
      </c>
      <c r="AE1063" s="445">
        <f t="shared" ref="AE1063:AE1071" si="146">I1054</f>
        <v>99400</v>
      </c>
      <c r="AF1063" s="296" t="s">
        <v>869</v>
      </c>
      <c r="AG1063" s="252">
        <f t="shared" si="145"/>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47">(M1064*P1064)</f>
        <v>1286.75</v>
      </c>
      <c r="W1064" s="253"/>
      <c r="AB1064" s="447">
        <v>1.4</v>
      </c>
      <c r="AC1064" s="252" t="s">
        <v>609</v>
      </c>
      <c r="AD1064" s="296" t="s">
        <v>2091</v>
      </c>
      <c r="AE1064" s="445">
        <f t="shared" si="146"/>
        <v>387.4</v>
      </c>
      <c r="AF1064" s="296" t="s">
        <v>609</v>
      </c>
      <c r="AG1064" s="252">
        <f t="shared" si="145"/>
        <v>542.36</v>
      </c>
    </row>
    <row r="1065" spans="6:33" ht="24" customHeight="1">
      <c r="G1065" s="252" t="s">
        <v>975</v>
      </c>
      <c r="K1065" s="358" t="s">
        <v>1586</v>
      </c>
      <c r="M1065" s="447">
        <v>1.52E-2</v>
      </c>
      <c r="N1065" s="252" t="s">
        <v>869</v>
      </c>
      <c r="O1065" s="296" t="s">
        <v>693</v>
      </c>
      <c r="P1065" s="445">
        <f t="shared" ref="P1065:P1073" si="148">I1054</f>
        <v>99400</v>
      </c>
      <c r="Q1065" s="296" t="s">
        <v>869</v>
      </c>
      <c r="R1065" s="252">
        <f t="shared" si="147"/>
        <v>1510.88</v>
      </c>
      <c r="W1065" s="253"/>
      <c r="AB1065" s="447">
        <v>2.2549999999999999</v>
      </c>
      <c r="AC1065" s="252" t="s">
        <v>609</v>
      </c>
      <c r="AD1065" s="296" t="s">
        <v>2092</v>
      </c>
      <c r="AE1065" s="445">
        <f t="shared" si="146"/>
        <v>1281</v>
      </c>
      <c r="AF1065" s="296" t="s">
        <v>609</v>
      </c>
      <c r="AG1065" s="252">
        <f t="shared" si="145"/>
        <v>2888.66</v>
      </c>
    </row>
    <row r="1066" spans="6:33" ht="24" customHeight="1">
      <c r="H1066" s="255" t="s">
        <v>552</v>
      </c>
      <c r="K1066" s="274">
        <f>K1064/F1056</f>
        <v>3632.18</v>
      </c>
      <c r="M1066" s="447">
        <v>1.26</v>
      </c>
      <c r="N1066" s="252" t="s">
        <v>609</v>
      </c>
      <c r="O1066" s="296" t="s">
        <v>2091</v>
      </c>
      <c r="P1066" s="445">
        <f t="shared" si="148"/>
        <v>387.4</v>
      </c>
      <c r="Q1066" s="296" t="s">
        <v>609</v>
      </c>
      <c r="R1066" s="252">
        <f t="shared" si="147"/>
        <v>488.12</v>
      </c>
      <c r="W1066" s="253"/>
      <c r="AB1066" s="252">
        <v>4</v>
      </c>
      <c r="AC1066" s="252" t="s">
        <v>868</v>
      </c>
      <c r="AD1066" s="296" t="s">
        <v>2093</v>
      </c>
      <c r="AE1066" s="445">
        <f t="shared" si="146"/>
        <v>64.8</v>
      </c>
      <c r="AF1066" s="296" t="s">
        <v>868</v>
      </c>
      <c r="AG1066" s="252">
        <f t="shared" si="145"/>
        <v>259.2</v>
      </c>
    </row>
    <row r="1067" spans="6:33" ht="24" customHeight="1">
      <c r="K1067" s="358" t="s">
        <v>2055</v>
      </c>
      <c r="M1067" s="447">
        <v>1.845</v>
      </c>
      <c r="N1067" s="252" t="s">
        <v>609</v>
      </c>
      <c r="O1067" s="296" t="s">
        <v>2092</v>
      </c>
      <c r="P1067" s="445">
        <f t="shared" si="148"/>
        <v>1281</v>
      </c>
      <c r="Q1067" s="296" t="s">
        <v>609</v>
      </c>
      <c r="R1067" s="252">
        <f t="shared" si="147"/>
        <v>2363.4499999999998</v>
      </c>
      <c r="W1067" s="253"/>
      <c r="AB1067" s="252">
        <v>6</v>
      </c>
      <c r="AC1067" s="252" t="s">
        <v>868</v>
      </c>
      <c r="AD1067" s="296" t="s">
        <v>1517</v>
      </c>
      <c r="AE1067" s="445">
        <f t="shared" si="146"/>
        <v>89.6</v>
      </c>
      <c r="AF1067" s="296" t="s">
        <v>868</v>
      </c>
      <c r="AG1067" s="252">
        <f t="shared" si="145"/>
        <v>537.6</v>
      </c>
    </row>
    <row r="1068" spans="6:33" ht="24" customHeight="1">
      <c r="F1068" s="253" t="s">
        <v>1572</v>
      </c>
      <c r="H1068" s="296" t="s">
        <v>1339</v>
      </c>
      <c r="M1068" s="252">
        <v>2</v>
      </c>
      <c r="N1068" s="252" t="s">
        <v>868</v>
      </c>
      <c r="O1068" s="296" t="s">
        <v>2093</v>
      </c>
      <c r="P1068" s="445">
        <f t="shared" si="148"/>
        <v>64.8</v>
      </c>
      <c r="Q1068" s="296" t="s">
        <v>868</v>
      </c>
      <c r="R1068" s="252">
        <f t="shared" si="147"/>
        <v>129.6</v>
      </c>
      <c r="W1068" s="253"/>
      <c r="AB1068" s="252">
        <v>1</v>
      </c>
      <c r="AC1068" s="252" t="s">
        <v>868</v>
      </c>
      <c r="AD1068" s="296" t="s">
        <v>1979</v>
      </c>
      <c r="AE1068" s="445">
        <f t="shared" si="146"/>
        <v>181</v>
      </c>
      <c r="AF1068" s="296" t="s">
        <v>868</v>
      </c>
      <c r="AG1068" s="252">
        <f t="shared" si="145"/>
        <v>181</v>
      </c>
    </row>
    <row r="1069" spans="6:33" ht="24" customHeight="1">
      <c r="H1069" s="296" t="s">
        <v>1340</v>
      </c>
      <c r="M1069" s="252">
        <v>3</v>
      </c>
      <c r="N1069" s="252" t="s">
        <v>868</v>
      </c>
      <c r="O1069" s="296" t="s">
        <v>1517</v>
      </c>
      <c r="P1069" s="445">
        <f t="shared" si="148"/>
        <v>89.6</v>
      </c>
      <c r="Q1069" s="296" t="s">
        <v>868</v>
      </c>
      <c r="R1069" s="252">
        <f t="shared" si="147"/>
        <v>268.8</v>
      </c>
      <c r="W1069" s="253"/>
      <c r="AB1069" s="252">
        <v>2</v>
      </c>
      <c r="AC1069" s="252" t="s">
        <v>868</v>
      </c>
      <c r="AD1069" s="296" t="s">
        <v>1980</v>
      </c>
      <c r="AE1069" s="445">
        <f t="shared" si="146"/>
        <v>7.3</v>
      </c>
      <c r="AF1069" s="296" t="s">
        <v>868</v>
      </c>
      <c r="AG1069" s="252">
        <f t="shared" si="145"/>
        <v>14.6</v>
      </c>
    </row>
    <row r="1070" spans="6:33" ht="24" customHeight="1">
      <c r="H1070" s="358" t="s">
        <v>1586</v>
      </c>
      <c r="M1070" s="252">
        <v>1</v>
      </c>
      <c r="N1070" s="252" t="s">
        <v>868</v>
      </c>
      <c r="O1070" s="296" t="s">
        <v>1979</v>
      </c>
      <c r="P1070" s="445">
        <f t="shared" si="148"/>
        <v>181</v>
      </c>
      <c r="Q1070" s="296" t="s">
        <v>868</v>
      </c>
      <c r="R1070" s="252">
        <f t="shared" si="147"/>
        <v>181</v>
      </c>
      <c r="W1070" s="253"/>
      <c r="AB1070" s="252">
        <v>2</v>
      </c>
      <c r="AC1070" s="252" t="s">
        <v>868</v>
      </c>
      <c r="AD1070" s="296" t="s">
        <v>1137</v>
      </c>
      <c r="AE1070" s="445">
        <f t="shared" si="146"/>
        <v>57.65</v>
      </c>
      <c r="AF1070" s="296" t="s">
        <v>868</v>
      </c>
      <c r="AG1070" s="252">
        <f t="shared" si="145"/>
        <v>115.3</v>
      </c>
    </row>
    <row r="1071" spans="6:33" ht="24" customHeight="1">
      <c r="F1071" s="447">
        <v>6.6499999999999997E-3</v>
      </c>
      <c r="G1071" s="252" t="s">
        <v>1341</v>
      </c>
      <c r="H1071" s="296" t="s">
        <v>1342</v>
      </c>
      <c r="I1071" s="252">
        <f>C89</f>
        <v>99400</v>
      </c>
      <c r="J1071" s="296" t="s">
        <v>869</v>
      </c>
      <c r="K1071" s="252">
        <f t="shared" ref="K1071:K1078" si="149">(F1071*I1071)</f>
        <v>661.01</v>
      </c>
      <c r="M1071" s="252">
        <v>1</v>
      </c>
      <c r="N1071" s="252" t="s">
        <v>868</v>
      </c>
      <c r="O1071" s="296" t="s">
        <v>1980</v>
      </c>
      <c r="P1071" s="445">
        <f t="shared" si="148"/>
        <v>7.3</v>
      </c>
      <c r="Q1071" s="296" t="s">
        <v>868</v>
      </c>
      <c r="R1071" s="252">
        <f t="shared" si="147"/>
        <v>7.3</v>
      </c>
      <c r="W1071" s="253"/>
      <c r="AB1071" s="252">
        <v>2</v>
      </c>
      <c r="AC1071" s="252" t="s">
        <v>868</v>
      </c>
      <c r="AD1071" s="296" t="s">
        <v>1982</v>
      </c>
      <c r="AE1071" s="445">
        <f t="shared" si="146"/>
        <v>49.55</v>
      </c>
      <c r="AF1071" s="296" t="s">
        <v>868</v>
      </c>
      <c r="AG1071" s="252">
        <f t="shared" si="145"/>
        <v>99.1</v>
      </c>
    </row>
    <row r="1072" spans="6:33" ht="24" customHeight="1">
      <c r="F1072" s="447">
        <v>0.32346000000000003</v>
      </c>
      <c r="G1072" s="252" t="s">
        <v>609</v>
      </c>
      <c r="H1072" s="296" t="s">
        <v>1607</v>
      </c>
      <c r="I1072" s="402">
        <v>208.8</v>
      </c>
      <c r="J1072" s="296" t="s">
        <v>869</v>
      </c>
      <c r="K1072" s="252">
        <f t="shared" si="149"/>
        <v>67.540000000000006</v>
      </c>
      <c r="M1072" s="252">
        <v>1</v>
      </c>
      <c r="N1072" s="252" t="s">
        <v>868</v>
      </c>
      <c r="O1072" s="296" t="s">
        <v>1137</v>
      </c>
      <c r="P1072" s="445">
        <f t="shared" si="148"/>
        <v>57.65</v>
      </c>
      <c r="Q1072" s="296" t="s">
        <v>868</v>
      </c>
      <c r="R1072" s="252">
        <f t="shared" si="147"/>
        <v>57.65</v>
      </c>
      <c r="W1072" s="253"/>
      <c r="AB1072" s="252">
        <v>118</v>
      </c>
      <c r="AC1072" s="252" t="s">
        <v>868</v>
      </c>
      <c r="AD1072" s="296" t="s">
        <v>1141</v>
      </c>
      <c r="AE1072" s="445">
        <f>I1063</f>
        <v>2.41</v>
      </c>
      <c r="AF1072" s="296"/>
      <c r="AG1072" s="252">
        <f t="shared" si="145"/>
        <v>284.38</v>
      </c>
    </row>
    <row r="1073" spans="6:33" ht="24" customHeight="1">
      <c r="F1073" s="447">
        <v>0.47660000000000002</v>
      </c>
      <c r="G1073" s="252" t="s">
        <v>609</v>
      </c>
      <c r="H1073" s="296" t="s">
        <v>2092</v>
      </c>
      <c r="I1073" s="252">
        <f>D31</f>
        <v>1436</v>
      </c>
      <c r="J1073" s="296" t="s">
        <v>609</v>
      </c>
      <c r="K1073" s="252">
        <f t="shared" si="149"/>
        <v>684.4</v>
      </c>
      <c r="M1073" s="252">
        <v>1</v>
      </c>
      <c r="N1073" s="252" t="s">
        <v>868</v>
      </c>
      <c r="O1073" s="296" t="s">
        <v>1982</v>
      </c>
      <c r="P1073" s="445">
        <f t="shared" si="148"/>
        <v>49.55</v>
      </c>
      <c r="Q1073" s="296" t="s">
        <v>868</v>
      </c>
      <c r="R1073" s="252">
        <f t="shared" si="147"/>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49"/>
        <v>148.05000000000001</v>
      </c>
      <c r="M1074" s="252">
        <v>58</v>
      </c>
      <c r="O1074" s="296" t="s">
        <v>1742</v>
      </c>
      <c r="P1074" s="445">
        <f>I1078</f>
        <v>2.41</v>
      </c>
      <c r="Q1074" s="296"/>
      <c r="R1074" s="252">
        <f t="shared" si="147"/>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49"/>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49"/>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49"/>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49"/>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0">(F1086*I1086)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0"/>
        <v>49.84</v>
      </c>
      <c r="W1087" s="253"/>
      <c r="AE1087" s="370"/>
    </row>
    <row r="1088" spans="6:33" ht="24" customHeight="1">
      <c r="F1088" s="447">
        <v>0.36199999999999999</v>
      </c>
      <c r="G1088" s="252" t="s">
        <v>609</v>
      </c>
      <c r="H1088" s="296" t="s">
        <v>2092</v>
      </c>
      <c r="I1088" s="252">
        <f>D31</f>
        <v>1436</v>
      </c>
      <c r="J1088" s="296" t="s">
        <v>609</v>
      </c>
      <c r="K1088" s="252">
        <f t="shared" si="150"/>
        <v>519.83000000000004</v>
      </c>
      <c r="W1088" s="253"/>
      <c r="AE1088" s="370"/>
    </row>
    <row r="1089" spans="6:31" ht="24" customHeight="1">
      <c r="F1089" s="252">
        <v>3</v>
      </c>
      <c r="G1089" s="252" t="s">
        <v>868</v>
      </c>
      <c r="H1089" s="296" t="s">
        <v>1343</v>
      </c>
      <c r="I1089" s="252">
        <f>C282</f>
        <v>49.35</v>
      </c>
      <c r="J1089" s="296" t="s">
        <v>868</v>
      </c>
      <c r="K1089" s="252">
        <f t="shared" si="150"/>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0"/>
        <v>79.400000000000006</v>
      </c>
      <c r="M1090" s="400">
        <v>4.2999999999999997E-2</v>
      </c>
      <c r="N1090" s="252" t="s">
        <v>869</v>
      </c>
      <c r="O1090" s="296" t="s">
        <v>309</v>
      </c>
      <c r="P1090" s="252">
        <f>I1054</f>
        <v>99400</v>
      </c>
      <c r="Q1090" s="296" t="s">
        <v>869</v>
      </c>
      <c r="R1090" s="252">
        <f t="shared" ref="R1090:R1100" si="151">P1090*M1090</f>
        <v>4274.2</v>
      </c>
      <c r="W1090" s="253"/>
      <c r="AE1090" s="370"/>
    </row>
    <row r="1091" spans="6:31" ht="24" customHeight="1">
      <c r="F1091" s="252">
        <v>1</v>
      </c>
      <c r="G1091" s="252" t="s">
        <v>868</v>
      </c>
      <c r="H1091" s="296" t="s">
        <v>2108</v>
      </c>
      <c r="I1091" s="434">
        <f>I1076</f>
        <v>7.3</v>
      </c>
      <c r="J1091" s="296" t="s">
        <v>868</v>
      </c>
      <c r="K1091" s="252">
        <f t="shared" si="150"/>
        <v>7.3</v>
      </c>
      <c r="M1091" s="400">
        <v>4.0800000000000003E-2</v>
      </c>
      <c r="N1091" s="252" t="s">
        <v>869</v>
      </c>
      <c r="O1091" s="296" t="s">
        <v>310</v>
      </c>
      <c r="P1091" s="252">
        <f>I1017</f>
        <v>95000</v>
      </c>
      <c r="Q1091" s="296" t="s">
        <v>869</v>
      </c>
      <c r="R1091" s="252">
        <f t="shared" si="151"/>
        <v>3876</v>
      </c>
      <c r="W1091" s="253"/>
      <c r="AE1091" s="370"/>
    </row>
    <row r="1092" spans="6:31" ht="24" customHeight="1">
      <c r="F1092" s="252">
        <v>1</v>
      </c>
      <c r="G1092" s="252" t="s">
        <v>868</v>
      </c>
      <c r="H1092" s="296" t="s">
        <v>2109</v>
      </c>
      <c r="I1092" s="252">
        <f>C292</f>
        <v>8.9</v>
      </c>
      <c r="J1092" s="296" t="s">
        <v>868</v>
      </c>
      <c r="K1092" s="252">
        <f t="shared" si="150"/>
        <v>8.9</v>
      </c>
      <c r="M1092" s="400"/>
      <c r="O1092" s="296" t="s">
        <v>945</v>
      </c>
      <c r="Q1092" s="296"/>
      <c r="R1092" s="252">
        <f t="shared" si="151"/>
        <v>0</v>
      </c>
      <c r="W1092" s="253"/>
      <c r="AE1092" s="370"/>
    </row>
    <row r="1093" spans="6:31" ht="24" customHeight="1">
      <c r="F1093" s="252">
        <v>10</v>
      </c>
      <c r="H1093" s="296" t="s">
        <v>1141</v>
      </c>
      <c r="I1093" s="252">
        <f>I1078</f>
        <v>2.41</v>
      </c>
      <c r="J1093" s="296" t="s">
        <v>868</v>
      </c>
      <c r="K1093" s="252">
        <f t="shared" si="150"/>
        <v>24.1</v>
      </c>
      <c r="M1093" s="400">
        <v>3.4424999999999999</v>
      </c>
      <c r="N1093" s="252" t="s">
        <v>609</v>
      </c>
      <c r="O1093" s="296" t="s">
        <v>447</v>
      </c>
      <c r="P1093" s="252">
        <f>I1019</f>
        <v>1537</v>
      </c>
      <c r="Q1093" s="296" t="s">
        <v>609</v>
      </c>
      <c r="R1093" s="252">
        <f t="shared" si="151"/>
        <v>5291.12</v>
      </c>
      <c r="W1093" s="253"/>
      <c r="AE1093" s="370"/>
    </row>
    <row r="1094" spans="6:31" ht="24" customHeight="1">
      <c r="K1094" s="358" t="s">
        <v>1586</v>
      </c>
      <c r="M1094" s="252">
        <v>2</v>
      </c>
      <c r="N1094" s="252" t="s">
        <v>769</v>
      </c>
      <c r="O1094" s="296" t="s">
        <v>1136</v>
      </c>
      <c r="P1094" s="252">
        <f t="shared" ref="P1094:P1099" si="152">I1020</f>
        <v>57.65</v>
      </c>
      <c r="Q1094" s="296" t="s">
        <v>868</v>
      </c>
      <c r="R1094" s="252">
        <f t="shared" si="151"/>
        <v>115.3</v>
      </c>
      <c r="W1094" s="253"/>
      <c r="AE1094" s="370"/>
    </row>
    <row r="1095" spans="6:31" ht="24" customHeight="1">
      <c r="H1095" s="253" t="s">
        <v>889</v>
      </c>
      <c r="K1095" s="252">
        <f>SUM(K1082:K1093)</f>
        <v>1374.18</v>
      </c>
      <c r="M1095" s="252">
        <v>6</v>
      </c>
      <c r="N1095" s="252" t="s">
        <v>868</v>
      </c>
      <c r="O1095" s="296" t="s">
        <v>1464</v>
      </c>
      <c r="P1095" s="252">
        <f t="shared" si="152"/>
        <v>89.6</v>
      </c>
      <c r="Q1095" s="296" t="s">
        <v>868</v>
      </c>
      <c r="R1095" s="252">
        <f t="shared" si="151"/>
        <v>537.6</v>
      </c>
      <c r="W1095" s="253"/>
      <c r="AE1095" s="370"/>
    </row>
    <row r="1096" spans="6:31" ht="24" customHeight="1">
      <c r="K1096" s="358" t="s">
        <v>1586</v>
      </c>
      <c r="M1096" s="252">
        <v>4</v>
      </c>
      <c r="N1096" s="252" t="s">
        <v>868</v>
      </c>
      <c r="O1096" s="296" t="s">
        <v>1465</v>
      </c>
      <c r="P1096" s="252">
        <f t="shared" si="152"/>
        <v>64.8</v>
      </c>
      <c r="Q1096" s="296" t="s">
        <v>868</v>
      </c>
      <c r="R1096" s="252">
        <f t="shared" si="151"/>
        <v>259.2</v>
      </c>
      <c r="W1096" s="253"/>
      <c r="AE1096" s="370"/>
    </row>
    <row r="1097" spans="6:31" ht="24" customHeight="1">
      <c r="H1097" s="255" t="s">
        <v>552</v>
      </c>
      <c r="I1097" s="296" t="s">
        <v>975</v>
      </c>
      <c r="K1097" s="274">
        <f>K1095/F1088</f>
        <v>3796.08</v>
      </c>
      <c r="M1097" s="252">
        <v>1</v>
      </c>
      <c r="N1097" s="252" t="s">
        <v>868</v>
      </c>
      <c r="O1097" s="296" t="s">
        <v>1466</v>
      </c>
      <c r="P1097" s="252">
        <f t="shared" si="152"/>
        <v>181</v>
      </c>
      <c r="Q1097" s="296" t="s">
        <v>868</v>
      </c>
      <c r="R1097" s="252">
        <f t="shared" si="151"/>
        <v>181</v>
      </c>
      <c r="W1097" s="253"/>
      <c r="AE1097" s="370"/>
    </row>
    <row r="1098" spans="6:31" ht="24" customHeight="1">
      <c r="K1098" s="358" t="s">
        <v>2055</v>
      </c>
      <c r="M1098" s="252">
        <v>2</v>
      </c>
      <c r="N1098" s="252" t="s">
        <v>868</v>
      </c>
      <c r="O1098" s="296" t="s">
        <v>1467</v>
      </c>
      <c r="P1098" s="252">
        <f t="shared" si="152"/>
        <v>7.3</v>
      </c>
      <c r="Q1098" s="296" t="s">
        <v>868</v>
      </c>
      <c r="R1098" s="252">
        <f t="shared" si="151"/>
        <v>14.6</v>
      </c>
      <c r="W1098" s="253"/>
      <c r="AE1098" s="370"/>
    </row>
    <row r="1099" spans="6:31" ht="24" customHeight="1">
      <c r="F1099" s="253" t="s">
        <v>1615</v>
      </c>
      <c r="G1099" s="252" t="s">
        <v>2251</v>
      </c>
      <c r="H1099" s="296" t="s">
        <v>890</v>
      </c>
      <c r="M1099" s="252">
        <v>2</v>
      </c>
      <c r="N1099" s="252" t="s">
        <v>868</v>
      </c>
      <c r="O1099" s="296" t="s">
        <v>1982</v>
      </c>
      <c r="P1099" s="252">
        <f t="shared" si="152"/>
        <v>49.55</v>
      </c>
      <c r="Q1099" s="296" t="s">
        <v>868</v>
      </c>
      <c r="R1099" s="252">
        <f t="shared" si="151"/>
        <v>99.1</v>
      </c>
      <c r="W1099" s="253"/>
      <c r="AE1099" s="370"/>
    </row>
    <row r="1100" spans="6:31" ht="24" customHeight="1">
      <c r="H1100" s="296" t="s">
        <v>1994</v>
      </c>
      <c r="M1100" s="252">
        <v>10</v>
      </c>
      <c r="O1100" s="296" t="s">
        <v>1742</v>
      </c>
      <c r="P1100" s="252">
        <f>P1074</f>
        <v>2.41</v>
      </c>
      <c r="Q1100" s="296"/>
      <c r="R1100" s="252">
        <f t="shared" si="151"/>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53">(F1102*I1102)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53"/>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53"/>
        <v>478.8</v>
      </c>
      <c r="Q1104" s="296"/>
      <c r="R1104" s="358" t="s">
        <v>2055</v>
      </c>
      <c r="W1104" s="253"/>
      <c r="AE1104" s="370"/>
    </row>
    <row r="1105" spans="6:31" ht="24" customHeight="1">
      <c r="F1105" s="252">
        <v>2</v>
      </c>
      <c r="G1105" s="252" t="s">
        <v>1995</v>
      </c>
      <c r="H1105" s="296" t="s">
        <v>1996</v>
      </c>
      <c r="I1105" s="252">
        <f>C305</f>
        <v>8.5</v>
      </c>
      <c r="J1105" s="296" t="s">
        <v>1995</v>
      </c>
      <c r="K1105" s="252">
        <f t="shared" si="153"/>
        <v>17</v>
      </c>
      <c r="W1105" s="253"/>
      <c r="AE1105" s="370"/>
    </row>
    <row r="1106" spans="6:31" ht="24" customHeight="1">
      <c r="F1106" s="252">
        <v>1</v>
      </c>
      <c r="G1106" s="252" t="s">
        <v>868</v>
      </c>
      <c r="H1106" s="296" t="s">
        <v>1997</v>
      </c>
      <c r="I1106" s="252">
        <f>C293</f>
        <v>6.1</v>
      </c>
      <c r="J1106" s="296" t="s">
        <v>868</v>
      </c>
      <c r="K1106" s="252">
        <f t="shared" si="153"/>
        <v>6.1</v>
      </c>
      <c r="W1106" s="253"/>
      <c r="AE1106" s="370"/>
    </row>
    <row r="1107" spans="6:31" ht="24" customHeight="1">
      <c r="F1107" s="252">
        <v>1</v>
      </c>
      <c r="G1107" s="252" t="s">
        <v>868</v>
      </c>
      <c r="H1107" s="296" t="s">
        <v>1998</v>
      </c>
      <c r="I1107" s="314">
        <f>C291</f>
        <v>11.8</v>
      </c>
      <c r="J1107" s="296" t="s">
        <v>868</v>
      </c>
      <c r="K1107" s="252">
        <f t="shared" si="153"/>
        <v>11.8</v>
      </c>
      <c r="O1107" s="296" t="s">
        <v>1741</v>
      </c>
      <c r="W1107" s="253"/>
      <c r="AE1107" s="370"/>
    </row>
    <row r="1108" spans="6:31" ht="24" customHeight="1">
      <c r="F1108" s="252">
        <v>10</v>
      </c>
      <c r="H1108" s="296" t="s">
        <v>1141</v>
      </c>
      <c r="I1108" s="252">
        <f>I1093</f>
        <v>2.41</v>
      </c>
      <c r="J1108" s="296" t="s">
        <v>868</v>
      </c>
      <c r="K1108" s="252">
        <f t="shared" si="153"/>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54">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54"/>
        <v>3068.5</v>
      </c>
      <c r="W1113" s="253"/>
      <c r="AE1113" s="370"/>
    </row>
    <row r="1114" spans="6:31" ht="24" customHeight="1">
      <c r="K1114" s="358" t="s">
        <v>2055</v>
      </c>
      <c r="M1114" s="356">
        <v>2.835</v>
      </c>
      <c r="N1114" s="252" t="s">
        <v>609</v>
      </c>
      <c r="O1114" s="252" t="s">
        <v>883</v>
      </c>
      <c r="P1114" s="252">
        <f t="shared" ref="P1114:P1120" si="155">P1093</f>
        <v>1537</v>
      </c>
      <c r="Q1114" s="296" t="s">
        <v>609</v>
      </c>
      <c r="R1114" s="252">
        <f t="shared" si="154"/>
        <v>4357.3999999999996</v>
      </c>
      <c r="W1114" s="253"/>
      <c r="AE1114" s="370"/>
    </row>
    <row r="1115" spans="6:31" ht="24" customHeight="1">
      <c r="F1115" s="375">
        <v>22.3</v>
      </c>
      <c r="H1115" s="296" t="s">
        <v>1999</v>
      </c>
      <c r="L1115" s="296" t="s">
        <v>975</v>
      </c>
      <c r="M1115" s="252">
        <v>2</v>
      </c>
      <c r="N1115" s="252" t="s">
        <v>1873</v>
      </c>
      <c r="O1115" s="252" t="s">
        <v>2123</v>
      </c>
      <c r="P1115" s="252">
        <f t="shared" si="155"/>
        <v>57.65</v>
      </c>
      <c r="Q1115" s="296" t="s">
        <v>1398</v>
      </c>
      <c r="R1115" s="252">
        <f t="shared" si="154"/>
        <v>115.3</v>
      </c>
      <c r="W1115" s="253"/>
      <c r="AE1115" s="370"/>
    </row>
    <row r="1116" spans="6:31" ht="24" customHeight="1">
      <c r="H1116" s="358" t="s">
        <v>1586</v>
      </c>
      <c r="I1116" s="358" t="s">
        <v>1586</v>
      </c>
      <c r="J1116" s="296" t="s">
        <v>1586</v>
      </c>
      <c r="M1116" s="252">
        <v>6</v>
      </c>
      <c r="N1116" s="252" t="s">
        <v>1873</v>
      </c>
      <c r="O1116" s="252" t="s">
        <v>1098</v>
      </c>
      <c r="P1116" s="252">
        <f t="shared" si="155"/>
        <v>89.6</v>
      </c>
      <c r="Q1116" s="296" t="s">
        <v>1398</v>
      </c>
      <c r="R1116" s="252">
        <f t="shared" si="154"/>
        <v>537.6</v>
      </c>
      <c r="W1116" s="253"/>
      <c r="AE1116" s="370"/>
    </row>
    <row r="1117" spans="6:31" ht="24" customHeight="1">
      <c r="M1117" s="252">
        <v>4</v>
      </c>
      <c r="N1117" s="252" t="s">
        <v>1873</v>
      </c>
      <c r="O1117" s="252" t="s">
        <v>1348</v>
      </c>
      <c r="P1117" s="252">
        <f t="shared" si="155"/>
        <v>64.8</v>
      </c>
      <c r="Q1117" s="296" t="s">
        <v>1398</v>
      </c>
      <c r="R1117" s="252">
        <f t="shared" si="154"/>
        <v>259.2</v>
      </c>
      <c r="W1117" s="253"/>
      <c r="AE1117" s="370"/>
    </row>
    <row r="1118" spans="6:31" ht="24" customHeight="1">
      <c r="H1118" s="296" t="s">
        <v>2000</v>
      </c>
      <c r="M1118" s="252">
        <v>1</v>
      </c>
      <c r="N1118" s="252" t="s">
        <v>1873</v>
      </c>
      <c r="O1118" s="252" t="s">
        <v>1349</v>
      </c>
      <c r="P1118" s="252">
        <f t="shared" si="155"/>
        <v>181</v>
      </c>
      <c r="Q1118" s="296" t="s">
        <v>1398</v>
      </c>
      <c r="R1118" s="252">
        <f t="shared" si="154"/>
        <v>181</v>
      </c>
      <c r="W1118" s="253"/>
      <c r="AE1118" s="370"/>
    </row>
    <row r="1119" spans="6:31" ht="24" customHeight="1">
      <c r="H1119" s="296" t="s">
        <v>2001</v>
      </c>
      <c r="M1119" s="252">
        <v>2</v>
      </c>
      <c r="N1119" s="252" t="s">
        <v>1873</v>
      </c>
      <c r="O1119" s="252" t="s">
        <v>1980</v>
      </c>
      <c r="P1119" s="252">
        <f t="shared" si="155"/>
        <v>7.3</v>
      </c>
      <c r="Q1119" s="296" t="s">
        <v>1398</v>
      </c>
      <c r="R1119" s="252">
        <f t="shared" si="154"/>
        <v>14.6</v>
      </c>
      <c r="W1119" s="253"/>
      <c r="AE1119" s="370"/>
    </row>
    <row r="1120" spans="6:31" ht="24" customHeight="1">
      <c r="H1120" s="296" t="s">
        <v>454</v>
      </c>
      <c r="M1120" s="252">
        <v>2</v>
      </c>
      <c r="N1120" s="252" t="s">
        <v>1873</v>
      </c>
      <c r="O1120" s="252" t="s">
        <v>1982</v>
      </c>
      <c r="P1120" s="252">
        <f t="shared" si="155"/>
        <v>49.55</v>
      </c>
      <c r="Q1120" s="296" t="s">
        <v>1398</v>
      </c>
      <c r="R1120" s="252">
        <f t="shared" si="154"/>
        <v>99.1</v>
      </c>
      <c r="W1120" s="253"/>
      <c r="AE1120" s="370"/>
    </row>
    <row r="1121" spans="6:62" ht="24" customHeight="1">
      <c r="H1121" s="296" t="s">
        <v>455</v>
      </c>
      <c r="M1121" s="252">
        <v>118</v>
      </c>
      <c r="O1121" s="296" t="s">
        <v>1742</v>
      </c>
      <c r="P1121" s="252">
        <f>P1100</f>
        <v>2.41</v>
      </c>
      <c r="Q1121" s="296"/>
      <c r="R1121" s="252">
        <f t="shared" si="154"/>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56">(F1127*I1127)</f>
        <v>1316.88</v>
      </c>
      <c r="W1127" s="253"/>
      <c r="AE1127" s="370"/>
    </row>
    <row r="1128" spans="6:62" ht="24" customHeight="1">
      <c r="F1128" s="447">
        <v>3.32E-2</v>
      </c>
      <c r="G1128" s="252" t="s">
        <v>869</v>
      </c>
      <c r="H1128" s="296" t="s">
        <v>693</v>
      </c>
      <c r="I1128" s="252">
        <f>C89</f>
        <v>99400</v>
      </c>
      <c r="J1128" s="296" t="s">
        <v>869</v>
      </c>
      <c r="K1128" s="252">
        <f t="shared" si="156"/>
        <v>3300.08</v>
      </c>
      <c r="W1128" s="253"/>
      <c r="AE1128" s="370"/>
    </row>
    <row r="1129" spans="6:62" ht="24" customHeight="1">
      <c r="F1129" s="447">
        <v>1.8550000000000001E-2</v>
      </c>
      <c r="G1129" s="252" t="s">
        <v>869</v>
      </c>
      <c r="H1129" s="296" t="s">
        <v>886</v>
      </c>
      <c r="I1129" s="252">
        <f>C30</f>
        <v>13690</v>
      </c>
      <c r="J1129" s="296" t="s">
        <v>869</v>
      </c>
      <c r="K1129" s="252">
        <f t="shared" si="156"/>
        <v>253.95</v>
      </c>
      <c r="W1129" s="253"/>
      <c r="AE1129" s="370"/>
    </row>
    <row r="1130" spans="6:62" ht="24" customHeight="1">
      <c r="F1130" s="447">
        <v>1.46</v>
      </c>
      <c r="G1130" s="252" t="s">
        <v>609</v>
      </c>
      <c r="H1130" s="296" t="s">
        <v>887</v>
      </c>
      <c r="I1130" s="455">
        <v>269.10000000000002</v>
      </c>
      <c r="J1130" s="296" t="s">
        <v>609</v>
      </c>
      <c r="K1130" s="252">
        <f t="shared" si="156"/>
        <v>392.89</v>
      </c>
      <c r="W1130" s="253"/>
      <c r="AE1130" s="370"/>
    </row>
    <row r="1131" spans="6:62" ht="24" customHeight="1">
      <c r="F1131" s="447">
        <v>2.0499999999999998</v>
      </c>
      <c r="G1131" s="252" t="s">
        <v>609</v>
      </c>
      <c r="H1131" s="296" t="s">
        <v>1506</v>
      </c>
      <c r="I1131" s="252">
        <f>D30</f>
        <v>1281</v>
      </c>
      <c r="J1131" s="296" t="s">
        <v>609</v>
      </c>
      <c r="K1131" s="252">
        <f t="shared" si="156"/>
        <v>2626.05</v>
      </c>
      <c r="W1131" s="253"/>
      <c r="AE1131" s="370"/>
    </row>
    <row r="1132" spans="6:62" ht="24" customHeight="1">
      <c r="F1132" s="252">
        <v>2</v>
      </c>
      <c r="G1132" s="252" t="s">
        <v>868</v>
      </c>
      <c r="H1132" s="296" t="s">
        <v>1507</v>
      </c>
      <c r="I1132" s="252">
        <f>C285</f>
        <v>39.700000000000003</v>
      </c>
      <c r="J1132" s="296" t="s">
        <v>868</v>
      </c>
      <c r="K1132" s="252">
        <f t="shared" si="156"/>
        <v>79.400000000000006</v>
      </c>
      <c r="W1132" s="253"/>
      <c r="AE1132" s="370"/>
    </row>
    <row r="1133" spans="6:62" ht="24" customHeight="1">
      <c r="F1133" s="252">
        <v>6</v>
      </c>
      <c r="G1133" s="252" t="s">
        <v>868</v>
      </c>
      <c r="H1133" s="296" t="s">
        <v>1343</v>
      </c>
      <c r="I1133" s="252">
        <f>C282</f>
        <v>49.35</v>
      </c>
      <c r="J1133" s="296" t="s">
        <v>868</v>
      </c>
      <c r="K1133" s="252">
        <f t="shared" si="156"/>
        <v>296.10000000000002</v>
      </c>
      <c r="W1133" s="253"/>
      <c r="AE1133" s="370"/>
    </row>
    <row r="1134" spans="6:62" ht="24" customHeight="1">
      <c r="F1134" s="252">
        <v>2</v>
      </c>
      <c r="G1134" s="252" t="s">
        <v>868</v>
      </c>
      <c r="H1134" s="296" t="s">
        <v>5318</v>
      </c>
      <c r="I1134" s="362">
        <v>60.9</v>
      </c>
      <c r="J1134" s="296" t="s">
        <v>868</v>
      </c>
      <c r="K1134" s="252">
        <f t="shared" si="156"/>
        <v>121.8</v>
      </c>
      <c r="W1134" s="253"/>
      <c r="AE1134" s="370"/>
    </row>
    <row r="1135" spans="6:62" ht="24" customHeight="1">
      <c r="F1135" s="252">
        <v>1</v>
      </c>
      <c r="G1135" s="252" t="s">
        <v>868</v>
      </c>
      <c r="H1135" s="420" t="s">
        <v>4235</v>
      </c>
      <c r="I1135" s="420">
        <v>63.2</v>
      </c>
      <c r="J1135" s="296" t="s">
        <v>868</v>
      </c>
      <c r="K1135" s="252">
        <f t="shared" si="156"/>
        <v>63.2</v>
      </c>
      <c r="W1135" s="253"/>
      <c r="AE1135" s="370"/>
    </row>
    <row r="1136" spans="6:62" ht="24" customHeight="1">
      <c r="F1136" s="252">
        <v>2.52</v>
      </c>
      <c r="G1136" s="252" t="s">
        <v>609</v>
      </c>
      <c r="H1136" s="296" t="s">
        <v>1713</v>
      </c>
      <c r="I1136" s="252">
        <f>K1167</f>
        <v>194.22</v>
      </c>
      <c r="J1136" s="296" t="s">
        <v>609</v>
      </c>
      <c r="K1136" s="252">
        <f t="shared" si="156"/>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1685.18</v>
      </c>
      <c r="Q1141" s="296" t="s">
        <v>869</v>
      </c>
      <c r="R1141" s="252">
        <f>P1141*N1141</f>
        <v>763.39</v>
      </c>
      <c r="W1141" s="253"/>
      <c r="AE1141" s="370"/>
    </row>
    <row r="1142" spans="6:31" ht="24" customHeight="1">
      <c r="K1142" s="358" t="s">
        <v>2055</v>
      </c>
      <c r="N1142" s="356">
        <v>0.30199999999999999</v>
      </c>
      <c r="O1142" s="296" t="s">
        <v>3582</v>
      </c>
      <c r="P1142" s="252">
        <f>C71</f>
        <v>1212.18</v>
      </c>
      <c r="Q1142" s="296" t="str">
        <f>Q1141</f>
        <v>CUM</v>
      </c>
      <c r="R1142" s="252">
        <f t="shared" ref="R1142:R1147" si="157">P1142*N1142</f>
        <v>366.08</v>
      </c>
      <c r="W1142" s="253"/>
      <c r="AE1142" s="370"/>
    </row>
    <row r="1143" spans="6:31" ht="24" customHeight="1">
      <c r="G1143" s="252" t="s">
        <v>2251</v>
      </c>
      <c r="H1143" s="296" t="s">
        <v>182</v>
      </c>
      <c r="N1143" s="252">
        <v>0.44</v>
      </c>
      <c r="O1143" s="296" t="s">
        <v>870</v>
      </c>
      <c r="P1143" s="252">
        <f>C78</f>
        <v>1464.46</v>
      </c>
      <c r="Q1143" s="296" t="s">
        <v>869</v>
      </c>
      <c r="R1143" s="252">
        <f t="shared" si="157"/>
        <v>644.36</v>
      </c>
      <c r="W1143" s="253"/>
      <c r="AE1143" s="370"/>
    </row>
    <row r="1144" spans="6:31" ht="24" customHeight="1">
      <c r="H1144" s="358" t="s">
        <v>1586</v>
      </c>
      <c r="I1144" s="358" t="s">
        <v>1586</v>
      </c>
      <c r="N1144" s="252">
        <v>0.37</v>
      </c>
      <c r="O1144" s="296" t="s">
        <v>390</v>
      </c>
      <c r="P1144" s="252">
        <f>I808</f>
        <v>6040</v>
      </c>
      <c r="Q1144" s="296" t="s">
        <v>528</v>
      </c>
      <c r="R1144" s="252">
        <f t="shared" si="157"/>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57"/>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57"/>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57"/>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8114.52</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8114.52</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8234.3700000000008</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8470.4699999999993</v>
      </c>
      <c r="S1159" s="356">
        <f>R1156-5363.9</f>
        <v>2750.62</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8706.57</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8942.67</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9178.77</v>
      </c>
      <c r="W1162" s="253"/>
      <c r="AE1162" s="370"/>
    </row>
    <row r="1163" spans="6:31" ht="24" customHeight="1">
      <c r="G1163" s="252" t="s">
        <v>449</v>
      </c>
      <c r="H1163" s="296" t="s">
        <v>1181</v>
      </c>
      <c r="J1163" s="296" t="s">
        <v>449</v>
      </c>
      <c r="K1163" s="252">
        <v>1.5</v>
      </c>
      <c r="O1163" s="296" t="s">
        <v>3562</v>
      </c>
      <c r="R1163" s="274">
        <f>R1162+C23</f>
        <v>9414.8700000000008</v>
      </c>
      <c r="W1163" s="253"/>
      <c r="AE1163" s="370"/>
    </row>
    <row r="1164" spans="6:31" ht="24" customHeight="1">
      <c r="K1164" s="358" t="s">
        <v>1586</v>
      </c>
      <c r="O1164" s="296" t="s">
        <v>3563</v>
      </c>
      <c r="R1164" s="274">
        <f>R1163+C23</f>
        <v>9650.9699999999993</v>
      </c>
      <c r="W1164" s="253"/>
      <c r="AE1164" s="370"/>
    </row>
    <row r="1165" spans="6:31" ht="24" customHeight="1">
      <c r="H1165" s="253" t="s">
        <v>1440</v>
      </c>
      <c r="K1165" s="252">
        <f>SUM(K1159:K1163)</f>
        <v>1942.24</v>
      </c>
      <c r="O1165" s="296" t="s">
        <v>3564</v>
      </c>
      <c r="R1165" s="274">
        <f>R1164+C23</f>
        <v>9887.07</v>
      </c>
      <c r="W1165" s="253"/>
      <c r="AE1165" s="370"/>
    </row>
    <row r="1166" spans="6:31" ht="24" customHeight="1">
      <c r="K1166" s="358" t="s">
        <v>1586</v>
      </c>
      <c r="O1166" s="296" t="s">
        <v>3565</v>
      </c>
      <c r="R1166" s="274">
        <f>R1165+C23</f>
        <v>10123.17</v>
      </c>
      <c r="W1166" s="253"/>
      <c r="AE1166" s="370"/>
    </row>
    <row r="1167" spans="6:31" ht="24" customHeight="1">
      <c r="H1167" s="255" t="s">
        <v>552</v>
      </c>
      <c r="K1167" s="274">
        <f>(K1165/10)</f>
        <v>194.22</v>
      </c>
      <c r="O1167" s="296" t="s">
        <v>3584</v>
      </c>
      <c r="R1167" s="274">
        <f>R1166+C23</f>
        <v>10359.27</v>
      </c>
      <c r="W1167" s="253"/>
      <c r="AE1167" s="370"/>
    </row>
    <row r="1168" spans="6:31" ht="24" customHeight="1">
      <c r="K1168" s="358" t="s">
        <v>2055</v>
      </c>
      <c r="O1168" s="252" t="s">
        <v>3585</v>
      </c>
      <c r="R1168" s="274">
        <f>R1167+C23</f>
        <v>10595.37</v>
      </c>
      <c r="W1168" s="253"/>
      <c r="AE1168" s="370"/>
    </row>
    <row r="1169" spans="6:33" ht="24" customHeight="1">
      <c r="R1169" s="274">
        <f>R1168+C23</f>
        <v>10831.47</v>
      </c>
      <c r="W1169" s="253"/>
      <c r="AE1169" s="370"/>
    </row>
    <row r="1170" spans="6:33" ht="24" customHeight="1">
      <c r="F1170" s="375">
        <v>23.3</v>
      </c>
      <c r="H1170" s="314" t="s">
        <v>2287</v>
      </c>
      <c r="I1170" s="314" t="s">
        <v>4225</v>
      </c>
      <c r="K1170" s="456">
        <v>52</v>
      </c>
      <c r="R1170" s="274">
        <f>R1169+C23</f>
        <v>11067.57</v>
      </c>
      <c r="S1170" s="252"/>
      <c r="W1170" s="253"/>
      <c r="AE1170" s="370"/>
    </row>
    <row r="1171" spans="6:33" ht="24" customHeight="1">
      <c r="M1171" s="356"/>
      <c r="O1171" s="274" t="s">
        <v>3468</v>
      </c>
      <c r="R1171" s="274">
        <f>R1170+C23</f>
        <v>11303.67</v>
      </c>
      <c r="S1171" s="252"/>
      <c r="W1171" s="253"/>
      <c r="AE1171" s="370"/>
    </row>
    <row r="1172" spans="6:33" ht="24" customHeight="1">
      <c r="M1172" s="356">
        <v>0.443</v>
      </c>
      <c r="N1172" s="252" t="s">
        <v>1341</v>
      </c>
      <c r="O1172" s="252" t="s">
        <v>3461</v>
      </c>
      <c r="P1172" s="252">
        <f t="shared" ref="P1172:P1178" si="158">P1141</f>
        <v>1685.18</v>
      </c>
      <c r="R1172" s="252">
        <f>P1172*M1172</f>
        <v>746.53</v>
      </c>
      <c r="S1172" s="252"/>
      <c r="W1172" s="253"/>
      <c r="AE1172" s="370"/>
    </row>
    <row r="1173" spans="6:33" ht="24" customHeight="1">
      <c r="F1173" s="253" t="s">
        <v>1442</v>
      </c>
      <c r="G1173" s="252" t="s">
        <v>2251</v>
      </c>
      <c r="H1173" s="296" t="s">
        <v>6124</v>
      </c>
      <c r="M1173" s="356">
        <v>0.29499999999999998</v>
      </c>
      <c r="N1173" s="252" t="s">
        <v>1341</v>
      </c>
      <c r="O1173" s="252" t="s">
        <v>3462</v>
      </c>
      <c r="P1173" s="252">
        <f t="shared" si="158"/>
        <v>1212.18</v>
      </c>
      <c r="R1173" s="252">
        <f t="shared" ref="R1173:R1179" si="159">P1173*M1173</f>
        <v>357.59</v>
      </c>
      <c r="S1173" s="252"/>
      <c r="W1173" s="253"/>
      <c r="AE1173" s="370"/>
    </row>
    <row r="1174" spans="6:33" ht="24" customHeight="1">
      <c r="H1174" s="296" t="s">
        <v>1443</v>
      </c>
      <c r="M1174" s="356">
        <v>0.43</v>
      </c>
      <c r="N1174" s="252" t="s">
        <v>1341</v>
      </c>
      <c r="O1174" s="252" t="s">
        <v>1065</v>
      </c>
      <c r="P1174" s="252">
        <f t="shared" si="158"/>
        <v>1464.46</v>
      </c>
      <c r="R1174" s="252">
        <f t="shared" si="159"/>
        <v>629.72</v>
      </c>
      <c r="S1174" s="252"/>
      <c r="W1174" s="253"/>
      <c r="AE1174" s="370"/>
    </row>
    <row r="1175" spans="6:33" ht="24" customHeight="1">
      <c r="H1175" s="358" t="s">
        <v>1586</v>
      </c>
      <c r="I1175" s="358" t="s">
        <v>1586</v>
      </c>
      <c r="M1175" s="356">
        <v>0.39</v>
      </c>
      <c r="N1175" s="252" t="s">
        <v>528</v>
      </c>
      <c r="O1175" s="252" t="s">
        <v>390</v>
      </c>
      <c r="P1175" s="252">
        <f t="shared" si="158"/>
        <v>6040</v>
      </c>
      <c r="R1175" s="252">
        <f t="shared" si="159"/>
        <v>2355.6</v>
      </c>
      <c r="S1175" s="252"/>
      <c r="W1175" s="253"/>
      <c r="AE1175" s="370"/>
    </row>
    <row r="1176" spans="6:33" ht="24" customHeight="1">
      <c r="F1176" s="316">
        <v>0.53339999999999999</v>
      </c>
      <c r="G1176" s="252" t="s">
        <v>2283</v>
      </c>
      <c r="H1176" s="393" t="s">
        <v>6475</v>
      </c>
      <c r="I1176" s="362">
        <v>306.89999999999998</v>
      </c>
      <c r="J1176" s="296" t="s">
        <v>2283</v>
      </c>
      <c r="K1176" s="252">
        <f>(F1176*I1176)</f>
        <v>163.69999999999999</v>
      </c>
      <c r="M1176" s="356">
        <v>0.35</v>
      </c>
      <c r="N1176" s="252" t="s">
        <v>1432</v>
      </c>
      <c r="O1176" s="252" t="s">
        <v>465</v>
      </c>
      <c r="P1176" s="252">
        <f t="shared" si="158"/>
        <v>932</v>
      </c>
      <c r="Q1176" s="252">
        <f>D1174</f>
        <v>0</v>
      </c>
      <c r="R1176" s="252">
        <f t="shared" si="159"/>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58"/>
        <v>651</v>
      </c>
      <c r="R1177" s="252">
        <f t="shared" si="159"/>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58"/>
        <v>534</v>
      </c>
      <c r="R1178" s="252">
        <f t="shared" si="159"/>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59"/>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296"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8195.43</v>
      </c>
      <c r="S1183" s="252"/>
      <c r="W1183" s="253"/>
      <c r="AE1183" s="370"/>
      <c r="AG1183" s="296" t="s">
        <v>2259</v>
      </c>
    </row>
    <row r="1184" spans="6:33" ht="24" customHeight="1">
      <c r="K1184" s="358" t="s">
        <v>1586</v>
      </c>
      <c r="M1184" s="356"/>
      <c r="O1184" s="252" t="s">
        <v>386</v>
      </c>
      <c r="R1184" s="252">
        <f>R1183+C22</f>
        <v>8315.2800000000007</v>
      </c>
      <c r="W1184" s="253"/>
      <c r="AE1184" s="370"/>
      <c r="AG1184" s="296" t="s">
        <v>2259</v>
      </c>
    </row>
    <row r="1185" spans="6:37" ht="24" customHeight="1">
      <c r="H1185" s="253" t="s">
        <v>1695</v>
      </c>
      <c r="K1185" s="274">
        <f>ROUND(K1183/0.5334,1)</f>
        <v>835.7</v>
      </c>
      <c r="R1185" s="252">
        <f>R1184+C23</f>
        <v>8551.3799999999992</v>
      </c>
      <c r="W1185" s="253"/>
      <c r="AE1185" s="370"/>
      <c r="AG1185" s="296" t="s">
        <v>2259</v>
      </c>
    </row>
    <row r="1186" spans="6:37" ht="24" customHeight="1">
      <c r="F1186" s="296" t="s">
        <v>975</v>
      </c>
      <c r="K1186" s="358" t="s">
        <v>2055</v>
      </c>
      <c r="R1186" s="252">
        <f>R1185+C23</f>
        <v>8787.48</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4479.66</v>
      </c>
      <c r="AC1189" s="253" t="s">
        <v>869</v>
      </c>
      <c r="AD1189" s="252">
        <f>(Y1189*AB1189)</f>
        <v>537.55999999999995</v>
      </c>
      <c r="AE1189" s="370" t="str">
        <f>AG1189</f>
        <v>CUM</v>
      </c>
      <c r="AF1189" s="252">
        <v>0.12</v>
      </c>
      <c r="AG1189" s="252" t="s">
        <v>869</v>
      </c>
      <c r="AH1189" s="296" t="s">
        <v>784</v>
      </c>
      <c r="AI1189" s="362">
        <f>AB1189</f>
        <v>4479.66</v>
      </c>
      <c r="AJ1189" s="253" t="s">
        <v>869</v>
      </c>
      <c r="AK1189" s="252">
        <f>(AF1189*AI1189)</f>
        <v>537.55999999999995</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19557.89</v>
      </c>
      <c r="AE1194" s="252">
        <f>SUM(AE1188:AE1192)</f>
        <v>0</v>
      </c>
      <c r="AH1194" s="253" t="s">
        <v>407</v>
      </c>
      <c r="AJ1194" s="253"/>
      <c r="AK1194" s="252">
        <f>SUM(AK1188:AK1193)</f>
        <v>11047.89</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1955.79</v>
      </c>
      <c r="AH1196" s="253" t="s">
        <v>411</v>
      </c>
      <c r="AK1196" s="274">
        <f>AK1194/10</f>
        <v>1104.79</v>
      </c>
    </row>
    <row r="1197" spans="6:37" ht="24" customHeight="1">
      <c r="F1197" s="253" t="s">
        <v>225</v>
      </c>
      <c r="G1197" s="252" t="s">
        <v>2251</v>
      </c>
      <c r="H1197" s="296" t="s">
        <v>1922</v>
      </c>
      <c r="W1197" s="253"/>
      <c r="AA1197" s="296" t="s">
        <v>386</v>
      </c>
      <c r="AC1197" s="253">
        <f>C22*0.02</f>
        <v>2.4</v>
      </c>
      <c r="AD1197" s="252">
        <f>AD1196+AC1197</f>
        <v>1958.19</v>
      </c>
      <c r="AH1197" s="296" t="s">
        <v>386</v>
      </c>
      <c r="AJ1197" s="253">
        <f>C22*0.01</f>
        <v>1.2</v>
      </c>
      <c r="AK1197" s="252">
        <f>AK1196+AJ1197</f>
        <v>1105.99</v>
      </c>
    </row>
    <row r="1198" spans="6:37" ht="24" customHeight="1">
      <c r="H1198" s="296" t="s">
        <v>933</v>
      </c>
      <c r="W1198" s="253"/>
      <c r="AA1198" s="296" t="s">
        <v>388</v>
      </c>
      <c r="AC1198" s="253">
        <f>C23*0.02</f>
        <v>4.72</v>
      </c>
      <c r="AD1198" s="252">
        <f>AD1197+AC1198</f>
        <v>1962.91</v>
      </c>
      <c r="AH1198" s="296" t="s">
        <v>388</v>
      </c>
      <c r="AJ1198" s="253">
        <f>C23*0.01</f>
        <v>2.36</v>
      </c>
      <c r="AK1198" s="252">
        <f>AK1197+AJ1198</f>
        <v>1108.3499999999999</v>
      </c>
    </row>
    <row r="1199" spans="6:37" ht="24" customHeight="1">
      <c r="H1199" s="358" t="s">
        <v>1586</v>
      </c>
      <c r="W1199" s="253"/>
      <c r="AA1199" s="296" t="s">
        <v>2232</v>
      </c>
      <c r="AC1199" s="253">
        <f t="shared" ref="AC1199:AC1208" si="160">AC1198</f>
        <v>4.72</v>
      </c>
      <c r="AD1199" s="252">
        <f t="shared" ref="AD1199:AD1208" si="161">+AD1198+AC1199</f>
        <v>1967.63</v>
      </c>
      <c r="AH1199" s="296" t="s">
        <v>2232</v>
      </c>
      <c r="AJ1199" s="253">
        <f>C24*0.01</f>
        <v>2.36</v>
      </c>
      <c r="AK1199" s="252">
        <f t="shared" ref="AK1199:AK1206" si="162">+AK1198+AJ1199</f>
        <v>1110.71</v>
      </c>
    </row>
    <row r="1200" spans="6:37" ht="24" customHeight="1">
      <c r="F1200" s="252">
        <v>0.22</v>
      </c>
      <c r="G1200" s="252" t="s">
        <v>869</v>
      </c>
      <c r="H1200" s="296" t="s">
        <v>1307</v>
      </c>
      <c r="I1200" s="252">
        <f>K40</f>
        <v>3754.86</v>
      </c>
      <c r="J1200" s="296" t="s">
        <v>869</v>
      </c>
      <c r="K1200" s="252">
        <f>(F1200*I1200)</f>
        <v>826.07</v>
      </c>
      <c r="W1200" s="253"/>
      <c r="AA1200" s="296" t="s">
        <v>380</v>
      </c>
      <c r="AC1200" s="253">
        <f t="shared" si="160"/>
        <v>4.72</v>
      </c>
      <c r="AD1200" s="252">
        <f t="shared" si="161"/>
        <v>1972.35</v>
      </c>
      <c r="AH1200" s="296" t="s">
        <v>380</v>
      </c>
      <c r="AJ1200" s="253">
        <v>1.95</v>
      </c>
      <c r="AK1200" s="252">
        <f t="shared" si="162"/>
        <v>1112.6600000000001</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0"/>
        <v>4.72</v>
      </c>
      <c r="AD1201" s="252">
        <f t="shared" si="161"/>
        <v>1977.07</v>
      </c>
      <c r="AH1201" s="296" t="s">
        <v>1364</v>
      </c>
      <c r="AJ1201" s="253">
        <v>1.95</v>
      </c>
      <c r="AK1201" s="252">
        <f t="shared" si="162"/>
        <v>1114.6099999999999</v>
      </c>
    </row>
    <row r="1202" spans="6:37" ht="24" customHeight="1">
      <c r="F1202" s="252">
        <v>0.5</v>
      </c>
      <c r="G1202" s="252" t="s">
        <v>769</v>
      </c>
      <c r="H1202" s="296" t="s">
        <v>934</v>
      </c>
      <c r="I1202" s="252">
        <f>(C12)</f>
        <v>651</v>
      </c>
      <c r="J1202" s="296" t="s">
        <v>769</v>
      </c>
      <c r="K1202" s="252">
        <f>(F1202*I1202)</f>
        <v>325.5</v>
      </c>
      <c r="W1202" s="253"/>
      <c r="AA1202" s="252">
        <v>5</v>
      </c>
      <c r="AC1202" s="253">
        <f t="shared" si="160"/>
        <v>4.72</v>
      </c>
      <c r="AD1202" s="252">
        <f t="shared" si="161"/>
        <v>1981.79</v>
      </c>
      <c r="AE1202" s="370">
        <f>AG1202</f>
        <v>0</v>
      </c>
      <c r="AH1202" s="252">
        <v>5</v>
      </c>
      <c r="AJ1202" s="253">
        <f>AC1202</f>
        <v>4.72</v>
      </c>
      <c r="AK1202" s="252">
        <f t="shared" si="162"/>
        <v>1119.33</v>
      </c>
    </row>
    <row r="1203" spans="6:37" ht="24" customHeight="1">
      <c r="F1203" s="252">
        <v>3.2</v>
      </c>
      <c r="G1203" s="252" t="s">
        <v>769</v>
      </c>
      <c r="H1203" s="296" t="s">
        <v>320</v>
      </c>
      <c r="I1203" s="252">
        <f>(C13)</f>
        <v>534</v>
      </c>
      <c r="J1203" s="296" t="s">
        <v>769</v>
      </c>
      <c r="K1203" s="252">
        <f>(F1203*I1203)</f>
        <v>1708.8</v>
      </c>
      <c r="W1203" s="253"/>
      <c r="AA1203" s="252">
        <v>6</v>
      </c>
      <c r="AC1203" s="253">
        <f t="shared" si="160"/>
        <v>4.72</v>
      </c>
      <c r="AD1203" s="252">
        <f t="shared" si="161"/>
        <v>1986.51</v>
      </c>
      <c r="AE1203" s="370">
        <f>AG1203</f>
        <v>0</v>
      </c>
      <c r="AH1203" s="252">
        <v>6</v>
      </c>
      <c r="AJ1203" s="253">
        <f>AC1203</f>
        <v>4.72</v>
      </c>
      <c r="AK1203" s="252">
        <f t="shared" si="162"/>
        <v>1124.05</v>
      </c>
    </row>
    <row r="1204" spans="6:37" ht="24" customHeight="1">
      <c r="H1204" s="296"/>
      <c r="W1204" s="253"/>
      <c r="AA1204" s="252">
        <v>7</v>
      </c>
      <c r="AC1204" s="253">
        <f t="shared" si="160"/>
        <v>4.72</v>
      </c>
      <c r="AD1204" s="252">
        <f t="shared" si="161"/>
        <v>1991.23</v>
      </c>
      <c r="AE1204" s="370"/>
      <c r="AH1204" s="252">
        <v>7</v>
      </c>
      <c r="AJ1204" s="253">
        <f>AC1204</f>
        <v>4.72</v>
      </c>
      <c r="AK1204" s="252">
        <f t="shared" si="162"/>
        <v>1128.77</v>
      </c>
    </row>
    <row r="1205" spans="6:37" ht="24" customHeight="1">
      <c r="H1205" s="296"/>
      <c r="W1205" s="253"/>
      <c r="AA1205" s="252">
        <v>8</v>
      </c>
      <c r="AC1205" s="253">
        <f t="shared" si="160"/>
        <v>4.72</v>
      </c>
      <c r="AD1205" s="252">
        <f t="shared" si="161"/>
        <v>1995.95</v>
      </c>
      <c r="AE1205" s="370"/>
      <c r="AH1205" s="252">
        <v>8</v>
      </c>
      <c r="AJ1205" s="253">
        <f>AC1205</f>
        <v>4.72</v>
      </c>
      <c r="AK1205" s="252">
        <f t="shared" si="162"/>
        <v>1133.49</v>
      </c>
    </row>
    <row r="1206" spans="6:37" ht="24" customHeight="1">
      <c r="H1206" s="296"/>
      <c r="W1206" s="253"/>
      <c r="AA1206" s="252">
        <v>9</v>
      </c>
      <c r="AC1206" s="253">
        <f t="shared" si="160"/>
        <v>4.72</v>
      </c>
      <c r="AD1206" s="252">
        <f t="shared" si="161"/>
        <v>2000.67</v>
      </c>
      <c r="AE1206" s="370"/>
      <c r="AF1206" s="252" t="s">
        <v>4625</v>
      </c>
      <c r="AH1206" s="252">
        <v>9</v>
      </c>
      <c r="AJ1206" s="253">
        <f>AC1206</f>
        <v>4.72</v>
      </c>
      <c r="AK1206" s="252">
        <f t="shared" si="162"/>
        <v>1138.21</v>
      </c>
    </row>
    <row r="1207" spans="6:37" ht="24" customHeight="1">
      <c r="H1207" s="296"/>
      <c r="W1207" s="253"/>
      <c r="AA1207" s="252">
        <v>10</v>
      </c>
      <c r="AC1207" s="253">
        <f t="shared" si="160"/>
        <v>4.72</v>
      </c>
      <c r="AD1207" s="252">
        <f t="shared" si="161"/>
        <v>2005.39</v>
      </c>
      <c r="AE1207" s="370"/>
      <c r="AG1207" s="296"/>
    </row>
    <row r="1208" spans="6:37" ht="24" customHeight="1">
      <c r="H1208" s="296"/>
      <c r="W1208" s="253"/>
      <c r="AA1208" s="252">
        <v>11</v>
      </c>
      <c r="AC1208" s="253">
        <f t="shared" si="160"/>
        <v>4.72</v>
      </c>
      <c r="AD1208" s="252">
        <f t="shared" si="161"/>
        <v>2010.11</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6056</v>
      </c>
      <c r="AE1209" s="370" t="str">
        <f t="shared" ref="AE1209:AE1277" si="163">AG1209</f>
        <v>|</v>
      </c>
      <c r="AG1209" s="296" t="s">
        <v>2259</v>
      </c>
    </row>
    <row r="1210" spans="6:37" ht="24" customHeight="1">
      <c r="K1210" s="358" t="s">
        <v>1586</v>
      </c>
      <c r="Q1210" s="253"/>
      <c r="W1210" s="253"/>
      <c r="AA1210" s="276" t="s">
        <v>3818</v>
      </c>
      <c r="AE1210" s="370" t="str">
        <f t="shared" si="163"/>
        <v>|</v>
      </c>
      <c r="AG1210" s="296" t="s">
        <v>2259</v>
      </c>
    </row>
    <row r="1211" spans="6:37" ht="24" customHeight="1">
      <c r="H1211" s="296" t="s">
        <v>441</v>
      </c>
      <c r="K1211" s="252">
        <f>SUM(K1200:K1209)</f>
        <v>5063.17</v>
      </c>
      <c r="Q1211" s="253"/>
      <c r="W1211" s="253"/>
      <c r="AA1211" s="296"/>
      <c r="AE1211" s="370" t="str">
        <f t="shared" si="163"/>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63"/>
        <v>|</v>
      </c>
      <c r="AG1212" s="296" t="s">
        <v>2259</v>
      </c>
    </row>
    <row r="1213" spans="6:37" ht="30" customHeight="1">
      <c r="H1213" s="255" t="s">
        <v>552</v>
      </c>
      <c r="K1213" s="274">
        <f>(K1211/10)</f>
        <v>506.32</v>
      </c>
      <c r="Q1213" s="253"/>
      <c r="W1213" s="253"/>
      <c r="Y1213" s="252">
        <v>10</v>
      </c>
      <c r="Z1213" s="252" t="s">
        <v>609</v>
      </c>
      <c r="AA1213" s="260" t="s">
        <v>6057</v>
      </c>
      <c r="AB1213" s="362">
        <v>1462</v>
      </c>
      <c r="AC1213" s="296" t="s">
        <v>609</v>
      </c>
      <c r="AD1213" s="252">
        <f>(Y1213*AB1213)</f>
        <v>14620</v>
      </c>
      <c r="AE1213" s="370" t="str">
        <f t="shared" si="163"/>
        <v>|</v>
      </c>
      <c r="AG1213" s="296" t="s">
        <v>2259</v>
      </c>
    </row>
    <row r="1214" spans="6:37" ht="24" customHeight="1">
      <c r="K1214" s="358" t="s">
        <v>2055</v>
      </c>
      <c r="Q1214" s="253"/>
      <c r="S1214" s="462" t="s">
        <v>3470</v>
      </c>
      <c r="W1214" s="253"/>
      <c r="Y1214" s="252">
        <v>0.21</v>
      </c>
      <c r="Z1214" s="252" t="s">
        <v>869</v>
      </c>
      <c r="AA1214" s="296" t="s">
        <v>1876</v>
      </c>
      <c r="AB1214" s="252">
        <f t="shared" ref="AB1214:AB1226" si="164">AB1242</f>
        <v>4479.66</v>
      </c>
      <c r="AC1214" s="296" t="s">
        <v>869</v>
      </c>
      <c r="AD1214" s="252">
        <f>(Y1214*AB1214)</f>
        <v>940.73</v>
      </c>
      <c r="AE1214" s="370" t="str">
        <f t="shared" si="163"/>
        <v>|</v>
      </c>
      <c r="AG1214" s="296" t="s">
        <v>2259</v>
      </c>
    </row>
    <row r="1215" spans="6:37" ht="24" customHeight="1">
      <c r="F1215" s="253" t="s">
        <v>935</v>
      </c>
      <c r="G1215" s="252" t="s">
        <v>2251</v>
      </c>
      <c r="H1215" s="296" t="s">
        <v>1844</v>
      </c>
      <c r="M1215" s="252">
        <v>10</v>
      </c>
      <c r="N1215" s="252" t="s">
        <v>609</v>
      </c>
      <c r="O1215" s="393" t="s">
        <v>6125</v>
      </c>
      <c r="P1215" s="463">
        <v>653</v>
      </c>
      <c r="Q1215" s="253" t="s">
        <v>609</v>
      </c>
      <c r="R1215" s="252">
        <f>M1215*P1215</f>
        <v>6530</v>
      </c>
      <c r="S1215" s="356">
        <v>694.02</v>
      </c>
      <c r="T1215" s="252">
        <f>S1215*M1215</f>
        <v>6940.2</v>
      </c>
      <c r="W1215" s="253"/>
      <c r="AA1215" s="296" t="s">
        <v>1877</v>
      </c>
      <c r="AB1215" s="252" t="str">
        <f t="shared" si="164"/>
        <v/>
      </c>
      <c r="AC1215" s="296"/>
      <c r="AD1215" s="296" t="s">
        <v>975</v>
      </c>
      <c r="AE1215" s="370" t="str">
        <f t="shared" si="163"/>
        <v>|</v>
      </c>
      <c r="AG1215" s="296" t="s">
        <v>2259</v>
      </c>
    </row>
    <row r="1216" spans="6:37" ht="24" customHeight="1">
      <c r="H1216" s="296" t="s">
        <v>1872</v>
      </c>
      <c r="M1216" s="252">
        <v>0.21</v>
      </c>
      <c r="N1216" s="252" t="s">
        <v>869</v>
      </c>
      <c r="O1216" s="296" t="s">
        <v>1876</v>
      </c>
      <c r="P1216" s="252">
        <f>I1220</f>
        <v>4479.66</v>
      </c>
      <c r="Q1216" s="253" t="s">
        <v>869</v>
      </c>
      <c r="R1216" s="252">
        <f t="shared" ref="R1216:R1225" si="165">(M1216*P1216)</f>
        <v>940.73</v>
      </c>
      <c r="T1216" s="252">
        <f>R1216</f>
        <v>940.73</v>
      </c>
      <c r="W1216" s="253"/>
      <c r="Y1216" s="252">
        <v>1.1000000000000001</v>
      </c>
      <c r="Z1216" s="252" t="s">
        <v>769</v>
      </c>
      <c r="AA1216" s="296" t="s">
        <v>2009</v>
      </c>
      <c r="AB1216" s="252">
        <f t="shared" si="164"/>
        <v>999</v>
      </c>
      <c r="AC1216" s="296" t="s">
        <v>769</v>
      </c>
      <c r="AD1216" s="252">
        <f>(Y1216*AB1216)</f>
        <v>1098.9000000000001</v>
      </c>
      <c r="AE1216" s="370" t="str">
        <f t="shared" si="163"/>
        <v>|</v>
      </c>
      <c r="AG1216" s="296" t="s">
        <v>2259</v>
      </c>
    </row>
    <row r="1217" spans="6:33" ht="24" customHeight="1">
      <c r="H1217" s="358" t="s">
        <v>1586</v>
      </c>
      <c r="M1217" s="252">
        <v>1.1000000000000001</v>
      </c>
      <c r="N1217" s="252" t="s">
        <v>769</v>
      </c>
      <c r="O1217" s="296" t="s">
        <v>2009</v>
      </c>
      <c r="P1217" s="252">
        <f>I1222</f>
        <v>999</v>
      </c>
      <c r="Q1217" s="253" t="s">
        <v>769</v>
      </c>
      <c r="R1217" s="252">
        <f t="shared" si="165"/>
        <v>1098.9000000000001</v>
      </c>
      <c r="T1217" s="252">
        <f t="shared" ref="T1217:T1225" si="166">R1217</f>
        <v>1098.9000000000001</v>
      </c>
      <c r="W1217" s="253"/>
      <c r="Y1217" s="252">
        <v>1.1000000000000001</v>
      </c>
      <c r="Z1217" s="252" t="s">
        <v>769</v>
      </c>
      <c r="AA1217" s="296" t="s">
        <v>1712</v>
      </c>
      <c r="AB1217" s="252">
        <f t="shared" si="164"/>
        <v>932</v>
      </c>
      <c r="AC1217" s="296" t="s">
        <v>769</v>
      </c>
      <c r="AD1217" s="252">
        <f>(Y1217*AB1217)</f>
        <v>1025.2</v>
      </c>
      <c r="AE1217" s="370" t="str">
        <f t="shared" si="163"/>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65"/>
        <v>1025.2</v>
      </c>
      <c r="T1218" s="252">
        <f t="shared" si="166"/>
        <v>1025.2</v>
      </c>
      <c r="W1218" s="253"/>
      <c r="Y1218" s="252">
        <v>2.2000000000000002</v>
      </c>
      <c r="Z1218" s="252" t="s">
        <v>769</v>
      </c>
      <c r="AA1218" s="296" t="s">
        <v>1902</v>
      </c>
      <c r="AB1218" s="252">
        <f t="shared" si="164"/>
        <v>651</v>
      </c>
      <c r="AC1218" s="296" t="s">
        <v>769</v>
      </c>
      <c r="AD1218" s="252">
        <f>(Y1218*AB1218)</f>
        <v>1432.2</v>
      </c>
      <c r="AE1218" s="370" t="str">
        <f t="shared" si="163"/>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65"/>
        <v>1432.2</v>
      </c>
      <c r="T1219" s="252">
        <f t="shared" si="166"/>
        <v>1432.2</v>
      </c>
      <c r="W1219" s="253"/>
      <c r="Y1219" s="252">
        <v>2.2000000000000002</v>
      </c>
      <c r="Z1219" s="252" t="s">
        <v>769</v>
      </c>
      <c r="AA1219" s="296" t="s">
        <v>320</v>
      </c>
      <c r="AB1219" s="252">
        <f t="shared" si="164"/>
        <v>534</v>
      </c>
      <c r="AC1219" s="296" t="s">
        <v>769</v>
      </c>
      <c r="AD1219" s="252">
        <f>(Y1219*AB1219)</f>
        <v>1174.8</v>
      </c>
      <c r="AE1219" s="370" t="str">
        <f t="shared" si="163"/>
        <v>|</v>
      </c>
      <c r="AG1219" s="296" t="s">
        <v>2259</v>
      </c>
    </row>
    <row r="1220" spans="6:33" ht="24" customHeight="1">
      <c r="F1220" s="252">
        <v>0.21</v>
      </c>
      <c r="G1220" s="252" t="s">
        <v>869</v>
      </c>
      <c r="H1220" s="296" t="s">
        <v>1876</v>
      </c>
      <c r="I1220" s="252">
        <f>(K32)</f>
        <v>4479.66</v>
      </c>
      <c r="J1220" s="296" t="s">
        <v>869</v>
      </c>
      <c r="K1220" s="252">
        <f>(F1220*I1220)</f>
        <v>940.73</v>
      </c>
      <c r="M1220" s="252">
        <v>2.2000000000000002</v>
      </c>
      <c r="N1220" s="252" t="s">
        <v>769</v>
      </c>
      <c r="O1220" s="296" t="s">
        <v>320</v>
      </c>
      <c r="P1220" s="252">
        <f>I1225</f>
        <v>534</v>
      </c>
      <c r="Q1220" s="253" t="s">
        <v>769</v>
      </c>
      <c r="R1220" s="252">
        <f t="shared" si="165"/>
        <v>1174.8</v>
      </c>
      <c r="T1220" s="252">
        <f t="shared" si="166"/>
        <v>1174.8</v>
      </c>
      <c r="W1220" s="253"/>
      <c r="Y1220" s="356">
        <v>20</v>
      </c>
      <c r="Z1220" s="252" t="s">
        <v>1645</v>
      </c>
      <c r="AA1220" s="296" t="s">
        <v>862</v>
      </c>
      <c r="AB1220" s="252">
        <f t="shared" si="164"/>
        <v>6040</v>
      </c>
      <c r="AC1220" s="296" t="s">
        <v>861</v>
      </c>
      <c r="AD1220" s="252">
        <f>(Y1220*AB1220)/1000</f>
        <v>120.8</v>
      </c>
      <c r="AE1220" s="370" t="str">
        <f t="shared" si="163"/>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6"/>
        <v>120.8</v>
      </c>
      <c r="W1221" s="253"/>
      <c r="Y1221" s="356">
        <v>2</v>
      </c>
      <c r="Z1221" s="252" t="s">
        <v>1645</v>
      </c>
      <c r="AA1221" s="296" t="s">
        <v>2081</v>
      </c>
      <c r="AB1221" s="252">
        <f t="shared" si="164"/>
        <v>36.1</v>
      </c>
      <c r="AC1221" s="296" t="s">
        <v>1645</v>
      </c>
      <c r="AD1221" s="252">
        <f>(Y1221*AB1221)</f>
        <v>72.2</v>
      </c>
      <c r="AE1221" s="370" t="str">
        <f t="shared" si="163"/>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65"/>
        <v>49.86</v>
      </c>
      <c r="T1222" s="252">
        <f t="shared" si="166"/>
        <v>49.86</v>
      </c>
      <c r="W1222" s="253"/>
      <c r="Y1222" s="252">
        <v>1.6</v>
      </c>
      <c r="Z1222" s="252" t="s">
        <v>769</v>
      </c>
      <c r="AA1222" s="296" t="s">
        <v>1712</v>
      </c>
      <c r="AB1222" s="252">
        <f t="shared" si="164"/>
        <v>932</v>
      </c>
      <c r="AC1222" s="296" t="s">
        <v>769</v>
      </c>
      <c r="AD1222" s="252">
        <f>(Y1222*AB1222)</f>
        <v>1491.2</v>
      </c>
      <c r="AE1222" s="370" t="str">
        <f t="shared" si="163"/>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65"/>
        <v>1491.2</v>
      </c>
      <c r="T1223" s="252">
        <f t="shared" si="166"/>
        <v>1491.2</v>
      </c>
      <c r="W1223" s="253"/>
      <c r="Y1223" s="252">
        <v>0.5</v>
      </c>
      <c r="Z1223" s="252" t="s">
        <v>769</v>
      </c>
      <c r="AA1223" s="296" t="s">
        <v>1902</v>
      </c>
      <c r="AB1223" s="252">
        <f t="shared" si="164"/>
        <v>651</v>
      </c>
      <c r="AC1223" s="296" t="s">
        <v>769</v>
      </c>
      <c r="AD1223" s="252">
        <f>(Y1223*AB1223)</f>
        <v>325.5</v>
      </c>
      <c r="AE1223" s="370" t="str">
        <f t="shared" si="163"/>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65"/>
        <v>325.5</v>
      </c>
      <c r="T1224" s="252">
        <f t="shared" si="166"/>
        <v>325.5</v>
      </c>
      <c r="W1224" s="253"/>
      <c r="Y1224" s="252">
        <v>1.1000000000000001</v>
      </c>
      <c r="Z1224" s="252" t="s">
        <v>769</v>
      </c>
      <c r="AA1224" s="296" t="s">
        <v>320</v>
      </c>
      <c r="AB1224" s="252">
        <f t="shared" si="164"/>
        <v>534</v>
      </c>
      <c r="AC1224" s="296" t="s">
        <v>769</v>
      </c>
      <c r="AD1224" s="252">
        <f>(Y1224*AB1224)</f>
        <v>587.4</v>
      </c>
      <c r="AE1224" s="370" t="str">
        <f t="shared" si="163"/>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65"/>
        <v>587.4</v>
      </c>
      <c r="T1225" s="252">
        <f t="shared" si="166"/>
        <v>587.4</v>
      </c>
      <c r="W1225" s="253"/>
      <c r="Z1225" s="252" t="s">
        <v>449</v>
      </c>
      <c r="AA1225" s="296" t="s">
        <v>450</v>
      </c>
      <c r="AB1225" s="252">
        <f t="shared" si="164"/>
        <v>0</v>
      </c>
      <c r="AC1225" s="296" t="s">
        <v>449</v>
      </c>
      <c r="AD1225" s="252">
        <v>0</v>
      </c>
      <c r="AE1225" s="370" t="str">
        <f t="shared" si="163"/>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64"/>
        <v>0</v>
      </c>
      <c r="AC1226" s="296"/>
      <c r="AD1226" s="358" t="s">
        <v>1586</v>
      </c>
      <c r="AE1226" s="370" t="str">
        <f t="shared" si="163"/>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22888.93</v>
      </c>
      <c r="AE1227" s="370" t="str">
        <f t="shared" si="163"/>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14781.19</v>
      </c>
      <c r="T1228" s="252">
        <f>SUM(T1215:T1227)</f>
        <v>15189.53</v>
      </c>
      <c r="W1228" s="253"/>
      <c r="AC1228" s="296"/>
      <c r="AD1228" s="358" t="s">
        <v>1586</v>
      </c>
      <c r="AE1228" s="370">
        <f t="shared" si="163"/>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2288.89</v>
      </c>
      <c r="AE1229" s="370">
        <f t="shared" si="163"/>
        <v>0</v>
      </c>
    </row>
    <row r="1230" spans="6:33" ht="24" customHeight="1">
      <c r="F1230" s="296" t="s">
        <v>249</v>
      </c>
      <c r="H1230" s="296" t="s">
        <v>1878</v>
      </c>
      <c r="I1230" s="296" t="s">
        <v>975</v>
      </c>
      <c r="K1230" s="296" t="s">
        <v>975</v>
      </c>
      <c r="O1230" s="276" t="s">
        <v>552</v>
      </c>
      <c r="Q1230" s="253"/>
      <c r="R1230" s="274">
        <f>(R1228/10)</f>
        <v>1478.12</v>
      </c>
      <c r="S1230" s="356">
        <f>R1230-975.62</f>
        <v>502.5</v>
      </c>
      <c r="T1230" s="274">
        <f>(T1228/10)</f>
        <v>1518.95</v>
      </c>
      <c r="W1230" s="253"/>
      <c r="AC1230" s="296"/>
      <c r="AD1230" s="358" t="s">
        <v>2055</v>
      </c>
      <c r="AE1230" s="370" t="str">
        <f t="shared" si="163"/>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63"/>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63"/>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63"/>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461" t="s">
        <v>3904</v>
      </c>
      <c r="W1234" s="253"/>
      <c r="AE1234" s="370" t="str">
        <f t="shared" si="163"/>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4479.66</v>
      </c>
      <c r="Q1235" s="253" t="s">
        <v>869</v>
      </c>
      <c r="R1235" s="252">
        <f>(M1235*P1235)</f>
        <v>940.73</v>
      </c>
      <c r="W1235" s="253"/>
      <c r="AE1235" s="370" t="str">
        <f t="shared" si="163"/>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67">P1259</f>
        <v>999</v>
      </c>
      <c r="Q1236" s="253" t="s">
        <v>769</v>
      </c>
      <c r="R1236" s="252">
        <f>(M1236*P1236)</f>
        <v>1098.9000000000001</v>
      </c>
      <c r="W1236" s="253"/>
      <c r="AE1236" s="370" t="str">
        <f t="shared" si="163"/>
        <v>|</v>
      </c>
      <c r="AG1236" s="296" t="s">
        <v>2259</v>
      </c>
    </row>
    <row r="1237" spans="6:33" ht="24" customHeight="1">
      <c r="K1237" s="358" t="s">
        <v>1586</v>
      </c>
      <c r="M1237" s="252">
        <v>1.1000000000000001</v>
      </c>
      <c r="N1237" s="252" t="s">
        <v>769</v>
      </c>
      <c r="O1237" s="296" t="s">
        <v>1712</v>
      </c>
      <c r="P1237" s="252">
        <f t="shared" si="167"/>
        <v>932</v>
      </c>
      <c r="Q1237" s="253" t="s">
        <v>769</v>
      </c>
      <c r="R1237" s="252">
        <f>(M1237*P1237)</f>
        <v>1025.2</v>
      </c>
      <c r="S1237" s="356">
        <v>10</v>
      </c>
      <c r="T1237" s="252" t="s">
        <v>609</v>
      </c>
      <c r="U1237" s="296" t="s">
        <v>6053</v>
      </c>
      <c r="V1237" s="435">
        <v>658</v>
      </c>
      <c r="W1237" s="253" t="s">
        <v>609</v>
      </c>
      <c r="X1237" s="252">
        <f>S1237*V1237</f>
        <v>6580</v>
      </c>
      <c r="Y1237" s="375">
        <v>29.5</v>
      </c>
      <c r="Z1237" s="252" t="s">
        <v>2251</v>
      </c>
      <c r="AA1237" s="276" t="s">
        <v>3795</v>
      </c>
      <c r="AE1237" s="370" t="str">
        <f t="shared" si="163"/>
        <v>|</v>
      </c>
      <c r="AG1237" s="296" t="s">
        <v>2259</v>
      </c>
    </row>
    <row r="1238" spans="6:33" ht="24" customHeight="1">
      <c r="H1238" s="296" t="s">
        <v>441</v>
      </c>
      <c r="K1238" s="252">
        <f>SUM(K1218:K1236)</f>
        <v>12261.51</v>
      </c>
      <c r="M1238" s="252">
        <v>2.2000000000000002</v>
      </c>
      <c r="N1238" s="252" t="s">
        <v>769</v>
      </c>
      <c r="O1238" s="296" t="s">
        <v>1902</v>
      </c>
      <c r="P1238" s="252">
        <f t="shared" si="167"/>
        <v>651</v>
      </c>
      <c r="Q1238" s="253" t="s">
        <v>769</v>
      </c>
      <c r="R1238" s="252">
        <f>(M1238*P1238)</f>
        <v>1432.2</v>
      </c>
      <c r="S1238" s="356">
        <v>0.21</v>
      </c>
      <c r="T1238" s="252" t="s">
        <v>869</v>
      </c>
      <c r="U1238" s="296" t="s">
        <v>1876</v>
      </c>
      <c r="V1238" s="252">
        <f t="shared" ref="V1238:V1247" si="168">P1258</f>
        <v>4479.66</v>
      </c>
      <c r="W1238" s="253" t="s">
        <v>869</v>
      </c>
      <c r="X1238" s="252">
        <f>(S1238*V1238)</f>
        <v>940.73</v>
      </c>
      <c r="AA1238" s="296"/>
      <c r="AE1238" s="370" t="str">
        <f t="shared" si="163"/>
        <v>|</v>
      </c>
      <c r="AG1238" s="296" t="s">
        <v>2259</v>
      </c>
    </row>
    <row r="1239" spans="6:33" ht="24" customHeight="1">
      <c r="K1239" s="358" t="s">
        <v>1586</v>
      </c>
      <c r="M1239" s="252">
        <v>2.2000000000000002</v>
      </c>
      <c r="N1239" s="252" t="s">
        <v>769</v>
      </c>
      <c r="O1239" s="296" t="s">
        <v>320</v>
      </c>
      <c r="P1239" s="252">
        <f t="shared" si="167"/>
        <v>534</v>
      </c>
      <c r="Q1239" s="253" t="s">
        <v>769</v>
      </c>
      <c r="R1239" s="252">
        <f>(M1239*P1239)</f>
        <v>1174.8</v>
      </c>
      <c r="S1239" s="356">
        <v>1.1000000000000001</v>
      </c>
      <c r="T1239" s="252" t="s">
        <v>769</v>
      </c>
      <c r="U1239" s="296" t="s">
        <v>2009</v>
      </c>
      <c r="V1239" s="252">
        <f t="shared" si="168"/>
        <v>999</v>
      </c>
      <c r="W1239" s="253" t="s">
        <v>769</v>
      </c>
      <c r="X1239" s="252">
        <f>(S1239*V1239)</f>
        <v>1098.9000000000001</v>
      </c>
      <c r="AA1239" s="296"/>
      <c r="AE1239" s="370" t="str">
        <f t="shared" si="163"/>
        <v>|</v>
      </c>
      <c r="AG1239" s="296" t="s">
        <v>2259</v>
      </c>
    </row>
    <row r="1240" spans="6:33" ht="24" customHeight="1">
      <c r="F1240" s="296" t="s">
        <v>975</v>
      </c>
      <c r="M1240" s="356">
        <v>20</v>
      </c>
      <c r="N1240" s="252" t="s">
        <v>1645</v>
      </c>
      <c r="O1240" s="296" t="s">
        <v>862</v>
      </c>
      <c r="P1240" s="252">
        <f t="shared" si="167"/>
        <v>6040</v>
      </c>
      <c r="Q1240" s="253" t="s">
        <v>861</v>
      </c>
      <c r="R1240" s="252">
        <f>(M1240*P1240)/1000</f>
        <v>120.8</v>
      </c>
      <c r="S1240" s="356">
        <v>1.1000000000000001</v>
      </c>
      <c r="T1240" s="252" t="s">
        <v>769</v>
      </c>
      <c r="U1240" s="296" t="s">
        <v>1712</v>
      </c>
      <c r="V1240" s="252">
        <f t="shared" si="168"/>
        <v>932</v>
      </c>
      <c r="W1240" s="253" t="s">
        <v>769</v>
      </c>
      <c r="X1240" s="252">
        <f>(S1240*V1240)</f>
        <v>1025.2</v>
      </c>
      <c r="AA1240" s="358" t="s">
        <v>1586</v>
      </c>
      <c r="AB1240" s="358" t="s">
        <v>1586</v>
      </c>
      <c r="AC1240" s="296"/>
      <c r="AE1240" s="370" t="str">
        <f t="shared" si="163"/>
        <v>|</v>
      </c>
      <c r="AG1240" s="296" t="s">
        <v>2259</v>
      </c>
    </row>
    <row r="1241" spans="6:33" ht="45.75" customHeight="1">
      <c r="H1241" s="255" t="s">
        <v>552</v>
      </c>
      <c r="K1241" s="274">
        <f>(K1238/10)</f>
        <v>1226.1500000000001</v>
      </c>
      <c r="M1241" s="356">
        <v>2</v>
      </c>
      <c r="N1241" s="252" t="s">
        <v>1645</v>
      </c>
      <c r="O1241" s="296" t="s">
        <v>1528</v>
      </c>
      <c r="P1241" s="252">
        <f t="shared" si="167"/>
        <v>36.1</v>
      </c>
      <c r="Q1241" s="253" t="s">
        <v>1645</v>
      </c>
      <c r="R1241" s="252">
        <f>(M1241*P1241)</f>
        <v>72.2</v>
      </c>
      <c r="S1241" s="356">
        <v>2.2000000000000002</v>
      </c>
      <c r="T1241" s="252" t="s">
        <v>769</v>
      </c>
      <c r="U1241" s="296" t="s">
        <v>1902</v>
      </c>
      <c r="V1241" s="252">
        <f t="shared" si="168"/>
        <v>651</v>
      </c>
      <c r="W1241" s="253" t="s">
        <v>769</v>
      </c>
      <c r="X1241" s="252">
        <f>(S1241*V1241)</f>
        <v>1432.2</v>
      </c>
      <c r="Y1241" s="252">
        <v>10</v>
      </c>
      <c r="Z1241" s="252" t="s">
        <v>609</v>
      </c>
      <c r="AA1241" s="260" t="s">
        <v>5325</v>
      </c>
      <c r="AB1241" s="362">
        <v>793</v>
      </c>
      <c r="AC1241" s="296" t="s">
        <v>609</v>
      </c>
      <c r="AD1241" s="252">
        <f>(Y1241*AB1241)</f>
        <v>7930</v>
      </c>
      <c r="AE1241" s="370" t="str">
        <f t="shared" si="163"/>
        <v>|</v>
      </c>
      <c r="AG1241" s="296" t="s">
        <v>2259</v>
      </c>
    </row>
    <row r="1242" spans="6:33" ht="24" customHeight="1">
      <c r="F1242" s="296" t="s">
        <v>975</v>
      </c>
      <c r="M1242" s="252">
        <v>1.6</v>
      </c>
      <c r="N1242" s="252" t="s">
        <v>769</v>
      </c>
      <c r="O1242" s="296" t="s">
        <v>1712</v>
      </c>
      <c r="P1242" s="252">
        <f t="shared" si="167"/>
        <v>932</v>
      </c>
      <c r="Q1242" s="253" t="s">
        <v>769</v>
      </c>
      <c r="R1242" s="252">
        <f>(M1242*P1242)</f>
        <v>1491.2</v>
      </c>
      <c r="S1242" s="356">
        <v>2.2000000000000002</v>
      </c>
      <c r="T1242" s="252" t="s">
        <v>769</v>
      </c>
      <c r="U1242" s="296" t="s">
        <v>320</v>
      </c>
      <c r="V1242" s="252">
        <f t="shared" si="168"/>
        <v>534</v>
      </c>
      <c r="W1242" s="253" t="s">
        <v>769</v>
      </c>
      <c r="X1242" s="252">
        <f>(S1242*V1242)</f>
        <v>1174.8</v>
      </c>
      <c r="Y1242" s="252">
        <v>0.21</v>
      </c>
      <c r="Z1242" s="252" t="s">
        <v>869</v>
      </c>
      <c r="AA1242" s="296" t="s">
        <v>1876</v>
      </c>
      <c r="AB1242" s="252">
        <f>V1238</f>
        <v>4479.66</v>
      </c>
      <c r="AC1242" s="296" t="s">
        <v>869</v>
      </c>
      <c r="AD1242" s="252">
        <f>(Y1242*AB1242)</f>
        <v>940.73</v>
      </c>
      <c r="AE1242" s="370" t="str">
        <f t="shared" si="163"/>
        <v>|</v>
      </c>
      <c r="AG1242" s="296" t="s">
        <v>2259</v>
      </c>
    </row>
    <row r="1243" spans="6:33" ht="24" customHeight="1">
      <c r="K1243" s="358" t="s">
        <v>2055</v>
      </c>
      <c r="M1243" s="252">
        <v>0.5</v>
      </c>
      <c r="N1243" s="252" t="s">
        <v>769</v>
      </c>
      <c r="O1243" s="296" t="s">
        <v>1902</v>
      </c>
      <c r="P1243" s="252">
        <f t="shared" si="167"/>
        <v>651</v>
      </c>
      <c r="Q1243" s="253" t="s">
        <v>769</v>
      </c>
      <c r="R1243" s="252">
        <f>(M1243*P1243)</f>
        <v>325.5</v>
      </c>
      <c r="S1243" s="356">
        <v>20</v>
      </c>
      <c r="T1243" s="252" t="s">
        <v>1645</v>
      </c>
      <c r="U1243" s="296" t="s">
        <v>862</v>
      </c>
      <c r="V1243" s="252">
        <f t="shared" si="168"/>
        <v>6040</v>
      </c>
      <c r="W1243" s="253" t="s">
        <v>861</v>
      </c>
      <c r="X1243" s="252">
        <f>(S1243*V1243)/1000</f>
        <v>120.8</v>
      </c>
      <c r="AA1243" s="296" t="s">
        <v>1877</v>
      </c>
      <c r="AB1243" s="296" t="s">
        <v>975</v>
      </c>
      <c r="AC1243" s="296"/>
      <c r="AD1243" s="296" t="s">
        <v>975</v>
      </c>
      <c r="AE1243" s="370" t="str">
        <f t="shared" si="163"/>
        <v>|</v>
      </c>
      <c r="AG1243" s="296" t="s">
        <v>2259</v>
      </c>
    </row>
    <row r="1244" spans="6:33" ht="24" customHeight="1">
      <c r="F1244" s="375">
        <v>29.5</v>
      </c>
      <c r="G1244" s="252" t="s">
        <v>2251</v>
      </c>
      <c r="H1244" s="296" t="s">
        <v>1813</v>
      </c>
      <c r="M1244" s="252">
        <v>1.1000000000000001</v>
      </c>
      <c r="N1244" s="252" t="s">
        <v>769</v>
      </c>
      <c r="O1244" s="296" t="s">
        <v>320</v>
      </c>
      <c r="P1244" s="252">
        <f t="shared" si="167"/>
        <v>534</v>
      </c>
      <c r="Q1244" s="253" t="s">
        <v>769</v>
      </c>
      <c r="R1244" s="252">
        <f>(M1244*P1244)</f>
        <v>587.4</v>
      </c>
      <c r="S1244" s="356">
        <v>2</v>
      </c>
      <c r="T1244" s="252" t="s">
        <v>1645</v>
      </c>
      <c r="U1244" s="296" t="s">
        <v>1528</v>
      </c>
      <c r="V1244" s="252">
        <f t="shared" si="168"/>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63"/>
        <v>|</v>
      </c>
      <c r="AG1244" s="296" t="s">
        <v>2259</v>
      </c>
    </row>
    <row r="1245" spans="6:33" ht="24" customHeight="1">
      <c r="H1245" s="296" t="s">
        <v>858</v>
      </c>
      <c r="N1245" s="252" t="s">
        <v>449</v>
      </c>
      <c r="O1245" s="296" t="s">
        <v>450</v>
      </c>
      <c r="Q1245" s="253" t="s">
        <v>449</v>
      </c>
      <c r="R1245" s="252">
        <v>0</v>
      </c>
      <c r="S1245" s="356">
        <v>1.6</v>
      </c>
      <c r="T1245" s="252" t="s">
        <v>769</v>
      </c>
      <c r="U1245" s="296" t="s">
        <v>1712</v>
      </c>
      <c r="V1245" s="252">
        <f t="shared" si="168"/>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63"/>
        <v>|</v>
      </c>
      <c r="AG1245" s="296" t="s">
        <v>2259</v>
      </c>
    </row>
    <row r="1246" spans="6:33" ht="24" customHeight="1">
      <c r="H1246" s="296" t="s">
        <v>1936</v>
      </c>
      <c r="Q1246" s="253"/>
      <c r="R1246" s="358"/>
      <c r="S1246" s="356">
        <v>0.5</v>
      </c>
      <c r="T1246" s="252" t="s">
        <v>769</v>
      </c>
      <c r="U1246" s="296" t="s">
        <v>1902</v>
      </c>
      <c r="V1246" s="252">
        <f t="shared" si="168"/>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63"/>
        <v>|</v>
      </c>
      <c r="AG1246" s="296" t="s">
        <v>2259</v>
      </c>
    </row>
    <row r="1247" spans="6:33" ht="24" customHeight="1">
      <c r="H1247" s="358" t="s">
        <v>1586</v>
      </c>
      <c r="I1247" s="358" t="s">
        <v>1586</v>
      </c>
      <c r="O1247" s="296" t="s">
        <v>441</v>
      </c>
      <c r="Q1247" s="253"/>
      <c r="R1247" s="252">
        <f>SUM(R1234:R1245)</f>
        <v>14848.93</v>
      </c>
      <c r="S1247" s="356">
        <v>1.1000000000000001</v>
      </c>
      <c r="T1247" s="252" t="s">
        <v>769</v>
      </c>
      <c r="U1247" s="296" t="s">
        <v>320</v>
      </c>
      <c r="V1247" s="252">
        <f t="shared" si="168"/>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63"/>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Y1248" s="356">
        <v>20</v>
      </c>
      <c r="Z1248" s="252" t="s">
        <v>1645</v>
      </c>
      <c r="AA1248" s="296" t="s">
        <v>862</v>
      </c>
      <c r="AB1248" s="252">
        <f>V1243</f>
        <v>6040</v>
      </c>
      <c r="AC1248" s="296" t="s">
        <v>861</v>
      </c>
      <c r="AD1248" s="252">
        <f>(Y1248*AB1248)/1000</f>
        <v>120.8</v>
      </c>
      <c r="AE1248" s="370" t="str">
        <f t="shared" si="163"/>
        <v>|</v>
      </c>
      <c r="AG1248" s="296" t="s">
        <v>2259</v>
      </c>
    </row>
    <row r="1249" spans="6:33" ht="24" customHeight="1">
      <c r="F1249" s="252">
        <v>0.21</v>
      </c>
      <c r="G1249" s="252" t="s">
        <v>869</v>
      </c>
      <c r="H1249" s="296" t="s">
        <v>1876</v>
      </c>
      <c r="I1249" s="252">
        <f>(K32)</f>
        <v>4479.66</v>
      </c>
      <c r="J1249" s="296" t="s">
        <v>869</v>
      </c>
      <c r="K1249" s="252">
        <f>(F1249*I1249)</f>
        <v>940.73</v>
      </c>
      <c r="O1249" s="276" t="s">
        <v>552</v>
      </c>
      <c r="Q1249" s="253"/>
      <c r="R1249" s="274">
        <f>(R1247/10)</f>
        <v>1484.89</v>
      </c>
      <c r="W1249" s="253"/>
      <c r="X1249" s="358" t="s">
        <v>1586</v>
      </c>
      <c r="Y1249" s="356">
        <v>2</v>
      </c>
      <c r="Z1249" s="252" t="s">
        <v>1645</v>
      </c>
      <c r="AA1249" s="296" t="s">
        <v>2081</v>
      </c>
      <c r="AB1249" s="314">
        <v>36.1</v>
      </c>
      <c r="AC1249" s="296" t="s">
        <v>1645</v>
      </c>
      <c r="AD1249" s="252">
        <f>(Y1249*AB1249)</f>
        <v>72.2</v>
      </c>
      <c r="AE1249" s="370">
        <f t="shared" si="163"/>
        <v>0</v>
      </c>
    </row>
    <row r="1250" spans="6:33" ht="24" customHeight="1">
      <c r="H1250" s="296" t="s">
        <v>1877</v>
      </c>
      <c r="I1250" s="296" t="s">
        <v>975</v>
      </c>
      <c r="K1250" s="296" t="s">
        <v>975</v>
      </c>
      <c r="Q1250" s="253"/>
      <c r="R1250" s="358"/>
      <c r="U1250" s="296" t="s">
        <v>441</v>
      </c>
      <c r="W1250" s="253"/>
      <c r="X1250" s="252">
        <f>SUM(X1237:X1248)</f>
        <v>14849.11</v>
      </c>
      <c r="Y1250" s="252">
        <v>1.6</v>
      </c>
      <c r="Z1250" s="252" t="s">
        <v>769</v>
      </c>
      <c r="AA1250" s="296" t="s">
        <v>1712</v>
      </c>
      <c r="AB1250" s="252">
        <f>V1245</f>
        <v>932</v>
      </c>
      <c r="AC1250" s="296" t="s">
        <v>769</v>
      </c>
      <c r="AD1250" s="252">
        <f>(Y1250*AB1250)</f>
        <v>1491.2</v>
      </c>
      <c r="AE1250" s="370" t="str">
        <f t="shared" si="163"/>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63"/>
        <v>0</v>
      </c>
    </row>
    <row r="1252" spans="6:33" ht="24" customHeight="1">
      <c r="F1252" s="252">
        <v>1.1000000000000001</v>
      </c>
      <c r="G1252" s="252" t="s">
        <v>769</v>
      </c>
      <c r="H1252" s="296" t="s">
        <v>1712</v>
      </c>
      <c r="I1252" s="252">
        <f>(C11)</f>
        <v>932</v>
      </c>
      <c r="J1252" s="296" t="s">
        <v>769</v>
      </c>
      <c r="K1252" s="252">
        <f>(F1252*I1252)</f>
        <v>1025.2</v>
      </c>
      <c r="Q1252" s="253"/>
      <c r="R1252" s="358"/>
      <c r="U1252" s="276" t="s">
        <v>552</v>
      </c>
      <c r="W1252" s="253"/>
      <c r="X1252" s="274">
        <f>(X1250/10)</f>
        <v>1484.91</v>
      </c>
      <c r="Y1252" s="252">
        <v>1.1000000000000001</v>
      </c>
      <c r="Z1252" s="252" t="s">
        <v>769</v>
      </c>
      <c r="AA1252" s="296" t="s">
        <v>320</v>
      </c>
      <c r="AB1252" s="252">
        <f>V1247</f>
        <v>534</v>
      </c>
      <c r="AC1252" s="296" t="s">
        <v>769</v>
      </c>
      <c r="AD1252" s="252">
        <f>(Y1252*AB1252)</f>
        <v>587.4</v>
      </c>
      <c r="AE1252" s="370" t="str">
        <f t="shared" si="163"/>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63"/>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63"/>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16198.93</v>
      </c>
      <c r="AE1255" s="370" t="str">
        <f t="shared" si="163"/>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63"/>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6126</v>
      </c>
      <c r="P1257" s="470">
        <v>421.3</v>
      </c>
      <c r="Q1257" s="466" t="s">
        <v>609</v>
      </c>
      <c r="R1257" s="465">
        <f>M1257*P1257</f>
        <v>4213</v>
      </c>
      <c r="W1257" s="253"/>
      <c r="AA1257" s="255" t="s">
        <v>552</v>
      </c>
      <c r="AC1257" s="296"/>
      <c r="AD1257" s="274">
        <f>(AD1255/10)</f>
        <v>1619.89</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69">P1216</f>
        <v>4479.66</v>
      </c>
      <c r="Q1258" s="466" t="s">
        <v>869</v>
      </c>
      <c r="R1258" s="465">
        <f t="shared" ref="R1258:R1267" si="170">(M1258*P1258)</f>
        <v>940.73</v>
      </c>
      <c r="W1258" s="253"/>
      <c r="AC1258" s="296"/>
      <c r="AD1258" s="358" t="s">
        <v>2055</v>
      </c>
      <c r="AE1258" s="370" t="str">
        <f t="shared" si="163"/>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69"/>
        <v>999</v>
      </c>
      <c r="Q1259" s="466" t="s">
        <v>769</v>
      </c>
      <c r="R1259" s="465">
        <f t="shared" si="170"/>
        <v>1098.9000000000001</v>
      </c>
      <c r="W1259" s="253"/>
      <c r="Y1259" s="375">
        <v>29.4</v>
      </c>
      <c r="Z1259" s="252" t="s">
        <v>2251</v>
      </c>
      <c r="AA1259" s="296" t="s">
        <v>3503</v>
      </c>
      <c r="AE1259" s="370" t="str">
        <f t="shared" si="163"/>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69"/>
        <v>932</v>
      </c>
      <c r="Q1260" s="466" t="s">
        <v>769</v>
      </c>
      <c r="R1260" s="465">
        <f t="shared" si="170"/>
        <v>1025.2</v>
      </c>
      <c r="W1260" s="253"/>
      <c r="AA1260" s="296" t="s">
        <v>3504</v>
      </c>
      <c r="AE1260" s="370" t="str">
        <f t="shared" si="163"/>
        <v>|</v>
      </c>
      <c r="AG1260" s="296" t="s">
        <v>2259</v>
      </c>
    </row>
    <row r="1261" spans="6:33" ht="24" customHeight="1">
      <c r="K1261" s="358" t="s">
        <v>1586</v>
      </c>
      <c r="M1261" s="465">
        <v>2.2000000000000002</v>
      </c>
      <c r="N1261" s="465" t="s">
        <v>769</v>
      </c>
      <c r="O1261" s="472" t="s">
        <v>1902</v>
      </c>
      <c r="P1261" s="465">
        <f t="shared" si="169"/>
        <v>651</v>
      </c>
      <c r="Q1261" s="466" t="s">
        <v>769</v>
      </c>
      <c r="R1261" s="465">
        <f t="shared" si="170"/>
        <v>1432.2</v>
      </c>
      <c r="W1261" s="253"/>
      <c r="AA1261" s="358" t="s">
        <v>1586</v>
      </c>
      <c r="AE1261" s="370" t="str">
        <f t="shared" si="163"/>
        <v>|</v>
      </c>
      <c r="AG1261" s="296" t="s">
        <v>2259</v>
      </c>
    </row>
    <row r="1262" spans="6:33" ht="24" customHeight="1">
      <c r="H1262" s="296" t="s">
        <v>441</v>
      </c>
      <c r="K1262" s="252">
        <f>SUM(K1248:K1260)</f>
        <v>12047.53</v>
      </c>
      <c r="M1262" s="465">
        <v>2.2000000000000002</v>
      </c>
      <c r="N1262" s="465" t="s">
        <v>769</v>
      </c>
      <c r="O1262" s="472" t="s">
        <v>320</v>
      </c>
      <c r="P1262" s="465">
        <f t="shared" si="169"/>
        <v>534</v>
      </c>
      <c r="Q1262" s="466" t="s">
        <v>769</v>
      </c>
      <c r="R1262" s="465">
        <f t="shared" si="170"/>
        <v>1174.8</v>
      </c>
      <c r="W1262" s="253"/>
      <c r="Y1262" s="252">
        <v>1.86</v>
      </c>
      <c r="Z1262" s="252" t="s">
        <v>609</v>
      </c>
      <c r="AA1262" s="296" t="s">
        <v>3505</v>
      </c>
      <c r="AB1262" s="252">
        <f>AB1241</f>
        <v>793</v>
      </c>
      <c r="AC1262" s="296" t="str">
        <f>J1269</f>
        <v>SQM</v>
      </c>
      <c r="AD1262" s="252">
        <f t="shared" ref="AD1262:AD1267" si="171">(Y1262*AB1262)</f>
        <v>1474.98</v>
      </c>
      <c r="AE1262" s="370" t="str">
        <f t="shared" si="163"/>
        <v>|</v>
      </c>
      <c r="AG1262" s="296" t="s">
        <v>2259</v>
      </c>
    </row>
    <row r="1263" spans="6:33" ht="24" customHeight="1">
      <c r="K1263" s="358" t="s">
        <v>1586</v>
      </c>
      <c r="M1263" s="473">
        <v>20</v>
      </c>
      <c r="N1263" s="465" t="s">
        <v>1645</v>
      </c>
      <c r="O1263" s="472" t="s">
        <v>862</v>
      </c>
      <c r="P1263" s="465">
        <f t="shared" si="169"/>
        <v>6040</v>
      </c>
      <c r="Q1263" s="466" t="s">
        <v>861</v>
      </c>
      <c r="R1263" s="465">
        <f>(M1263*P1263)/1000</f>
        <v>120.8</v>
      </c>
      <c r="W1263" s="253"/>
      <c r="Y1263" s="252">
        <v>0.4</v>
      </c>
      <c r="Z1263" s="252" t="s">
        <v>1645</v>
      </c>
      <c r="AA1263" s="296" t="s">
        <v>2081</v>
      </c>
      <c r="AB1263" s="402">
        <f>AB1249</f>
        <v>36.1</v>
      </c>
      <c r="AC1263" s="296" t="str">
        <f>J1270</f>
        <v>Kg</v>
      </c>
      <c r="AD1263" s="252">
        <f t="shared" si="171"/>
        <v>14.44</v>
      </c>
      <c r="AE1263" s="370">
        <f t="shared" si="163"/>
        <v>0</v>
      </c>
    </row>
    <row r="1264" spans="6:33" ht="24" customHeight="1">
      <c r="H1264" s="255" t="s">
        <v>552</v>
      </c>
      <c r="K1264" s="274">
        <f>(K1262/10)</f>
        <v>1204.75</v>
      </c>
      <c r="M1264" s="473">
        <v>2</v>
      </c>
      <c r="N1264" s="465" t="s">
        <v>1645</v>
      </c>
      <c r="O1264" s="472" t="s">
        <v>1528</v>
      </c>
      <c r="P1264" s="465">
        <f>I1256</f>
        <v>36.1</v>
      </c>
      <c r="Q1264" s="466" t="s">
        <v>1645</v>
      </c>
      <c r="R1264" s="465">
        <f t="shared" si="170"/>
        <v>72.2</v>
      </c>
      <c r="W1264" s="253"/>
      <c r="Y1264" s="252">
        <v>0.02</v>
      </c>
      <c r="Z1264" s="252" t="s">
        <v>869</v>
      </c>
      <c r="AA1264" s="296" t="s">
        <v>417</v>
      </c>
      <c r="AB1264" s="252">
        <f>I1271</f>
        <v>5929.26</v>
      </c>
      <c r="AC1264" s="296" t="str">
        <f>J1271</f>
        <v>CUM</v>
      </c>
      <c r="AD1264" s="252">
        <f t="shared" si="171"/>
        <v>118.59</v>
      </c>
      <c r="AE1264" s="370">
        <f t="shared" si="163"/>
        <v>0</v>
      </c>
    </row>
    <row r="1265" spans="6:33" ht="24" customHeight="1">
      <c r="K1265" s="358" t="s">
        <v>2055</v>
      </c>
      <c r="M1265" s="465">
        <v>1.6</v>
      </c>
      <c r="N1265" s="465" t="s">
        <v>769</v>
      </c>
      <c r="O1265" s="472" t="s">
        <v>1712</v>
      </c>
      <c r="P1265" s="465">
        <f>P1223</f>
        <v>932</v>
      </c>
      <c r="Q1265" s="466" t="s">
        <v>769</v>
      </c>
      <c r="R1265" s="465">
        <f t="shared" si="170"/>
        <v>1491.2</v>
      </c>
      <c r="W1265" s="253"/>
      <c r="Y1265" s="252">
        <v>1</v>
      </c>
      <c r="Z1265" s="252" t="s">
        <v>769</v>
      </c>
      <c r="AA1265" s="296" t="s">
        <v>2009</v>
      </c>
      <c r="AB1265" s="252">
        <f>I1272</f>
        <v>999</v>
      </c>
      <c r="AC1265" s="296" t="str">
        <f>J1272</f>
        <v>NO</v>
      </c>
      <c r="AD1265" s="252">
        <f t="shared" si="171"/>
        <v>999</v>
      </c>
      <c r="AE1265" s="370" t="str">
        <f t="shared" si="163"/>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0"/>
        <v>325.5</v>
      </c>
      <c r="W1266" s="253"/>
      <c r="Y1266" s="252">
        <v>1</v>
      </c>
      <c r="Z1266" s="252" t="s">
        <v>769</v>
      </c>
      <c r="AA1266" s="296" t="s">
        <v>1688</v>
      </c>
      <c r="AB1266" s="252">
        <f>I1273</f>
        <v>651</v>
      </c>
      <c r="AC1266" s="296" t="str">
        <f>J1273</f>
        <v>NO</v>
      </c>
      <c r="AD1266" s="252">
        <f t="shared" si="171"/>
        <v>651</v>
      </c>
      <c r="AE1266" s="370">
        <f t="shared" si="163"/>
        <v>0</v>
      </c>
    </row>
    <row r="1267" spans="6:33" ht="24" customHeight="1">
      <c r="H1267" s="296" t="s">
        <v>1092</v>
      </c>
      <c r="M1267" s="465">
        <v>1.1000000000000001</v>
      </c>
      <c r="N1267" s="465" t="s">
        <v>769</v>
      </c>
      <c r="O1267" s="472" t="s">
        <v>320</v>
      </c>
      <c r="P1267" s="465">
        <f>P1225</f>
        <v>534</v>
      </c>
      <c r="Q1267" s="466" t="s">
        <v>769</v>
      </c>
      <c r="R1267" s="465">
        <f t="shared" si="170"/>
        <v>587.4</v>
      </c>
      <c r="W1267" s="253"/>
      <c r="Z1267" s="252" t="s">
        <v>449</v>
      </c>
      <c r="AA1267" s="296" t="s">
        <v>450</v>
      </c>
      <c r="AC1267" s="296" t="s">
        <v>449</v>
      </c>
      <c r="AD1267" s="252">
        <f t="shared" si="171"/>
        <v>0</v>
      </c>
      <c r="AE1267" s="370">
        <f t="shared" si="163"/>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63"/>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3258.01</v>
      </c>
      <c r="AE1269" s="370">
        <f t="shared" si="163"/>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12481.93</v>
      </c>
      <c r="W1270" s="253"/>
      <c r="AC1270" s="296"/>
      <c r="AD1270" s="358" t="s">
        <v>1586</v>
      </c>
      <c r="AE1270" s="370">
        <f t="shared" si="163"/>
        <v>0</v>
      </c>
    </row>
    <row r="1271" spans="6:33" ht="24" customHeight="1">
      <c r="F1271" s="252">
        <v>0.02</v>
      </c>
      <c r="G1271" s="252" t="s">
        <v>869</v>
      </c>
      <c r="H1271" s="296" t="s">
        <v>417</v>
      </c>
      <c r="I1271" s="252">
        <f>K23</f>
        <v>5929.26</v>
      </c>
      <c r="J1271" s="296" t="s">
        <v>869</v>
      </c>
      <c r="K1271" s="252">
        <f>(F1271*I1271)</f>
        <v>118.59</v>
      </c>
      <c r="M1271" s="465"/>
      <c r="N1271" s="465"/>
      <c r="O1271" s="465"/>
      <c r="P1271" s="465"/>
      <c r="Q1271" s="466"/>
      <c r="R1271" s="474" t="s">
        <v>1586</v>
      </c>
      <c r="W1271" s="253"/>
      <c r="AA1271" s="255" t="s">
        <v>552</v>
      </c>
      <c r="AC1271" s="296"/>
      <c r="AD1271" s="274">
        <f>(AD1269/1.86)</f>
        <v>1751.62</v>
      </c>
      <c r="AE1271" s="370">
        <f t="shared" si="163"/>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1248.19</v>
      </c>
      <c r="W1272" s="253"/>
      <c r="AC1272" s="296"/>
      <c r="AD1272" s="358" t="s">
        <v>2055</v>
      </c>
      <c r="AE1272" s="370">
        <f t="shared" si="163"/>
        <v>0</v>
      </c>
    </row>
    <row r="1273" spans="6:33" ht="24" customHeight="1">
      <c r="F1273" s="252">
        <v>1</v>
      </c>
      <c r="G1273" s="252" t="s">
        <v>769</v>
      </c>
      <c r="H1273" s="296" t="s">
        <v>1688</v>
      </c>
      <c r="I1273" s="252">
        <f>C12</f>
        <v>651</v>
      </c>
      <c r="J1273" s="296" t="s">
        <v>769</v>
      </c>
      <c r="K1273" s="252">
        <f>(F1273*I1273)</f>
        <v>651</v>
      </c>
      <c r="S1273" s="375">
        <v>29.5</v>
      </c>
      <c r="T1273" s="252" t="s">
        <v>2251</v>
      </c>
      <c r="U1273" s="296" t="s">
        <v>6127</v>
      </c>
      <c r="W1273" s="253"/>
      <c r="AE1273" s="370">
        <f t="shared" si="163"/>
        <v>0</v>
      </c>
    </row>
    <row r="1274" spans="6:33" ht="24" customHeight="1">
      <c r="G1274" s="252" t="s">
        <v>449</v>
      </c>
      <c r="H1274" s="296" t="s">
        <v>450</v>
      </c>
      <c r="J1274" s="296" t="s">
        <v>449</v>
      </c>
      <c r="S1274" s="252"/>
      <c r="U1274" s="296"/>
      <c r="W1274" s="253"/>
      <c r="AE1274" s="370">
        <f t="shared" si="163"/>
        <v>0</v>
      </c>
    </row>
    <row r="1275" spans="6:33" ht="24" customHeight="1">
      <c r="K1275" s="358" t="s">
        <v>1586</v>
      </c>
      <c r="S1275" s="252"/>
      <c r="U1275" s="296"/>
      <c r="W1275" s="253"/>
      <c r="AC1275" s="296"/>
      <c r="AE1275" s="370">
        <f t="shared" si="163"/>
        <v>0</v>
      </c>
    </row>
    <row r="1276" spans="6:33" ht="24" customHeight="1">
      <c r="H1276" s="296" t="s">
        <v>1689</v>
      </c>
      <c r="K1276" s="252">
        <f>SUM(K1269:K1274)</f>
        <v>2554.9299999999998</v>
      </c>
      <c r="S1276" s="252"/>
      <c r="U1276" s="358" t="s">
        <v>1586</v>
      </c>
      <c r="V1276" s="358" t="s">
        <v>1586</v>
      </c>
      <c r="W1276" s="253"/>
      <c r="AC1276" s="296"/>
      <c r="AE1276" s="370">
        <f t="shared" si="163"/>
        <v>0</v>
      </c>
    </row>
    <row r="1277" spans="6:33" ht="40.5" customHeight="1">
      <c r="K1277" s="358" t="s">
        <v>1586</v>
      </c>
      <c r="S1277" s="252">
        <v>10</v>
      </c>
      <c r="T1277" s="252" t="s">
        <v>609</v>
      </c>
      <c r="U1277" s="260" t="s">
        <v>3602</v>
      </c>
      <c r="V1277" s="314">
        <v>538.21</v>
      </c>
      <c r="W1277" s="253" t="s">
        <v>609</v>
      </c>
      <c r="X1277" s="252">
        <f>(S1277*V1277)</f>
        <v>5382.1</v>
      </c>
      <c r="AC1277" s="296"/>
      <c r="AE1277" s="370">
        <f t="shared" si="163"/>
        <v>0</v>
      </c>
    </row>
    <row r="1278" spans="6:33" ht="24" customHeight="1">
      <c r="H1278" s="255" t="s">
        <v>552</v>
      </c>
      <c r="K1278" s="274">
        <f>(K1276/1.86)</f>
        <v>1373.62</v>
      </c>
      <c r="S1278" s="252">
        <v>0.21</v>
      </c>
      <c r="T1278" s="252" t="s">
        <v>869</v>
      </c>
      <c r="U1278" s="296" t="s">
        <v>1876</v>
      </c>
      <c r="V1278" s="252">
        <f t="shared" ref="V1278:V1288" si="172">I1249</f>
        <v>4479.66</v>
      </c>
      <c r="W1278" s="253" t="s">
        <v>869</v>
      </c>
      <c r="X1278" s="252">
        <f>(S1278*V1278)</f>
        <v>940.73</v>
      </c>
      <c r="AE1278" s="370">
        <f t="shared" ref="AE1278:AE1341" si="173">AG1278</f>
        <v>0</v>
      </c>
    </row>
    <row r="1279" spans="6:33" ht="24" customHeight="1">
      <c r="K1279" s="358" t="s">
        <v>2055</v>
      </c>
      <c r="S1279" s="252"/>
      <c r="U1279" s="296" t="s">
        <v>1877</v>
      </c>
      <c r="V1279" s="252" t="str">
        <f t="shared" si="172"/>
        <v/>
      </c>
      <c r="W1279" s="253"/>
      <c r="X1279" s="296" t="s">
        <v>975</v>
      </c>
      <c r="AE1279" s="370">
        <f t="shared" si="173"/>
        <v>0</v>
      </c>
    </row>
    <row r="1280" spans="6:33" ht="24" customHeight="1">
      <c r="F1280" s="375"/>
      <c r="G1280" s="252" t="s">
        <v>2251</v>
      </c>
      <c r="H1280" s="296" t="s">
        <v>6128</v>
      </c>
      <c r="S1280" s="252">
        <v>1.1000000000000001</v>
      </c>
      <c r="T1280" s="252" t="s">
        <v>769</v>
      </c>
      <c r="U1280" s="296" t="s">
        <v>2009</v>
      </c>
      <c r="V1280" s="252">
        <f t="shared" si="172"/>
        <v>999</v>
      </c>
      <c r="W1280" s="253" t="s">
        <v>769</v>
      </c>
      <c r="X1280" s="252">
        <f>(S1280*V1280)</f>
        <v>1098.9000000000001</v>
      </c>
      <c r="AE1280" s="370">
        <f t="shared" si="173"/>
        <v>0</v>
      </c>
    </row>
    <row r="1281" spans="6:31" ht="24" customHeight="1">
      <c r="H1281" s="296"/>
      <c r="S1281" s="252">
        <v>1.1000000000000001</v>
      </c>
      <c r="T1281" s="252" t="s">
        <v>769</v>
      </c>
      <c r="U1281" s="296" t="s">
        <v>1712</v>
      </c>
      <c r="V1281" s="252">
        <f t="shared" si="172"/>
        <v>932</v>
      </c>
      <c r="W1281" s="253" t="s">
        <v>769</v>
      </c>
      <c r="X1281" s="252">
        <f>(S1281*V1281)</f>
        <v>1025.2</v>
      </c>
      <c r="AE1281" s="370">
        <f t="shared" si="173"/>
        <v>0</v>
      </c>
    </row>
    <row r="1282" spans="6:31" ht="24" customHeight="1">
      <c r="H1282" s="358" t="s">
        <v>1586</v>
      </c>
      <c r="S1282" s="252">
        <v>2.2000000000000002</v>
      </c>
      <c r="T1282" s="252" t="s">
        <v>769</v>
      </c>
      <c r="U1282" s="296" t="s">
        <v>1902</v>
      </c>
      <c r="V1282" s="252">
        <f t="shared" si="172"/>
        <v>651</v>
      </c>
      <c r="W1282" s="253" t="s">
        <v>769</v>
      </c>
      <c r="X1282" s="252">
        <f>(S1282*V1282)</f>
        <v>1432.2</v>
      </c>
      <c r="AE1282" s="370">
        <f t="shared" si="173"/>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2"/>
        <v>534</v>
      </c>
      <c r="W1283" s="253" t="s">
        <v>769</v>
      </c>
      <c r="X1283" s="252">
        <f>(S1283*V1283)</f>
        <v>1174.8</v>
      </c>
      <c r="AE1283" s="370">
        <f t="shared" si="173"/>
        <v>0</v>
      </c>
    </row>
    <row r="1284" spans="6:31"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2"/>
        <v>6040</v>
      </c>
      <c r="W1284" s="253" t="s">
        <v>861</v>
      </c>
      <c r="X1284" s="252">
        <f>(S1284*V1284)/1000</f>
        <v>120.8</v>
      </c>
      <c r="AE1284" s="370">
        <f t="shared" si="173"/>
        <v>0</v>
      </c>
    </row>
    <row r="1285" spans="6:31" ht="24" customHeight="1">
      <c r="F1285" s="252">
        <v>0.02</v>
      </c>
      <c r="G1285" s="252" t="s">
        <v>869</v>
      </c>
      <c r="H1285" s="296" t="s">
        <v>417</v>
      </c>
      <c r="I1285" s="252">
        <f>I1271</f>
        <v>5929.26</v>
      </c>
      <c r="J1285" s="296" t="s">
        <v>869</v>
      </c>
      <c r="K1285" s="252">
        <f>(F1285*I1285)</f>
        <v>118.59</v>
      </c>
      <c r="S1285" s="356">
        <v>2</v>
      </c>
      <c r="T1285" s="252" t="s">
        <v>1645</v>
      </c>
      <c r="U1285" s="296" t="s">
        <v>2081</v>
      </c>
      <c r="V1285" s="252">
        <f t="shared" si="172"/>
        <v>36.1</v>
      </c>
      <c r="W1285" s="253" t="s">
        <v>1645</v>
      </c>
      <c r="X1285" s="252">
        <f>(S1285*V1285)</f>
        <v>72.2</v>
      </c>
      <c r="AE1285" s="370">
        <f t="shared" si="173"/>
        <v>0</v>
      </c>
    </row>
    <row r="1286" spans="6:31" ht="24" customHeight="1">
      <c r="F1286" s="252">
        <v>1</v>
      </c>
      <c r="G1286" s="252" t="s">
        <v>769</v>
      </c>
      <c r="H1286" s="296" t="s">
        <v>2009</v>
      </c>
      <c r="I1286" s="252">
        <f>I1272</f>
        <v>999</v>
      </c>
      <c r="J1286" s="296" t="s">
        <v>769</v>
      </c>
      <c r="K1286" s="252">
        <f>(F1286*I1286)</f>
        <v>999</v>
      </c>
      <c r="S1286" s="252">
        <v>1.6</v>
      </c>
      <c r="T1286" s="252" t="s">
        <v>769</v>
      </c>
      <c r="U1286" s="296" t="s">
        <v>1712</v>
      </c>
      <c r="V1286" s="252">
        <f t="shared" si="172"/>
        <v>932</v>
      </c>
      <c r="W1286" s="253" t="s">
        <v>769</v>
      </c>
      <c r="X1286" s="252">
        <f>(S1286*V1286)</f>
        <v>1491.2</v>
      </c>
      <c r="AE1286" s="370">
        <f t="shared" si="173"/>
        <v>0</v>
      </c>
    </row>
    <row r="1287" spans="6:31" ht="24" customHeight="1">
      <c r="F1287" s="252">
        <v>1</v>
      </c>
      <c r="G1287" s="252" t="s">
        <v>769</v>
      </c>
      <c r="H1287" s="296" t="s">
        <v>1688</v>
      </c>
      <c r="I1287" s="252">
        <f>I1273</f>
        <v>651</v>
      </c>
      <c r="J1287" s="296" t="s">
        <v>769</v>
      </c>
      <c r="K1287" s="252">
        <f>(F1287*I1287)</f>
        <v>651</v>
      </c>
      <c r="S1287" s="252">
        <v>0.5</v>
      </c>
      <c r="T1287" s="252" t="s">
        <v>769</v>
      </c>
      <c r="U1287" s="296" t="s">
        <v>1902</v>
      </c>
      <c r="V1287" s="252">
        <f t="shared" si="172"/>
        <v>651</v>
      </c>
      <c r="W1287" s="253" t="s">
        <v>769</v>
      </c>
      <c r="X1287" s="252">
        <f>(S1287*V1287)</f>
        <v>325.5</v>
      </c>
      <c r="AE1287" s="370">
        <f t="shared" si="173"/>
        <v>0</v>
      </c>
    </row>
    <row r="1288" spans="6:31" ht="24" customHeight="1">
      <c r="G1288" s="252" t="s">
        <v>449</v>
      </c>
      <c r="H1288" s="296" t="s">
        <v>450</v>
      </c>
      <c r="J1288" s="296" t="s">
        <v>449</v>
      </c>
      <c r="S1288" s="252">
        <v>1.1000000000000001</v>
      </c>
      <c r="T1288" s="252" t="s">
        <v>769</v>
      </c>
      <c r="U1288" s="296" t="s">
        <v>320</v>
      </c>
      <c r="V1288" s="252">
        <f t="shared" si="172"/>
        <v>534</v>
      </c>
      <c r="W1288" s="253" t="s">
        <v>769</v>
      </c>
      <c r="X1288" s="252">
        <f>(S1288*V1288)</f>
        <v>587.4</v>
      </c>
      <c r="AE1288" s="370">
        <f t="shared" si="173"/>
        <v>0</v>
      </c>
    </row>
    <row r="1289" spans="6:31" ht="24" customHeight="1">
      <c r="K1289" s="358" t="s">
        <v>1586</v>
      </c>
      <c r="S1289" s="252"/>
      <c r="T1289" s="252" t="s">
        <v>449</v>
      </c>
      <c r="U1289" s="296" t="s">
        <v>450</v>
      </c>
      <c r="W1289" s="253" t="s">
        <v>449</v>
      </c>
      <c r="X1289" s="252">
        <v>0</v>
      </c>
      <c r="AE1289" s="370">
        <f t="shared" si="173"/>
        <v>0</v>
      </c>
    </row>
    <row r="1290" spans="6:31" ht="24" customHeight="1">
      <c r="H1290" s="296" t="s">
        <v>1689</v>
      </c>
      <c r="K1290" s="252">
        <f>SUM(K1283:K1288)</f>
        <v>5485.47</v>
      </c>
      <c r="S1290" s="252"/>
      <c r="W1290" s="253"/>
      <c r="X1290" s="358" t="s">
        <v>1586</v>
      </c>
      <c r="AE1290" s="370">
        <f t="shared" si="173"/>
        <v>0</v>
      </c>
    </row>
    <row r="1291" spans="6:31" ht="24" customHeight="1">
      <c r="K1291" s="358" t="s">
        <v>1586</v>
      </c>
      <c r="S1291" s="252"/>
      <c r="U1291" s="296" t="s">
        <v>441</v>
      </c>
      <c r="W1291" s="253"/>
      <c r="X1291" s="252">
        <f>SUM(X1277:X1289)</f>
        <v>13651.03</v>
      </c>
      <c r="AE1291" s="370">
        <f t="shared" si="173"/>
        <v>0</v>
      </c>
    </row>
    <row r="1292" spans="6:31" ht="24" customHeight="1">
      <c r="H1292" s="255" t="s">
        <v>552</v>
      </c>
      <c r="K1292" s="274">
        <f>(K1290/1.86)</f>
        <v>2949.18</v>
      </c>
      <c r="S1292" s="252"/>
      <c r="W1292" s="253"/>
      <c r="X1292" s="358" t="s">
        <v>1586</v>
      </c>
      <c r="AE1292" s="370">
        <f t="shared" si="173"/>
        <v>0</v>
      </c>
    </row>
    <row r="1293" spans="6:31" ht="24" customHeight="1">
      <c r="K1293" s="358" t="s">
        <v>2055</v>
      </c>
      <c r="U1293" s="255" t="s">
        <v>552</v>
      </c>
      <c r="W1293" s="253"/>
      <c r="X1293" s="274">
        <f>(X1291/10)</f>
        <v>1365.1</v>
      </c>
      <c r="AE1293" s="370">
        <f t="shared" si="173"/>
        <v>0</v>
      </c>
    </row>
    <row r="1294" spans="6:31" ht="24" customHeight="1">
      <c r="K1294" s="358"/>
      <c r="W1294" s="253"/>
      <c r="X1294" s="358" t="s">
        <v>2055</v>
      </c>
      <c r="AE1294" s="370">
        <f t="shared" si="173"/>
        <v>0</v>
      </c>
    </row>
    <row r="1295" spans="6:31" ht="24" customHeight="1">
      <c r="K1295" s="358"/>
      <c r="W1295" s="253"/>
      <c r="AE1295" s="370">
        <f t="shared" si="173"/>
        <v>0</v>
      </c>
    </row>
    <row r="1296" spans="6:31" ht="24" customHeight="1">
      <c r="K1296" s="358"/>
      <c r="M1296" s="253"/>
      <c r="N1296" s="252" t="s">
        <v>2251</v>
      </c>
      <c r="O1296" s="296" t="s">
        <v>6129</v>
      </c>
      <c r="Q1296" s="253"/>
      <c r="S1296" s="375">
        <v>15.1</v>
      </c>
      <c r="T1296" s="252" t="s">
        <v>1757</v>
      </c>
      <c r="U1296" s="296" t="s">
        <v>6130</v>
      </c>
      <c r="W1296" s="253"/>
      <c r="AE1296" s="370">
        <f t="shared" si="173"/>
        <v>0</v>
      </c>
    </row>
    <row r="1297" spans="6:31" ht="24" customHeight="1">
      <c r="K1297" s="358"/>
      <c r="O1297" s="296" t="s">
        <v>1524</v>
      </c>
      <c r="Q1297" s="253"/>
      <c r="S1297" s="252"/>
      <c r="U1297" s="296" t="s">
        <v>2281</v>
      </c>
      <c r="W1297" s="253"/>
      <c r="AE1297" s="370">
        <f t="shared" si="173"/>
        <v>0</v>
      </c>
    </row>
    <row r="1298" spans="6:31" ht="24" customHeight="1">
      <c r="F1298" s="253" t="s">
        <v>207</v>
      </c>
      <c r="G1298" s="252" t="s">
        <v>2251</v>
      </c>
      <c r="H1298" s="296" t="s">
        <v>1922</v>
      </c>
      <c r="O1298" s="276" t="s">
        <v>6131</v>
      </c>
      <c r="Q1298" s="253"/>
      <c r="S1298" s="252">
        <v>10</v>
      </c>
      <c r="T1298" s="252" t="s">
        <v>2283</v>
      </c>
      <c r="U1298" s="296" t="s">
        <v>6132</v>
      </c>
      <c r="V1298" s="362">
        <v>1626</v>
      </c>
      <c r="W1298" s="253" t="s">
        <v>2283</v>
      </c>
      <c r="X1298" s="252">
        <f t="shared" ref="X1298:X1304" si="174">(S1298*V1298)</f>
        <v>16260</v>
      </c>
      <c r="AE1298" s="370">
        <f t="shared" si="173"/>
        <v>0</v>
      </c>
    </row>
    <row r="1299" spans="6:31" ht="24" customHeight="1">
      <c r="H1299" s="296" t="s">
        <v>2233</v>
      </c>
      <c r="O1299" s="358" t="s">
        <v>1586</v>
      </c>
      <c r="Q1299" s="253"/>
      <c r="S1299" s="252">
        <v>0.21</v>
      </c>
      <c r="T1299" s="252" t="s">
        <v>869</v>
      </c>
      <c r="U1299" s="296" t="s">
        <v>784</v>
      </c>
      <c r="V1299" s="407">
        <f>P1333</f>
        <v>4479.66</v>
      </c>
      <c r="W1299" s="253" t="s">
        <v>869</v>
      </c>
      <c r="X1299" s="252">
        <f t="shared" si="174"/>
        <v>940.73</v>
      </c>
      <c r="AE1299" s="370">
        <f t="shared" si="173"/>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999</v>
      </c>
      <c r="W1300" s="253" t="s">
        <v>1398</v>
      </c>
      <c r="X1300" s="252">
        <f t="shared" si="174"/>
        <v>1098.9000000000001</v>
      </c>
      <c r="AE1300" s="370">
        <f t="shared" si="173"/>
        <v>0</v>
      </c>
    </row>
    <row r="1301" spans="6:31" ht="24" customHeight="1">
      <c r="H1301" s="296" t="s">
        <v>6133</v>
      </c>
      <c r="M1301" s="252">
        <v>0.98</v>
      </c>
      <c r="N1301" s="252" t="s">
        <v>1238</v>
      </c>
      <c r="O1301" s="296" t="s">
        <v>3879</v>
      </c>
      <c r="P1301" s="252">
        <f>P1320</f>
        <v>147.5</v>
      </c>
      <c r="Q1301" s="253" t="s">
        <v>1238</v>
      </c>
      <c r="R1301" s="252">
        <f t="shared" ref="R1301:R1306" si="175">(M1301*P1301)</f>
        <v>144.55000000000001</v>
      </c>
      <c r="S1301" s="252">
        <v>1.1000000000000001</v>
      </c>
      <c r="T1301" s="252" t="s">
        <v>560</v>
      </c>
      <c r="U1301" s="296" t="s">
        <v>3611</v>
      </c>
      <c r="V1301" s="407">
        <f>P1260</f>
        <v>932</v>
      </c>
      <c r="W1301" s="253" t="s">
        <v>1398</v>
      </c>
      <c r="X1301" s="252">
        <f t="shared" si="174"/>
        <v>1025.2</v>
      </c>
      <c r="AE1301" s="370">
        <f t="shared" si="173"/>
        <v>0</v>
      </c>
    </row>
    <row r="1302" spans="6:31" ht="24" customHeight="1">
      <c r="H1302" s="358" t="s">
        <v>1586</v>
      </c>
      <c r="M1302" s="252">
        <v>0.5</v>
      </c>
      <c r="N1302" s="252" t="s">
        <v>769</v>
      </c>
      <c r="O1302" s="296" t="s">
        <v>1179</v>
      </c>
      <c r="P1302" s="252">
        <f>AE13</f>
        <v>797</v>
      </c>
      <c r="Q1302" s="252" t="s">
        <v>769</v>
      </c>
      <c r="R1302" s="252">
        <f t="shared" si="175"/>
        <v>398.5</v>
      </c>
      <c r="S1302" s="252">
        <v>2.2000000000000002</v>
      </c>
      <c r="T1302" s="252" t="s">
        <v>560</v>
      </c>
      <c r="U1302" s="296" t="s">
        <v>823</v>
      </c>
      <c r="V1302" s="407">
        <f>P1335</f>
        <v>651</v>
      </c>
      <c r="W1302" s="253" t="s">
        <v>1398</v>
      </c>
      <c r="X1302" s="252">
        <f t="shared" si="174"/>
        <v>1432.2</v>
      </c>
      <c r="AE1302" s="370">
        <f t="shared" si="173"/>
        <v>0</v>
      </c>
    </row>
    <row r="1303" spans="6:31" ht="24" customHeight="1">
      <c r="F1303" s="252">
        <v>0.24</v>
      </c>
      <c r="G1303" s="252" t="s">
        <v>869</v>
      </c>
      <c r="H1303" s="296" t="s">
        <v>1691</v>
      </c>
      <c r="I1303" s="252">
        <f>(C70)</f>
        <v>969.85</v>
      </c>
      <c r="J1303" s="296" t="s">
        <v>869</v>
      </c>
      <c r="K1303" s="252">
        <f>(F1303*I1303)</f>
        <v>232.76</v>
      </c>
      <c r="M1303" s="252">
        <v>0.7</v>
      </c>
      <c r="N1303" s="252" t="s">
        <v>769</v>
      </c>
      <c r="O1303" s="296" t="s">
        <v>1199</v>
      </c>
      <c r="P1303" s="252">
        <f>AE14</f>
        <v>772</v>
      </c>
      <c r="Q1303" s="252" t="s">
        <v>769</v>
      </c>
      <c r="R1303" s="252">
        <f t="shared" si="175"/>
        <v>540.4</v>
      </c>
      <c r="S1303" s="252">
        <v>2.2000000000000002</v>
      </c>
      <c r="T1303" s="252" t="s">
        <v>560</v>
      </c>
      <c r="U1303" s="296" t="s">
        <v>3609</v>
      </c>
      <c r="V1303" s="407">
        <f>P1305</f>
        <v>534</v>
      </c>
      <c r="W1303" s="253" t="s">
        <v>1398</v>
      </c>
      <c r="X1303" s="252">
        <f t="shared" si="174"/>
        <v>1174.8</v>
      </c>
      <c r="AE1303" s="370">
        <f t="shared" si="173"/>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75"/>
        <v>325.5</v>
      </c>
      <c r="S1304" s="252">
        <v>10</v>
      </c>
      <c r="T1304" s="252" t="s">
        <v>449</v>
      </c>
      <c r="U1304" s="296" t="s">
        <v>3610</v>
      </c>
      <c r="V1304" s="407">
        <v>153.47</v>
      </c>
      <c r="W1304" s="253" t="s">
        <v>449</v>
      </c>
      <c r="X1304" s="252">
        <f t="shared" si="174"/>
        <v>1534.7</v>
      </c>
      <c r="AE1304" s="370">
        <f t="shared" si="173"/>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75"/>
        <v>427.2</v>
      </c>
      <c r="S1305" s="252"/>
      <c r="U1305" s="296"/>
      <c r="V1305" s="407">
        <f>P1337</f>
        <v>0</v>
      </c>
      <c r="W1305" s="253"/>
      <c r="X1305" s="358" t="s">
        <v>1586</v>
      </c>
      <c r="AE1305" s="370">
        <f t="shared" si="173"/>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75"/>
        <v>42</v>
      </c>
      <c r="S1306" s="252"/>
      <c r="U1306" s="253" t="s">
        <v>407</v>
      </c>
      <c r="V1306" s="407"/>
      <c r="W1306" s="253"/>
      <c r="X1306" s="252">
        <f>SUM(X1298:X1304)</f>
        <v>23466.53</v>
      </c>
      <c r="AE1306" s="370">
        <f t="shared" si="173"/>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73"/>
        <v>0</v>
      </c>
    </row>
    <row r="1308" spans="6:31" ht="24" customHeight="1">
      <c r="G1308" s="252" t="s">
        <v>449</v>
      </c>
      <c r="H1308" s="296" t="s">
        <v>450</v>
      </c>
      <c r="J1308" s="296" t="s">
        <v>449</v>
      </c>
      <c r="K1308" s="252">
        <v>0</v>
      </c>
      <c r="Q1308" s="253"/>
      <c r="R1308" s="358" t="s">
        <v>1586</v>
      </c>
      <c r="S1308" s="252"/>
      <c r="U1308" s="253" t="s">
        <v>411</v>
      </c>
      <c r="W1308" s="253"/>
      <c r="X1308" s="274">
        <f>X1306/10</f>
        <v>2346.65</v>
      </c>
      <c r="AE1308" s="370">
        <f t="shared" si="173"/>
        <v>0</v>
      </c>
    </row>
    <row r="1309" spans="6:31" ht="24" customHeight="1">
      <c r="K1309" s="358" t="s">
        <v>1586</v>
      </c>
      <c r="O1309" s="296" t="s">
        <v>441</v>
      </c>
      <c r="Q1309" s="253"/>
      <c r="R1309" s="252">
        <f>SUM(R1300:R1307)</f>
        <v>2598.15</v>
      </c>
      <c r="S1309" s="252"/>
      <c r="U1309" s="296" t="s">
        <v>386</v>
      </c>
      <c r="W1309" s="253">
        <f>X1313+Y1308</f>
        <v>2348.87</v>
      </c>
      <c r="X1309" s="252">
        <f>X1308+Y1306</f>
        <v>2346.65</v>
      </c>
      <c r="AE1309" s="370">
        <f t="shared" si="173"/>
        <v>0</v>
      </c>
    </row>
    <row r="1310" spans="6:31" ht="24" customHeight="1">
      <c r="H1310" s="296" t="s">
        <v>441</v>
      </c>
      <c r="K1310" s="252">
        <f>SUM(K1303:K1308)</f>
        <v>4451.24</v>
      </c>
      <c r="Q1310" s="253"/>
      <c r="R1310" s="358" t="s">
        <v>1586</v>
      </c>
      <c r="S1310" s="252"/>
      <c r="U1310" s="296" t="s">
        <v>388</v>
      </c>
      <c r="W1310" s="253">
        <f>W1309+Y1308</f>
        <v>2348.87</v>
      </c>
      <c r="X1310" s="252">
        <f>X1309+1.11</f>
        <v>2347.7600000000002</v>
      </c>
      <c r="AE1310" s="370">
        <f t="shared" si="173"/>
        <v>0</v>
      </c>
    </row>
    <row r="1311" spans="6:31" ht="24" customHeight="1">
      <c r="K1311" s="358" t="s">
        <v>1586</v>
      </c>
      <c r="O1311" s="276" t="s">
        <v>552</v>
      </c>
      <c r="Q1311" s="253"/>
      <c r="R1311" s="274">
        <f>(R1309/10)</f>
        <v>259.82</v>
      </c>
      <c r="S1311" s="252"/>
      <c r="U1311" s="296" t="s">
        <v>2232</v>
      </c>
      <c r="W1311" s="253"/>
      <c r="X1311" s="252">
        <f>X1310+1.11</f>
        <v>2348.87</v>
      </c>
      <c r="AE1311" s="370">
        <f t="shared" si="173"/>
        <v>0</v>
      </c>
    </row>
    <row r="1312" spans="6:31" ht="24" customHeight="1">
      <c r="H1312" s="255" t="s">
        <v>552</v>
      </c>
      <c r="K1312" s="274">
        <f>(K1310/10)</f>
        <v>445.12</v>
      </c>
      <c r="M1312" s="296" t="s">
        <v>975</v>
      </c>
      <c r="Q1312" s="253"/>
      <c r="S1312" s="252"/>
      <c r="U1312" s="296" t="s">
        <v>380</v>
      </c>
      <c r="W1312" s="253"/>
      <c r="X1312" s="252">
        <f>X1311+Y1308</f>
        <v>2348.87</v>
      </c>
      <c r="AE1312" s="370">
        <f t="shared" si="173"/>
        <v>0</v>
      </c>
    </row>
    <row r="1313" spans="6:31" ht="24" customHeight="1">
      <c r="F1313" s="296" t="s">
        <v>975</v>
      </c>
      <c r="Q1313" s="253"/>
      <c r="R1313" s="358" t="s">
        <v>2055</v>
      </c>
      <c r="S1313" s="252"/>
      <c r="U1313" s="296" t="s">
        <v>1364</v>
      </c>
      <c r="W1313" s="253"/>
      <c r="X1313" s="252">
        <f>X1312+Y1308</f>
        <v>2348.87</v>
      </c>
      <c r="AE1313" s="370">
        <f t="shared" si="173"/>
        <v>0</v>
      </c>
    </row>
    <row r="1314" spans="6:31" ht="24" customHeight="1">
      <c r="K1314" s="358" t="s">
        <v>2055</v>
      </c>
      <c r="Q1314" s="253"/>
      <c r="S1314" s="252"/>
      <c r="W1314" s="253"/>
      <c r="AE1314" s="370">
        <f t="shared" si="173"/>
        <v>0</v>
      </c>
    </row>
    <row r="1315" spans="6:31" ht="24" customHeight="1">
      <c r="F1315" s="253" t="s">
        <v>1938</v>
      </c>
      <c r="G1315" s="252" t="s">
        <v>2251</v>
      </c>
      <c r="H1315" s="276" t="s">
        <v>6134</v>
      </c>
      <c r="M1315" s="253" t="s">
        <v>1374</v>
      </c>
      <c r="N1315" s="252" t="s">
        <v>2251</v>
      </c>
      <c r="O1315" s="296" t="s">
        <v>6135</v>
      </c>
      <c r="Q1315" s="253"/>
      <c r="W1315" s="253"/>
      <c r="AE1315" s="370">
        <f t="shared" si="173"/>
        <v>0</v>
      </c>
    </row>
    <row r="1316" spans="6:31" ht="24" customHeight="1">
      <c r="H1316" s="296" t="s">
        <v>1939</v>
      </c>
      <c r="O1316" s="296" t="s">
        <v>1524</v>
      </c>
      <c r="Q1316" s="253"/>
      <c r="S1316" s="375">
        <v>15.1</v>
      </c>
      <c r="T1316" s="252" t="s">
        <v>1757</v>
      </c>
      <c r="U1316" s="296" t="s">
        <v>6136</v>
      </c>
      <c r="W1316" s="253"/>
      <c r="AE1316" s="370">
        <f t="shared" si="173"/>
        <v>0</v>
      </c>
    </row>
    <row r="1317" spans="6:31" ht="24" customHeight="1">
      <c r="H1317" s="296" t="s">
        <v>1940</v>
      </c>
      <c r="O1317" s="276" t="s">
        <v>1200</v>
      </c>
      <c r="Q1317" s="253"/>
      <c r="S1317" s="252"/>
      <c r="U1317" s="296" t="s">
        <v>2281</v>
      </c>
      <c r="W1317" s="253"/>
      <c r="AE1317" s="370">
        <f t="shared" si="173"/>
        <v>0</v>
      </c>
    </row>
    <row r="1318" spans="6:31" ht="24" customHeight="1">
      <c r="H1318" s="296" t="s">
        <v>756</v>
      </c>
      <c r="O1318" s="358" t="s">
        <v>1586</v>
      </c>
      <c r="Q1318" s="253"/>
      <c r="S1318" s="252">
        <v>10</v>
      </c>
      <c r="T1318" s="252" t="s">
        <v>2283</v>
      </c>
      <c r="U1318" s="296" t="s">
        <v>6137</v>
      </c>
      <c r="V1318" s="362">
        <f>AB1188</f>
        <v>1737</v>
      </c>
      <c r="W1318" s="253" t="s">
        <v>2283</v>
      </c>
      <c r="X1318" s="252">
        <f>(S1318*V1318)</f>
        <v>17370</v>
      </c>
      <c r="AE1318" s="370">
        <f t="shared" si="173"/>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4479.66</v>
      </c>
      <c r="W1319" s="253" t="s">
        <v>869</v>
      </c>
      <c r="X1319" s="252">
        <f t="shared" ref="X1319:X1324" si="176">(S1319*V1319)</f>
        <v>940.73</v>
      </c>
      <c r="AE1319" s="370">
        <f t="shared" si="173"/>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7">V1300</f>
        <v>999</v>
      </c>
      <c r="W1320" s="253" t="s">
        <v>1398</v>
      </c>
      <c r="X1320" s="252">
        <f t="shared" si="176"/>
        <v>1098.9000000000001</v>
      </c>
      <c r="AE1320" s="370">
        <f t="shared" si="173"/>
        <v>0</v>
      </c>
    </row>
    <row r="1321" spans="6:31" ht="24" customHeight="1">
      <c r="F1321" s="252">
        <v>12.8</v>
      </c>
      <c r="G1321" s="252" t="s">
        <v>869</v>
      </c>
      <c r="H1321" s="296" t="s">
        <v>750</v>
      </c>
      <c r="I1321" s="252">
        <f>(C82)</f>
        <v>927.46</v>
      </c>
      <c r="J1321" s="296" t="s">
        <v>869</v>
      </c>
      <c r="K1321" s="252">
        <f>(F1321*I1321)</f>
        <v>11871.49</v>
      </c>
      <c r="M1321" s="252">
        <v>2.2000000000000002</v>
      </c>
      <c r="N1321" s="252" t="s">
        <v>769</v>
      </c>
      <c r="O1321" s="296" t="s">
        <v>1179</v>
      </c>
      <c r="P1321" s="252">
        <f>P1302</f>
        <v>797</v>
      </c>
      <c r="Q1321" s="253" t="s">
        <v>769</v>
      </c>
      <c r="R1321" s="252">
        <f>(M1321*P1321)</f>
        <v>1753.4</v>
      </c>
      <c r="S1321" s="252">
        <v>1.1000000000000001</v>
      </c>
      <c r="T1321" s="252" t="s">
        <v>560</v>
      </c>
      <c r="U1321" s="296" t="s">
        <v>3611</v>
      </c>
      <c r="V1321" s="362">
        <f t="shared" si="177"/>
        <v>932</v>
      </c>
      <c r="W1321" s="253" t="s">
        <v>1398</v>
      </c>
      <c r="X1321" s="252">
        <f t="shared" si="176"/>
        <v>1025.2</v>
      </c>
      <c r="AE1321" s="370">
        <f t="shared" si="173"/>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7"/>
        <v>651</v>
      </c>
      <c r="W1322" s="253" t="s">
        <v>1398</v>
      </c>
      <c r="X1322" s="252">
        <f t="shared" si="176"/>
        <v>1432.2</v>
      </c>
      <c r="AE1322" s="370">
        <f t="shared" si="173"/>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296" t="s">
        <v>3609</v>
      </c>
      <c r="V1323" s="362">
        <f t="shared" si="177"/>
        <v>534</v>
      </c>
      <c r="W1323" s="253" t="s">
        <v>1398</v>
      </c>
      <c r="X1323" s="252">
        <f t="shared" si="176"/>
        <v>1174.8</v>
      </c>
      <c r="AE1323" s="370">
        <f t="shared" si="173"/>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296" t="s">
        <v>3610</v>
      </c>
      <c r="V1324" s="362">
        <f t="shared" si="177"/>
        <v>153.47</v>
      </c>
      <c r="W1324" s="253" t="s">
        <v>449</v>
      </c>
      <c r="X1324" s="252">
        <f t="shared" si="176"/>
        <v>1534.7</v>
      </c>
      <c r="AE1324" s="370">
        <f t="shared" si="173"/>
        <v>0</v>
      </c>
    </row>
    <row r="1325" spans="6:31" ht="24" customHeight="1">
      <c r="F1325" s="252">
        <v>14.1</v>
      </c>
      <c r="G1325" s="252" t="s">
        <v>769</v>
      </c>
      <c r="H1325" s="296" t="s">
        <v>320</v>
      </c>
      <c r="I1325" s="252">
        <f>(C13)</f>
        <v>534</v>
      </c>
      <c r="J1325" s="296" t="s">
        <v>769</v>
      </c>
      <c r="K1325" s="252">
        <f>(F1325*I1325)</f>
        <v>7529.4</v>
      </c>
      <c r="Q1325" s="253"/>
      <c r="R1325" s="358" t="s">
        <v>1586</v>
      </c>
      <c r="S1325" s="252"/>
      <c r="U1325" s="296"/>
      <c r="V1325" s="362">
        <f t="shared" si="177"/>
        <v>0</v>
      </c>
      <c r="W1325" s="253"/>
      <c r="X1325" s="358" t="s">
        <v>1586</v>
      </c>
      <c r="AE1325" s="370">
        <f t="shared" si="173"/>
        <v>0</v>
      </c>
    </row>
    <row r="1326" spans="6:31" ht="24" customHeight="1">
      <c r="G1326" s="252" t="s">
        <v>449</v>
      </c>
      <c r="H1326" s="296" t="s">
        <v>450</v>
      </c>
      <c r="J1326" s="296" t="s">
        <v>449</v>
      </c>
      <c r="K1326" s="252">
        <v>0</v>
      </c>
      <c r="O1326" s="296" t="s">
        <v>552</v>
      </c>
      <c r="Q1326" s="253"/>
      <c r="R1326" s="274">
        <f>(R1324/10)</f>
        <v>231.43</v>
      </c>
      <c r="S1326" s="252">
        <f>R1326-157</f>
        <v>74.430000000000007</v>
      </c>
      <c r="U1326" s="253" t="s">
        <v>407</v>
      </c>
      <c r="W1326" s="253"/>
      <c r="X1326" s="252">
        <f>SUM(X1318:X1324)</f>
        <v>24576.53</v>
      </c>
      <c r="AE1326" s="370">
        <f t="shared" si="173"/>
        <v>0</v>
      </c>
    </row>
    <row r="1327" spans="6:31" ht="24" customHeight="1">
      <c r="K1327" s="358" t="s">
        <v>1586</v>
      </c>
      <c r="M1327" s="296" t="s">
        <v>975</v>
      </c>
      <c r="Q1327" s="253"/>
      <c r="S1327" s="252"/>
      <c r="W1327" s="253"/>
      <c r="X1327" s="358" t="s">
        <v>1586</v>
      </c>
      <c r="AE1327" s="370">
        <f t="shared" si="173"/>
        <v>0</v>
      </c>
    </row>
    <row r="1328" spans="6:31" ht="24" customHeight="1">
      <c r="H1328" s="296" t="s">
        <v>614</v>
      </c>
      <c r="K1328" s="252">
        <f>SUM(K1321:K1327)</f>
        <v>37686.79</v>
      </c>
      <c r="Q1328" s="253"/>
      <c r="R1328" s="358" t="s">
        <v>2055</v>
      </c>
      <c r="S1328" s="252"/>
      <c r="U1328" s="253" t="s">
        <v>411</v>
      </c>
      <c r="W1328" s="253"/>
      <c r="X1328" s="274">
        <f>X1326/10</f>
        <v>2457.65</v>
      </c>
      <c r="AE1328" s="370">
        <f t="shared" si="173"/>
        <v>0</v>
      </c>
    </row>
    <row r="1329" spans="6:31" ht="24" customHeight="1">
      <c r="K1329" s="358" t="s">
        <v>1586</v>
      </c>
      <c r="Q1329" s="253"/>
      <c r="W1329" s="253"/>
      <c r="AE1329" s="370">
        <f t="shared" si="173"/>
        <v>0</v>
      </c>
    </row>
    <row r="1330" spans="6:31" ht="24" customHeight="1">
      <c r="H1330" s="255" t="s">
        <v>773</v>
      </c>
      <c r="K1330" s="274">
        <f>(K1328/10)</f>
        <v>3768.68</v>
      </c>
      <c r="M1330" s="375">
        <v>15.1</v>
      </c>
      <c r="N1330" s="252" t="s">
        <v>1757</v>
      </c>
      <c r="O1330" s="296" t="s">
        <v>6136</v>
      </c>
      <c r="Q1330" s="253"/>
      <c r="T1330" s="276" t="s">
        <v>3839</v>
      </c>
      <c r="W1330" s="253"/>
      <c r="AE1330" s="370">
        <f t="shared" si="173"/>
        <v>0</v>
      </c>
    </row>
    <row r="1331" spans="6:31" ht="24" customHeight="1">
      <c r="K1331" s="358" t="s">
        <v>2055</v>
      </c>
      <c r="O1331" s="296" t="s">
        <v>2281</v>
      </c>
      <c r="Q1331" s="253"/>
      <c r="S1331" s="252">
        <v>10</v>
      </c>
      <c r="T1331" s="252" t="s">
        <v>609</v>
      </c>
      <c r="U1331" s="296" t="s">
        <v>5328</v>
      </c>
      <c r="V1331" s="362">
        <v>506</v>
      </c>
      <c r="W1331" s="253" t="s">
        <v>609</v>
      </c>
      <c r="X1331" s="252">
        <f>(S1331*V1331)</f>
        <v>5060</v>
      </c>
      <c r="Z1331" s="252">
        <v>9</v>
      </c>
      <c r="AA1331" s="252" t="s">
        <v>3651</v>
      </c>
      <c r="AB1331" s="252">
        <f>AC44</f>
        <v>1047.68</v>
      </c>
      <c r="AC1331" s="252">
        <f>AB1331*Z1331</f>
        <v>9429.1200000000008</v>
      </c>
      <c r="AE1331" s="370">
        <f t="shared" si="173"/>
        <v>0</v>
      </c>
    </row>
    <row r="1332" spans="6:31" ht="38.25" customHeight="1">
      <c r="M1332" s="252">
        <v>10</v>
      </c>
      <c r="N1332" s="252" t="s">
        <v>2283</v>
      </c>
      <c r="O1332" s="477" t="s">
        <v>6138</v>
      </c>
      <c r="P1332" s="362">
        <v>1626</v>
      </c>
      <c r="Q1332" s="253" t="s">
        <v>2283</v>
      </c>
      <c r="R1332" s="252">
        <f>(M1332*P1332)</f>
        <v>16260</v>
      </c>
      <c r="S1332" s="252">
        <v>0.21</v>
      </c>
      <c r="T1332" s="252" t="s">
        <v>869</v>
      </c>
      <c r="U1332" s="296" t="s">
        <v>1876</v>
      </c>
      <c r="V1332" s="252">
        <f>P1333</f>
        <v>4479.66</v>
      </c>
      <c r="W1332" s="253" t="s">
        <v>869</v>
      </c>
      <c r="X1332" s="252">
        <f>(S1332*V1332)</f>
        <v>940.73</v>
      </c>
      <c r="Z1332" s="252">
        <v>4.5</v>
      </c>
      <c r="AA1332" s="296" t="s">
        <v>417</v>
      </c>
      <c r="AB1332" s="252">
        <f>K23</f>
        <v>5929.26</v>
      </c>
      <c r="AC1332" s="252">
        <f>AB1332*Z1332</f>
        <v>26681.67</v>
      </c>
      <c r="AE1332" s="370">
        <f t="shared" si="173"/>
        <v>0</v>
      </c>
    </row>
    <row r="1333" spans="6:31" ht="24" customHeight="1">
      <c r="G1333" s="252" t="s">
        <v>675</v>
      </c>
      <c r="H1333" s="296" t="s">
        <v>752</v>
      </c>
      <c r="M1333" s="252">
        <v>0.12</v>
      </c>
      <c r="N1333" s="252" t="s">
        <v>869</v>
      </c>
      <c r="O1333" s="296" t="s">
        <v>784</v>
      </c>
      <c r="P1333" s="252">
        <f>K32</f>
        <v>4479.66</v>
      </c>
      <c r="Q1333" s="253" t="s">
        <v>869</v>
      </c>
      <c r="R1333" s="252">
        <f>(M1333*P1333)</f>
        <v>537.55999999999995</v>
      </c>
      <c r="S1333" s="252">
        <v>10</v>
      </c>
      <c r="U1333" s="296" t="s">
        <v>3840</v>
      </c>
      <c r="V1333" s="407">
        <f>K1344</f>
        <v>314.25</v>
      </c>
      <c r="W1333" s="253"/>
      <c r="X1333" s="252">
        <f>(S1333*V1333)</f>
        <v>3142.5</v>
      </c>
      <c r="Z1333" s="252">
        <v>1.8</v>
      </c>
      <c r="AA1333" s="296" t="s">
        <v>1712</v>
      </c>
      <c r="AB1333" s="252">
        <f>V1335</f>
        <v>932</v>
      </c>
      <c r="AC1333" s="252">
        <f>AB1333*Z1333</f>
        <v>1677.6</v>
      </c>
      <c r="AE1333" s="370">
        <f t="shared" si="173"/>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296" t="s">
        <v>2009</v>
      </c>
      <c r="V1334" s="252">
        <f>AE9</f>
        <v>999</v>
      </c>
      <c r="W1334" s="253" t="s">
        <v>769</v>
      </c>
      <c r="X1334" s="252">
        <f t="shared" ref="X1334:X1341" si="178">S1334*V1334</f>
        <v>1098.9000000000001</v>
      </c>
      <c r="Z1334" s="252">
        <v>17.7</v>
      </c>
      <c r="AA1334" s="296" t="s">
        <v>1902</v>
      </c>
      <c r="AB1334" s="252">
        <f>V1336</f>
        <v>651</v>
      </c>
      <c r="AC1334" s="252">
        <f>AB1334*Z1334</f>
        <v>11522.7</v>
      </c>
      <c r="AE1334" s="370">
        <f t="shared" si="173"/>
        <v>0</v>
      </c>
    </row>
    <row r="1335" spans="6:31" ht="38.25" customHeight="1">
      <c r="H1335" s="358" t="s">
        <v>1586</v>
      </c>
      <c r="L1335" s="252">
        <f>SUM(K1355:K1360)</f>
        <v>8283.9599999999991</v>
      </c>
      <c r="M1335" s="252">
        <v>1</v>
      </c>
      <c r="N1335" s="252" t="s">
        <v>560</v>
      </c>
      <c r="O1335" s="296" t="s">
        <v>823</v>
      </c>
      <c r="P1335" s="252">
        <f>I1306</f>
        <v>651</v>
      </c>
      <c r="Q1335" s="253" t="s">
        <v>1398</v>
      </c>
      <c r="R1335" s="252">
        <f>(M1335*P1335)</f>
        <v>651</v>
      </c>
      <c r="S1335" s="252">
        <v>2.1</v>
      </c>
      <c r="T1335" s="400" t="s">
        <v>769</v>
      </c>
      <c r="U1335" s="296" t="s">
        <v>1712</v>
      </c>
      <c r="V1335" s="252">
        <f>AE10</f>
        <v>932</v>
      </c>
      <c r="W1335" s="253" t="s">
        <v>769</v>
      </c>
      <c r="X1335" s="252">
        <f t="shared" si="178"/>
        <v>1957.2</v>
      </c>
      <c r="Z1335" s="252">
        <v>14.1</v>
      </c>
      <c r="AA1335" s="296" t="s">
        <v>320</v>
      </c>
      <c r="AB1335" s="252">
        <f>V1337</f>
        <v>534</v>
      </c>
      <c r="AC1335" s="252">
        <f>AB1335*Z1335</f>
        <v>7529.4</v>
      </c>
      <c r="AE1335" s="370">
        <f t="shared" si="173"/>
        <v>0</v>
      </c>
    </row>
    <row r="1336" spans="6:31" ht="24" customHeight="1">
      <c r="F1336" s="252">
        <v>0.04</v>
      </c>
      <c r="G1336" s="252" t="s">
        <v>869</v>
      </c>
      <c r="H1336" s="296" t="s">
        <v>754</v>
      </c>
      <c r="I1336" s="252">
        <f>(K32)</f>
        <v>4479.66</v>
      </c>
      <c r="J1336" s="296" t="s">
        <v>869</v>
      </c>
      <c r="K1336" s="252">
        <f>(F1336*I1336)</f>
        <v>179.19</v>
      </c>
      <c r="N1336" s="252" t="s">
        <v>449</v>
      </c>
      <c r="O1336" s="296" t="s">
        <v>59</v>
      </c>
      <c r="Q1336" s="253" t="s">
        <v>449</v>
      </c>
      <c r="R1336" s="252">
        <v>0.33</v>
      </c>
      <c r="S1336" s="252">
        <v>2.2000000000000002</v>
      </c>
      <c r="T1336" s="400" t="s">
        <v>769</v>
      </c>
      <c r="U1336" s="296" t="s">
        <v>1902</v>
      </c>
      <c r="V1336" s="252">
        <f>AE11</f>
        <v>651</v>
      </c>
      <c r="W1336" s="253" t="s">
        <v>769</v>
      </c>
      <c r="X1336" s="252">
        <f t="shared" si="178"/>
        <v>1432.2</v>
      </c>
      <c r="AC1336" s="252">
        <f>SUM(AC1331:AC1335)</f>
        <v>56840.49</v>
      </c>
      <c r="AE1336" s="370">
        <f t="shared" si="173"/>
        <v>0</v>
      </c>
    </row>
    <row r="1337" spans="6:31" ht="24" customHeight="1">
      <c r="F1337" s="252">
        <v>2.2000000000000002</v>
      </c>
      <c r="G1337" s="252" t="s">
        <v>769</v>
      </c>
      <c r="H1337" s="296" t="s">
        <v>1712</v>
      </c>
      <c r="I1337" s="252">
        <f>(C11)</f>
        <v>932</v>
      </c>
      <c r="J1337" s="296" t="s">
        <v>769</v>
      </c>
      <c r="K1337" s="252">
        <f>(F1337*I1337)</f>
        <v>2050.4</v>
      </c>
      <c r="L1337" s="252">
        <f>SUM(K1355:K1360)</f>
        <v>8283.9599999999991</v>
      </c>
      <c r="O1337" s="296" t="s">
        <v>931</v>
      </c>
      <c r="Q1337" s="253"/>
      <c r="R1337" s="358" t="s">
        <v>1586</v>
      </c>
      <c r="S1337" s="252">
        <v>1.1000000000000001</v>
      </c>
      <c r="T1337" s="400" t="s">
        <v>769</v>
      </c>
      <c r="U1337" s="296" t="s">
        <v>320</v>
      </c>
      <c r="V1337" s="252">
        <f>AE12</f>
        <v>534</v>
      </c>
      <c r="W1337" s="253" t="s">
        <v>769</v>
      </c>
      <c r="X1337" s="252">
        <f t="shared" si="178"/>
        <v>587.4</v>
      </c>
      <c r="AC1337" s="252">
        <f>AC1336/10</f>
        <v>5684.05</v>
      </c>
      <c r="AE1337" s="370">
        <f t="shared" si="173"/>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18447.89</v>
      </c>
      <c r="S1338" s="356">
        <v>6.5</v>
      </c>
      <c r="T1338" s="400" t="s">
        <v>1645</v>
      </c>
      <c r="U1338" s="296" t="s">
        <v>3652</v>
      </c>
      <c r="V1338" s="314">
        <v>17.18</v>
      </c>
      <c r="W1338" s="253" t="s">
        <v>861</v>
      </c>
      <c r="X1338" s="252">
        <f t="shared" si="178"/>
        <v>111.67</v>
      </c>
      <c r="AE1338" s="370">
        <f t="shared" si="173"/>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296" t="s">
        <v>3732</v>
      </c>
      <c r="V1339" s="362">
        <f>C610</f>
        <v>27.25</v>
      </c>
      <c r="W1339" s="253" t="s">
        <v>1645</v>
      </c>
      <c r="X1339" s="252">
        <f t="shared" si="178"/>
        <v>81.75</v>
      </c>
      <c r="AE1339" s="370">
        <f t="shared" si="173"/>
        <v>0</v>
      </c>
    </row>
    <row r="1340" spans="6:31" ht="24" customHeight="1">
      <c r="G1340" s="252" t="s">
        <v>449</v>
      </c>
      <c r="H1340" s="296" t="s">
        <v>450</v>
      </c>
      <c r="J1340" s="296" t="s">
        <v>449</v>
      </c>
      <c r="K1340" s="252">
        <v>0</v>
      </c>
      <c r="O1340" s="253" t="s">
        <v>411</v>
      </c>
      <c r="Q1340" s="253"/>
      <c r="R1340" s="274">
        <f>R1338/10</f>
        <v>1844.79</v>
      </c>
      <c r="S1340" s="252">
        <v>2.15</v>
      </c>
      <c r="T1340" s="400" t="s">
        <v>769</v>
      </c>
      <c r="U1340" s="296" t="s">
        <v>3653</v>
      </c>
      <c r="V1340" s="314">
        <v>45.8</v>
      </c>
      <c r="W1340" s="253" t="s">
        <v>769</v>
      </c>
      <c r="X1340" s="252">
        <f t="shared" si="178"/>
        <v>98.47</v>
      </c>
      <c r="AE1340" s="370">
        <f t="shared" si="173"/>
        <v>0</v>
      </c>
    </row>
    <row r="1341" spans="6:31" ht="24" customHeight="1">
      <c r="K1341" s="358" t="s">
        <v>1586</v>
      </c>
      <c r="O1341" s="296" t="s">
        <v>386</v>
      </c>
      <c r="Q1341" s="253">
        <f>R1345+S1302</f>
        <v>1853.82</v>
      </c>
      <c r="R1341" s="252">
        <f>R1340+S1299</f>
        <v>1845</v>
      </c>
      <c r="S1341" s="252">
        <v>0.4</v>
      </c>
      <c r="T1341" s="400" t="s">
        <v>769</v>
      </c>
      <c r="U1341" s="296" t="s">
        <v>3741</v>
      </c>
      <c r="V1341" s="252">
        <f>AC1337</f>
        <v>5684.05</v>
      </c>
      <c r="W1341" s="253" t="s">
        <v>769</v>
      </c>
      <c r="X1341" s="252">
        <f t="shared" si="178"/>
        <v>2273.62</v>
      </c>
      <c r="AE1341" s="370">
        <f t="shared" si="173"/>
        <v>0</v>
      </c>
    </row>
    <row r="1342" spans="6:31" ht="24" customHeight="1">
      <c r="H1342" s="296" t="s">
        <v>441</v>
      </c>
      <c r="K1342" s="252">
        <f>SUM(K1336:K1340)</f>
        <v>3142.49</v>
      </c>
      <c r="O1342" s="296" t="s">
        <v>388</v>
      </c>
      <c r="Q1342" s="253">
        <f>Q1341+S1302</f>
        <v>1856.02</v>
      </c>
      <c r="R1342" s="252">
        <f>R1341+1.11</f>
        <v>1846.11</v>
      </c>
      <c r="S1342" s="252"/>
      <c r="T1342" s="400"/>
      <c r="U1342" s="296"/>
      <c r="W1342" s="253" t="s">
        <v>769</v>
      </c>
      <c r="X1342" s="252">
        <f>(S1342*V1342)</f>
        <v>0</v>
      </c>
      <c r="AE1342" s="370">
        <f t="shared" ref="AE1342:AE1405" si="179">AG1342</f>
        <v>0</v>
      </c>
    </row>
    <row r="1343" spans="6:31" ht="24" customHeight="1">
      <c r="K1343" s="358" t="s">
        <v>1586</v>
      </c>
      <c r="O1343" s="296" t="s">
        <v>2232</v>
      </c>
      <c r="Q1343" s="253"/>
      <c r="R1343" s="252">
        <f>R1342+1.11</f>
        <v>1847.22</v>
      </c>
      <c r="S1343" s="252"/>
      <c r="T1343" s="400" t="s">
        <v>449</v>
      </c>
      <c r="U1343" s="296" t="s">
        <v>450</v>
      </c>
      <c r="W1343" s="253" t="s">
        <v>449</v>
      </c>
      <c r="X1343" s="252">
        <v>0.8</v>
      </c>
      <c r="AE1343" s="370">
        <f t="shared" si="179"/>
        <v>0</v>
      </c>
    </row>
    <row r="1344" spans="6:31" ht="24" customHeight="1">
      <c r="H1344" s="255" t="s">
        <v>552</v>
      </c>
      <c r="K1344" s="274">
        <f>(K1342/10)</f>
        <v>314.25</v>
      </c>
      <c r="O1344" s="296" t="s">
        <v>380</v>
      </c>
      <c r="Q1344" s="253"/>
      <c r="R1344" s="252">
        <f>R1343+S1302</f>
        <v>1849.42</v>
      </c>
      <c r="S1344" s="252"/>
      <c r="T1344" s="400"/>
      <c r="W1344" s="253"/>
      <c r="X1344" s="358" t="s">
        <v>1586</v>
      </c>
      <c r="AE1344" s="370">
        <f t="shared" si="179"/>
        <v>0</v>
      </c>
    </row>
    <row r="1345" spans="6:31" ht="24" customHeight="1">
      <c r="K1345" s="358" t="s">
        <v>2055</v>
      </c>
      <c r="O1345" s="296" t="s">
        <v>1364</v>
      </c>
      <c r="Q1345" s="253"/>
      <c r="R1345" s="252">
        <f>R1344+S1302</f>
        <v>1851.62</v>
      </c>
      <c r="S1345" s="252"/>
      <c r="T1345" s="400"/>
      <c r="U1345" s="296" t="s">
        <v>441</v>
      </c>
      <c r="W1345" s="253"/>
      <c r="X1345" s="252">
        <f>SUM(X1331:X1344)</f>
        <v>16785.240000000002</v>
      </c>
      <c r="AE1345" s="370">
        <f t="shared" si="179"/>
        <v>0</v>
      </c>
    </row>
    <row r="1346" spans="6:31" ht="24" customHeight="1">
      <c r="Q1346" s="253"/>
      <c r="S1346" s="252"/>
      <c r="T1346" s="400"/>
      <c r="W1346" s="253"/>
      <c r="X1346" s="358" t="s">
        <v>1586</v>
      </c>
      <c r="AE1346" s="370">
        <f t="shared" si="179"/>
        <v>0</v>
      </c>
    </row>
    <row r="1347" spans="6:31" ht="24" customHeight="1">
      <c r="F1347" s="375">
        <v>32.1</v>
      </c>
      <c r="G1347" s="252" t="s">
        <v>2251</v>
      </c>
      <c r="H1347" s="296" t="s">
        <v>755</v>
      </c>
      <c r="Q1347" s="296"/>
      <c r="S1347" s="252"/>
      <c r="T1347" s="400"/>
      <c r="U1347" s="296" t="s">
        <v>552</v>
      </c>
      <c r="W1347" s="253"/>
      <c r="X1347" s="274">
        <f>(X1345/10)</f>
        <v>1678.52</v>
      </c>
      <c r="Y1347" s="252">
        <f>0.8-0.77</f>
        <v>0.03</v>
      </c>
      <c r="AE1347" s="370">
        <f t="shared" si="179"/>
        <v>0</v>
      </c>
    </row>
    <row r="1348" spans="6:31" ht="24" customHeight="1">
      <c r="H1348" s="296" t="s">
        <v>1483</v>
      </c>
      <c r="Q1348" s="296"/>
      <c r="S1348" s="252"/>
      <c r="T1348" s="400"/>
      <c r="W1348" s="253"/>
      <c r="X1348" s="358" t="s">
        <v>2055</v>
      </c>
      <c r="AE1348" s="370">
        <f t="shared" si="179"/>
        <v>0</v>
      </c>
    </row>
    <row r="1349" spans="6:31" ht="24" customHeight="1">
      <c r="H1349" s="296" t="s">
        <v>683</v>
      </c>
      <c r="Q1349" s="296"/>
      <c r="W1349" s="253"/>
      <c r="AE1349" s="370">
        <f t="shared" si="179"/>
        <v>0</v>
      </c>
    </row>
    <row r="1350" spans="6:31" ht="24" customHeight="1">
      <c r="H1350" s="296" t="s">
        <v>1967</v>
      </c>
      <c r="Q1350" s="296"/>
      <c r="W1350" s="253"/>
      <c r="Y1350" s="316">
        <v>3.02</v>
      </c>
      <c r="Z1350" s="252" t="s">
        <v>913</v>
      </c>
      <c r="AA1350" s="296" t="s">
        <v>1854</v>
      </c>
      <c r="AB1350" s="252">
        <f t="shared" ref="AB1350:AB1361" si="180">V1352</f>
        <v>325</v>
      </c>
      <c r="AC1350" s="252" t="s">
        <v>913</v>
      </c>
      <c r="AD1350" s="252">
        <f t="shared" ref="AD1350:AD1361" si="181">AB1350*Y1350</f>
        <v>981.5</v>
      </c>
      <c r="AE1350" s="370">
        <f t="shared" si="179"/>
        <v>0</v>
      </c>
    </row>
    <row r="1351" spans="6:31" ht="24" customHeight="1">
      <c r="H1351" s="296" t="s">
        <v>1293</v>
      </c>
      <c r="O1351" s="252" t="s">
        <v>1201</v>
      </c>
      <c r="Q1351" s="253"/>
      <c r="U1351" s="461" t="s">
        <v>3480</v>
      </c>
      <c r="W1351" s="253"/>
      <c r="Y1351" s="316">
        <v>2.19</v>
      </c>
      <c r="Z1351" s="252" t="s">
        <v>913</v>
      </c>
      <c r="AA1351" s="296" t="s">
        <v>1854</v>
      </c>
      <c r="AB1351" s="252">
        <f t="shared" si="180"/>
        <v>325</v>
      </c>
      <c r="AC1351" s="252" t="s">
        <v>913</v>
      </c>
      <c r="AD1351" s="252">
        <f t="shared" si="181"/>
        <v>711.75</v>
      </c>
      <c r="AE1351" s="370">
        <f t="shared" si="179"/>
        <v>0</v>
      </c>
    </row>
    <row r="1352" spans="6:31" ht="24" customHeight="1">
      <c r="H1352" s="358" t="s">
        <v>1586</v>
      </c>
      <c r="Q1352" s="253"/>
      <c r="S1352" s="356">
        <v>3.72</v>
      </c>
      <c r="T1352" s="252" t="s">
        <v>913</v>
      </c>
      <c r="U1352" s="296" t="s">
        <v>1854</v>
      </c>
      <c r="V1352" s="252">
        <f>P1391</f>
        <v>325</v>
      </c>
      <c r="W1352" s="253" t="s">
        <v>913</v>
      </c>
      <c r="X1352" s="252">
        <f>V1352*S1352</f>
        <v>1209</v>
      </c>
      <c r="Y1352" s="316">
        <v>4.96</v>
      </c>
      <c r="Z1352" s="252" t="s">
        <v>913</v>
      </c>
      <c r="AA1352" s="296" t="s">
        <v>1854</v>
      </c>
      <c r="AB1352" s="252">
        <f t="shared" si="180"/>
        <v>325</v>
      </c>
      <c r="AC1352" s="252" t="s">
        <v>913</v>
      </c>
      <c r="AD1352" s="252">
        <f t="shared" si="181"/>
        <v>1612</v>
      </c>
      <c r="AE1352" s="370">
        <f t="shared" si="179"/>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2">P1392</f>
        <v>325</v>
      </c>
      <c r="W1353" s="253" t="s">
        <v>913</v>
      </c>
      <c r="X1353" s="252">
        <f t="shared" ref="X1353:X1363" si="183">V1353*S1353</f>
        <v>1257.75</v>
      </c>
      <c r="Y1353" s="316">
        <v>0.85</v>
      </c>
      <c r="Z1353" s="252" t="s">
        <v>913</v>
      </c>
      <c r="AA1353" s="296" t="s">
        <v>1854</v>
      </c>
      <c r="AB1353" s="252">
        <f t="shared" si="180"/>
        <v>325</v>
      </c>
      <c r="AC1353" s="252" t="s">
        <v>913</v>
      </c>
      <c r="AD1353" s="252">
        <f t="shared" si="181"/>
        <v>276.25</v>
      </c>
      <c r="AE1353" s="370">
        <f t="shared" si="179"/>
        <v>0</v>
      </c>
    </row>
    <row r="1354" spans="6:31" ht="24" customHeight="1">
      <c r="F1354" s="252">
        <v>0.12</v>
      </c>
      <c r="G1354" s="252" t="s">
        <v>869</v>
      </c>
      <c r="H1354" s="296" t="s">
        <v>1876</v>
      </c>
      <c r="I1354" s="252">
        <f>(K32)</f>
        <v>4479.66</v>
      </c>
      <c r="J1354" s="296" t="s">
        <v>869</v>
      </c>
      <c r="K1354" s="252">
        <f t="shared" ref="K1354:K1360" si="184">(F1354*I1354)</f>
        <v>537.55999999999995</v>
      </c>
      <c r="Q1354" s="253"/>
      <c r="S1354" s="356">
        <v>7.46</v>
      </c>
      <c r="T1354" s="252" t="s">
        <v>913</v>
      </c>
      <c r="U1354" s="296" t="s">
        <v>1854</v>
      </c>
      <c r="V1354" s="252">
        <f t="shared" si="182"/>
        <v>325</v>
      </c>
      <c r="W1354" s="253" t="s">
        <v>913</v>
      </c>
      <c r="X1354" s="252">
        <f t="shared" si="183"/>
        <v>2424.5</v>
      </c>
      <c r="Y1354" s="316">
        <v>0.73199999999999998</v>
      </c>
      <c r="Z1354" s="252" t="s">
        <v>233</v>
      </c>
      <c r="AA1354" s="296" t="s">
        <v>1855</v>
      </c>
      <c r="AB1354" s="252">
        <f>V1356</f>
        <v>306.89999999999998</v>
      </c>
      <c r="AC1354" s="252" t="s">
        <v>233</v>
      </c>
      <c r="AD1354" s="252">
        <f t="shared" si="181"/>
        <v>224.65</v>
      </c>
      <c r="AE1354" s="370">
        <f t="shared" si="179"/>
        <v>0</v>
      </c>
    </row>
    <row r="1355" spans="6:31" ht="24" customHeight="1">
      <c r="F1355" s="252">
        <v>10</v>
      </c>
      <c r="G1355" s="252" t="s">
        <v>609</v>
      </c>
      <c r="H1355" s="296" t="s">
        <v>1295</v>
      </c>
      <c r="I1355" s="252">
        <f>(K1344)</f>
        <v>314.25</v>
      </c>
      <c r="J1355" s="296" t="s">
        <v>609</v>
      </c>
      <c r="K1355" s="252">
        <f t="shared" si="184"/>
        <v>3142.5</v>
      </c>
      <c r="M1355" s="252">
        <v>0.3</v>
      </c>
      <c r="N1355" s="252" t="s">
        <v>2151</v>
      </c>
      <c r="O1355" s="478" t="s">
        <v>5330</v>
      </c>
      <c r="P1355" s="362">
        <v>17600</v>
      </c>
      <c r="Q1355" s="253" t="s">
        <v>2151</v>
      </c>
      <c r="R1355" s="252">
        <f>P1355*M1355</f>
        <v>5280</v>
      </c>
      <c r="S1355" s="356">
        <v>1.28</v>
      </c>
      <c r="T1355" s="252" t="s">
        <v>913</v>
      </c>
      <c r="U1355" s="296" t="s">
        <v>1854</v>
      </c>
      <c r="V1355" s="252">
        <f t="shared" si="182"/>
        <v>325</v>
      </c>
      <c r="W1355" s="253" t="s">
        <v>913</v>
      </c>
      <c r="X1355" s="252">
        <f t="shared" si="183"/>
        <v>416</v>
      </c>
      <c r="Y1355" s="316">
        <v>6.8719999999999999</v>
      </c>
      <c r="Z1355" s="252" t="s">
        <v>826</v>
      </c>
      <c r="AA1355" s="296" t="s">
        <v>1856</v>
      </c>
      <c r="AB1355" s="252">
        <f t="shared" si="180"/>
        <v>29.05</v>
      </c>
      <c r="AC1355" s="252" t="s">
        <v>826</v>
      </c>
      <c r="AD1355" s="252">
        <f t="shared" si="181"/>
        <v>199.63</v>
      </c>
      <c r="AE1355" s="370">
        <f t="shared" si="179"/>
        <v>0</v>
      </c>
    </row>
    <row r="1356" spans="6:31" ht="24" customHeight="1">
      <c r="F1356" s="356">
        <v>1.54</v>
      </c>
      <c r="G1356" s="252" t="s">
        <v>1645</v>
      </c>
      <c r="H1356" s="296" t="s">
        <v>964</v>
      </c>
      <c r="I1356" s="252">
        <f>C653</f>
        <v>42.7</v>
      </c>
      <c r="J1356" s="296" t="s">
        <v>1645</v>
      </c>
      <c r="K1356" s="252">
        <f t="shared" si="184"/>
        <v>65.760000000000005</v>
      </c>
      <c r="Q1356" s="253"/>
      <c r="S1356" s="356">
        <v>1.107</v>
      </c>
      <c r="T1356" s="252" t="s">
        <v>233</v>
      </c>
      <c r="U1356" s="296" t="s">
        <v>1855</v>
      </c>
      <c r="V1356" s="252">
        <f t="shared" si="182"/>
        <v>306.89999999999998</v>
      </c>
      <c r="W1356" s="253" t="s">
        <v>233</v>
      </c>
      <c r="X1356" s="252">
        <f t="shared" si="183"/>
        <v>339.74</v>
      </c>
      <c r="Y1356" s="316">
        <v>8</v>
      </c>
      <c r="Z1356" s="252" t="s">
        <v>769</v>
      </c>
      <c r="AA1356" s="296" t="s">
        <v>1857</v>
      </c>
      <c r="AB1356" s="252">
        <f t="shared" si="180"/>
        <v>71.900000000000006</v>
      </c>
      <c r="AC1356" s="252" t="s">
        <v>769</v>
      </c>
      <c r="AD1356" s="252">
        <f t="shared" si="181"/>
        <v>575.20000000000005</v>
      </c>
      <c r="AE1356" s="370">
        <f t="shared" si="179"/>
        <v>0</v>
      </c>
    </row>
    <row r="1357" spans="6:31" ht="24" customHeight="1">
      <c r="F1357" s="252">
        <v>1.1000000000000001</v>
      </c>
      <c r="G1357" s="252" t="s">
        <v>769</v>
      </c>
      <c r="H1357" s="296" t="s">
        <v>2009</v>
      </c>
      <c r="I1357" s="252">
        <f>(C10)</f>
        <v>999</v>
      </c>
      <c r="J1357" s="296" t="s">
        <v>769</v>
      </c>
      <c r="K1357" s="252">
        <f t="shared" si="184"/>
        <v>1098.9000000000001</v>
      </c>
      <c r="O1357" s="252" t="s">
        <v>1202</v>
      </c>
      <c r="Q1357" s="253"/>
      <c r="R1357" s="252">
        <f>SUM(R1353:R1355)</f>
        <v>7590</v>
      </c>
      <c r="S1357" s="356">
        <v>10.343999999999999</v>
      </c>
      <c r="T1357" s="252" t="s">
        <v>826</v>
      </c>
      <c r="U1357" s="296" t="s">
        <v>1856</v>
      </c>
      <c r="V1357" s="252">
        <f t="shared" si="182"/>
        <v>29.05</v>
      </c>
      <c r="W1357" s="253" t="s">
        <v>826</v>
      </c>
      <c r="X1357" s="252">
        <f t="shared" si="183"/>
        <v>300.49</v>
      </c>
      <c r="Y1357" s="316">
        <v>4</v>
      </c>
      <c r="Z1357" s="252" t="s">
        <v>769</v>
      </c>
      <c r="AA1357" s="296" t="s">
        <v>1858</v>
      </c>
      <c r="AB1357" s="252">
        <f t="shared" si="180"/>
        <v>57.65</v>
      </c>
      <c r="AC1357" s="252" t="s">
        <v>769</v>
      </c>
      <c r="AD1357" s="252">
        <f t="shared" si="181"/>
        <v>230.6</v>
      </c>
      <c r="AE1357" s="370">
        <f t="shared" si="179"/>
        <v>0</v>
      </c>
    </row>
    <row r="1358" spans="6:31" ht="24" customHeight="1">
      <c r="F1358" s="252">
        <v>2.1</v>
      </c>
      <c r="G1358" s="252" t="s">
        <v>769</v>
      </c>
      <c r="H1358" s="296" t="s">
        <v>1712</v>
      </c>
      <c r="I1358" s="252">
        <f>(C11)</f>
        <v>932</v>
      </c>
      <c r="J1358" s="296" t="s">
        <v>769</v>
      </c>
      <c r="K1358" s="252">
        <f t="shared" si="184"/>
        <v>1957.2</v>
      </c>
      <c r="O1358" s="360" t="s">
        <v>1203</v>
      </c>
      <c r="Q1358" s="253"/>
      <c r="R1358" s="274">
        <f>R1357/10</f>
        <v>759</v>
      </c>
      <c r="S1358" s="356">
        <v>12</v>
      </c>
      <c r="T1358" s="252" t="s">
        <v>769</v>
      </c>
      <c r="U1358" s="296" t="s">
        <v>4037</v>
      </c>
      <c r="V1358" s="252">
        <f t="shared" si="182"/>
        <v>71.900000000000006</v>
      </c>
      <c r="W1358" s="253" t="s">
        <v>769</v>
      </c>
      <c r="X1358" s="252">
        <f t="shared" si="183"/>
        <v>862.8</v>
      </c>
      <c r="Y1358" s="316">
        <v>4</v>
      </c>
      <c r="Z1358" s="252" t="s">
        <v>769</v>
      </c>
      <c r="AA1358" s="296" t="s">
        <v>1859</v>
      </c>
      <c r="AB1358" s="252">
        <f t="shared" si="180"/>
        <v>30</v>
      </c>
      <c r="AC1358" s="252" t="s">
        <v>769</v>
      </c>
      <c r="AD1358" s="252">
        <f t="shared" si="181"/>
        <v>120</v>
      </c>
      <c r="AE1358" s="370">
        <f t="shared" si="179"/>
        <v>0</v>
      </c>
    </row>
    <row r="1359" spans="6:31" ht="24" customHeight="1">
      <c r="F1359" s="252">
        <v>2.2000000000000002</v>
      </c>
      <c r="G1359" s="252" t="s">
        <v>769</v>
      </c>
      <c r="H1359" s="296" t="s">
        <v>1902</v>
      </c>
      <c r="I1359" s="252">
        <f>(C12)</f>
        <v>651</v>
      </c>
      <c r="J1359" s="296" t="s">
        <v>769</v>
      </c>
      <c r="K1359" s="252">
        <f t="shared" si="184"/>
        <v>1432.2</v>
      </c>
      <c r="Q1359" s="253"/>
      <c r="S1359" s="356">
        <v>6</v>
      </c>
      <c r="T1359" s="252" t="s">
        <v>769</v>
      </c>
      <c r="U1359" s="296" t="s">
        <v>1858</v>
      </c>
      <c r="V1359" s="252">
        <f t="shared" si="182"/>
        <v>57.65</v>
      </c>
      <c r="W1359" s="253" t="s">
        <v>769</v>
      </c>
      <c r="X1359" s="252">
        <f t="shared" si="183"/>
        <v>345.9</v>
      </c>
      <c r="Y1359" s="316">
        <v>4</v>
      </c>
      <c r="Z1359" s="252" t="s">
        <v>769</v>
      </c>
      <c r="AA1359" s="296" t="s">
        <v>1860</v>
      </c>
      <c r="AB1359" s="252">
        <f t="shared" si="180"/>
        <v>20</v>
      </c>
      <c r="AC1359" s="252" t="s">
        <v>769</v>
      </c>
      <c r="AD1359" s="252">
        <f t="shared" si="181"/>
        <v>80</v>
      </c>
      <c r="AE1359" s="370">
        <f t="shared" si="179"/>
        <v>0</v>
      </c>
    </row>
    <row r="1360" spans="6:31" ht="24" customHeight="1">
      <c r="F1360" s="252">
        <v>1.1000000000000001</v>
      </c>
      <c r="G1360" s="252" t="s">
        <v>769</v>
      </c>
      <c r="H1360" s="296" t="s">
        <v>320</v>
      </c>
      <c r="I1360" s="252">
        <f>(C13)</f>
        <v>534</v>
      </c>
      <c r="J1360" s="296" t="s">
        <v>769</v>
      </c>
      <c r="K1360" s="252">
        <f t="shared" si="184"/>
        <v>587.4</v>
      </c>
      <c r="M1360" s="252">
        <v>2</v>
      </c>
      <c r="N1360" s="252" t="s">
        <v>1432</v>
      </c>
      <c r="O1360" s="252" t="s">
        <v>348</v>
      </c>
      <c r="P1360" s="252">
        <f>C12</f>
        <v>651</v>
      </c>
      <c r="Q1360" s="253" t="s">
        <v>1714</v>
      </c>
      <c r="R1360" s="252">
        <f>P1360*M1360</f>
        <v>1302</v>
      </c>
      <c r="S1360" s="356">
        <v>6</v>
      </c>
      <c r="T1360" s="252" t="s">
        <v>769</v>
      </c>
      <c r="U1360" s="296" t="s">
        <v>1859</v>
      </c>
      <c r="V1360" s="252">
        <f t="shared" si="182"/>
        <v>30</v>
      </c>
      <c r="W1360" s="253" t="s">
        <v>769</v>
      </c>
      <c r="X1360" s="252">
        <f t="shared" si="183"/>
        <v>180</v>
      </c>
      <c r="Y1360" s="316">
        <v>4</v>
      </c>
      <c r="Z1360" s="252" t="s">
        <v>769</v>
      </c>
      <c r="AA1360" s="296" t="s">
        <v>1861</v>
      </c>
      <c r="AB1360" s="252">
        <f t="shared" si="180"/>
        <v>15</v>
      </c>
      <c r="AC1360" s="252" t="s">
        <v>769</v>
      </c>
      <c r="AD1360" s="252">
        <f t="shared" si="181"/>
        <v>60</v>
      </c>
      <c r="AE1360" s="370">
        <f t="shared" si="179"/>
        <v>0</v>
      </c>
    </row>
    <row r="1361" spans="6:31" ht="24" customHeight="1">
      <c r="G1361" s="252" t="s">
        <v>449</v>
      </c>
      <c r="H1361" s="296" t="s">
        <v>450</v>
      </c>
      <c r="J1361" s="296" t="s">
        <v>449</v>
      </c>
      <c r="K1361" s="252">
        <v>0</v>
      </c>
      <c r="Q1361" s="253"/>
      <c r="S1361" s="356">
        <v>6</v>
      </c>
      <c r="T1361" s="252" t="s">
        <v>769</v>
      </c>
      <c r="U1361" s="296" t="s">
        <v>1860</v>
      </c>
      <c r="V1361" s="252">
        <f t="shared" si="182"/>
        <v>20</v>
      </c>
      <c r="W1361" s="253" t="s">
        <v>769</v>
      </c>
      <c r="X1361" s="252">
        <f t="shared" si="183"/>
        <v>120</v>
      </c>
      <c r="Y1361" s="316">
        <v>0.94499999999999995</v>
      </c>
      <c r="Z1361" s="252" t="s">
        <v>2283</v>
      </c>
      <c r="AA1361" s="296" t="s">
        <v>1862</v>
      </c>
      <c r="AB1361" s="252">
        <f t="shared" si="180"/>
        <v>1998</v>
      </c>
      <c r="AC1361" s="252" t="s">
        <v>2283</v>
      </c>
      <c r="AD1361" s="252">
        <f t="shared" si="181"/>
        <v>1888.11</v>
      </c>
      <c r="AE1361" s="370">
        <f t="shared" si="179"/>
        <v>0</v>
      </c>
    </row>
    <row r="1362" spans="6:31" ht="24" customHeight="1">
      <c r="K1362" s="358" t="s">
        <v>1586</v>
      </c>
      <c r="O1362" s="252" t="s">
        <v>1204</v>
      </c>
      <c r="P1362" s="252" t="s">
        <v>657</v>
      </c>
      <c r="Q1362" s="253"/>
      <c r="R1362" s="252">
        <v>11.5</v>
      </c>
      <c r="S1362" s="356">
        <v>4</v>
      </c>
      <c r="T1362" s="252" t="s">
        <v>769</v>
      </c>
      <c r="U1362" s="296" t="s">
        <v>1861</v>
      </c>
      <c r="V1362" s="252">
        <f t="shared" si="182"/>
        <v>15</v>
      </c>
      <c r="W1362" s="253" t="s">
        <v>769</v>
      </c>
      <c r="X1362" s="252">
        <f t="shared" si="183"/>
        <v>60</v>
      </c>
      <c r="AA1362" s="296" t="s">
        <v>1863</v>
      </c>
      <c r="AC1362" s="253"/>
      <c r="AD1362" s="252">
        <v>0.81</v>
      </c>
      <c r="AE1362" s="370">
        <f t="shared" si="179"/>
        <v>0</v>
      </c>
    </row>
    <row r="1363" spans="6:31" ht="24" customHeight="1">
      <c r="H1363" s="296" t="s">
        <v>441</v>
      </c>
      <c r="K1363" s="252">
        <f>SUM(K1353:K1361)</f>
        <v>11881.66</v>
      </c>
      <c r="O1363" s="360" t="s">
        <v>1205</v>
      </c>
      <c r="Q1363" s="253"/>
      <c r="R1363" s="252">
        <f>SUM(R1358:R1362)</f>
        <v>2072.5</v>
      </c>
      <c r="S1363" s="356">
        <v>1.4179999999999999</v>
      </c>
      <c r="T1363" s="252" t="s">
        <v>2283</v>
      </c>
      <c r="U1363" s="296" t="s">
        <v>1862</v>
      </c>
      <c r="V1363" s="252">
        <f t="shared" si="182"/>
        <v>1998</v>
      </c>
      <c r="W1363" s="253" t="s">
        <v>2283</v>
      </c>
      <c r="X1363" s="252">
        <f t="shared" si="183"/>
        <v>2833.16</v>
      </c>
      <c r="AA1363" s="360" t="s">
        <v>3536</v>
      </c>
      <c r="AD1363" s="274">
        <f>SUM(AD1350:AD1362)</f>
        <v>6960.5</v>
      </c>
      <c r="AE1363" s="370">
        <f t="shared" si="179"/>
        <v>0</v>
      </c>
    </row>
    <row r="1364" spans="6:31" ht="24" customHeight="1">
      <c r="K1364" s="358" t="s">
        <v>1586</v>
      </c>
      <c r="Q1364" s="253"/>
      <c r="U1364" s="296" t="s">
        <v>1863</v>
      </c>
      <c r="W1364" s="253"/>
      <c r="AE1364" s="370">
        <f t="shared" si="179"/>
        <v>0</v>
      </c>
    </row>
    <row r="1365" spans="6:31" ht="24" customHeight="1">
      <c r="H1365" s="255" t="s">
        <v>552</v>
      </c>
      <c r="K1365" s="274">
        <f>(K1363/10)</f>
        <v>1188.17</v>
      </c>
      <c r="O1365" s="360" t="s">
        <v>1206</v>
      </c>
      <c r="Q1365" s="253"/>
      <c r="R1365" s="274">
        <f>R1363/6</f>
        <v>345.42</v>
      </c>
      <c r="U1365" s="360" t="s">
        <v>3536</v>
      </c>
      <c r="W1365" s="253"/>
      <c r="X1365" s="274">
        <f>SUM(X1352:X1364)</f>
        <v>10349.34</v>
      </c>
      <c r="AE1365" s="370">
        <f t="shared" si="179"/>
        <v>0</v>
      </c>
    </row>
    <row r="1366" spans="6:31" ht="24" customHeight="1">
      <c r="K1366" s="358" t="s">
        <v>2055</v>
      </c>
      <c r="Q1366" s="253"/>
      <c r="W1366" s="253"/>
      <c r="AA1366" s="461" t="s">
        <v>3476</v>
      </c>
      <c r="AC1366" s="296"/>
      <c r="AE1366" s="370">
        <f t="shared" si="179"/>
        <v>0</v>
      </c>
    </row>
    <row r="1367" spans="6:31" ht="24" customHeight="1">
      <c r="K1367" s="358"/>
      <c r="Q1367" s="296"/>
      <c r="W1367" s="253"/>
      <c r="Y1367" s="316">
        <v>3.72</v>
      </c>
      <c r="Z1367" s="252" t="s">
        <v>913</v>
      </c>
      <c r="AA1367" s="296" t="s">
        <v>1854</v>
      </c>
      <c r="AB1367" s="252">
        <f>AB1350</f>
        <v>325</v>
      </c>
      <c r="AC1367" s="252" t="s">
        <v>913</v>
      </c>
      <c r="AD1367" s="252">
        <f t="shared" ref="AD1367:AD1378" si="185">AB1367*Y1367</f>
        <v>1209</v>
      </c>
      <c r="AE1367" s="370">
        <f t="shared" si="179"/>
        <v>0</v>
      </c>
    </row>
    <row r="1368" spans="6:31" ht="24" customHeight="1">
      <c r="K1368" s="358"/>
      <c r="M1368" s="375">
        <v>29.5</v>
      </c>
      <c r="N1368" s="252" t="s">
        <v>2251</v>
      </c>
      <c r="O1368" s="296" t="s">
        <v>1207</v>
      </c>
      <c r="Q1368" s="253"/>
      <c r="U1368" s="461" t="s">
        <v>3475</v>
      </c>
      <c r="W1368" s="253"/>
      <c r="Y1368" s="316">
        <v>2.69</v>
      </c>
      <c r="Z1368" s="252" t="s">
        <v>913</v>
      </c>
      <c r="AA1368" s="296" t="s">
        <v>1854</v>
      </c>
      <c r="AB1368" s="252">
        <f t="shared" ref="AB1368:AB1378" si="186">AB1351</f>
        <v>325</v>
      </c>
      <c r="AC1368" s="252" t="s">
        <v>913</v>
      </c>
      <c r="AD1368" s="252">
        <f t="shared" si="185"/>
        <v>874.25</v>
      </c>
      <c r="AE1368" s="370">
        <f t="shared" si="179"/>
        <v>0</v>
      </c>
    </row>
    <row r="1369" spans="6:31"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Y1369" s="316">
        <v>6.15</v>
      </c>
      <c r="Z1369" s="252" t="s">
        <v>913</v>
      </c>
      <c r="AA1369" s="296" t="s">
        <v>1854</v>
      </c>
      <c r="AB1369" s="252">
        <f t="shared" si="186"/>
        <v>325</v>
      </c>
      <c r="AC1369" s="252" t="s">
        <v>913</v>
      </c>
      <c r="AD1369" s="252">
        <f t="shared" si="185"/>
        <v>1998.75</v>
      </c>
      <c r="AE1369" s="370">
        <f t="shared" si="179"/>
        <v>0</v>
      </c>
    </row>
    <row r="1370" spans="6:31" ht="24" customHeight="1">
      <c r="H1370" s="296" t="s">
        <v>1483</v>
      </c>
      <c r="K1370" s="358"/>
      <c r="O1370" s="296" t="s">
        <v>1936</v>
      </c>
      <c r="Q1370" s="253"/>
      <c r="S1370" s="356">
        <v>2.5299999999999998</v>
      </c>
      <c r="T1370" s="252" t="s">
        <v>913</v>
      </c>
      <c r="U1370" s="296" t="s">
        <v>1854</v>
      </c>
      <c r="V1370" s="252">
        <f t="shared" ref="V1370:V1380" si="187">P1409</f>
        <v>325</v>
      </c>
      <c r="W1370" s="253" t="s">
        <v>913</v>
      </c>
      <c r="X1370" s="252">
        <f t="shared" ref="X1370:X1380" si="188">V1370*S1370</f>
        <v>822.25</v>
      </c>
      <c r="Y1370" s="316">
        <v>1.07</v>
      </c>
      <c r="Z1370" s="252" t="s">
        <v>913</v>
      </c>
      <c r="AA1370" s="296" t="s">
        <v>1854</v>
      </c>
      <c r="AB1370" s="252">
        <f t="shared" si="186"/>
        <v>325</v>
      </c>
      <c r="AC1370" s="252" t="s">
        <v>913</v>
      </c>
      <c r="AD1370" s="252">
        <f t="shared" si="185"/>
        <v>347.75</v>
      </c>
      <c r="AE1370" s="370">
        <f t="shared" si="179"/>
        <v>0</v>
      </c>
    </row>
    <row r="1371" spans="6:31" ht="24" customHeight="1">
      <c r="H1371" s="296" t="s">
        <v>683</v>
      </c>
      <c r="K1371" s="358"/>
      <c r="O1371" s="358" t="s">
        <v>1586</v>
      </c>
      <c r="P1371" s="358" t="s">
        <v>1586</v>
      </c>
      <c r="Q1371" s="253"/>
      <c r="S1371" s="356">
        <v>5.75</v>
      </c>
      <c r="T1371" s="252" t="s">
        <v>913</v>
      </c>
      <c r="U1371" s="296" t="s">
        <v>1854</v>
      </c>
      <c r="V1371" s="252">
        <f t="shared" si="187"/>
        <v>325</v>
      </c>
      <c r="W1371" s="253" t="s">
        <v>913</v>
      </c>
      <c r="X1371" s="252">
        <f t="shared" si="188"/>
        <v>1868.75</v>
      </c>
      <c r="Y1371" s="316">
        <v>1.153</v>
      </c>
      <c r="Z1371" s="252" t="s">
        <v>233</v>
      </c>
      <c r="AA1371" s="296" t="s">
        <v>1855</v>
      </c>
      <c r="AB1371" s="252">
        <f t="shared" si="186"/>
        <v>306.89999999999998</v>
      </c>
      <c r="AC1371" s="252" t="s">
        <v>233</v>
      </c>
      <c r="AD1371" s="252">
        <f t="shared" si="185"/>
        <v>353.86</v>
      </c>
      <c r="AE1371" s="370">
        <f t="shared" si="179"/>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7"/>
        <v>325</v>
      </c>
      <c r="W1372" s="253" t="s">
        <v>913</v>
      </c>
      <c r="X1372" s="252">
        <f t="shared" si="188"/>
        <v>325</v>
      </c>
      <c r="Y1372" s="316">
        <v>8.6720000000000006</v>
      </c>
      <c r="Z1372" s="252" t="s">
        <v>826</v>
      </c>
      <c r="AA1372" s="296" t="s">
        <v>1856</v>
      </c>
      <c r="AB1372" s="252">
        <f t="shared" si="186"/>
        <v>29.05</v>
      </c>
      <c r="AC1372" s="252" t="s">
        <v>826</v>
      </c>
      <c r="AD1372" s="252">
        <f t="shared" si="185"/>
        <v>251.92</v>
      </c>
      <c r="AE1372" s="370">
        <f t="shared" si="179"/>
        <v>0</v>
      </c>
    </row>
    <row r="1373" spans="6:31" ht="24" customHeight="1">
      <c r="H1373" s="296" t="s">
        <v>1293</v>
      </c>
      <c r="K1373" s="358"/>
      <c r="M1373" s="252">
        <v>0.21</v>
      </c>
      <c r="N1373" s="252" t="s">
        <v>869</v>
      </c>
      <c r="O1373" s="296" t="s">
        <v>1876</v>
      </c>
      <c r="P1373" s="252">
        <f>P1333</f>
        <v>4479.66</v>
      </c>
      <c r="Q1373" s="253" t="s">
        <v>869</v>
      </c>
      <c r="R1373" s="252">
        <f>(M1373*P1373)</f>
        <v>940.73</v>
      </c>
      <c r="S1373" s="356">
        <v>0.96699999999999997</v>
      </c>
      <c r="T1373" s="252" t="s">
        <v>233</v>
      </c>
      <c r="U1373" s="296" t="s">
        <v>1855</v>
      </c>
      <c r="V1373" s="252">
        <f t="shared" si="187"/>
        <v>306.89999999999998</v>
      </c>
      <c r="W1373" s="253" t="s">
        <v>233</v>
      </c>
      <c r="X1373" s="252">
        <f t="shared" si="188"/>
        <v>296.77</v>
      </c>
      <c r="Y1373" s="316">
        <v>8</v>
      </c>
      <c r="Z1373" s="252" t="s">
        <v>769</v>
      </c>
      <c r="AA1373" s="296" t="s">
        <v>1857</v>
      </c>
      <c r="AB1373" s="252">
        <f t="shared" si="186"/>
        <v>71.900000000000006</v>
      </c>
      <c r="AC1373" s="252" t="s">
        <v>769</v>
      </c>
      <c r="AD1373" s="252">
        <f t="shared" si="185"/>
        <v>575.20000000000005</v>
      </c>
      <c r="AE1373" s="370">
        <f t="shared" si="179"/>
        <v>0</v>
      </c>
    </row>
    <row r="1374" spans="6:31" ht="24" customHeight="1">
      <c r="H1374" s="358" t="s">
        <v>1586</v>
      </c>
      <c r="K1374" s="358"/>
      <c r="O1374" s="296" t="s">
        <v>1877</v>
      </c>
      <c r="P1374" s="296" t="s">
        <v>975</v>
      </c>
      <c r="Q1374" s="253"/>
      <c r="R1374" s="296" t="s">
        <v>975</v>
      </c>
      <c r="S1374" s="356">
        <v>8.0719999999999992</v>
      </c>
      <c r="T1374" s="252" t="s">
        <v>826</v>
      </c>
      <c r="U1374" s="296" t="s">
        <v>1856</v>
      </c>
      <c r="V1374" s="252">
        <f t="shared" si="187"/>
        <v>29.05</v>
      </c>
      <c r="W1374" s="253" t="s">
        <v>826</v>
      </c>
      <c r="X1374" s="252">
        <f t="shared" si="188"/>
        <v>234.49</v>
      </c>
      <c r="Y1374" s="316">
        <v>4</v>
      </c>
      <c r="Z1374" s="252" t="s">
        <v>769</v>
      </c>
      <c r="AA1374" s="296" t="s">
        <v>1858</v>
      </c>
      <c r="AB1374" s="252">
        <f t="shared" si="186"/>
        <v>57.65</v>
      </c>
      <c r="AC1374" s="252" t="s">
        <v>769</v>
      </c>
      <c r="AD1374" s="252">
        <f t="shared" si="185"/>
        <v>230.6</v>
      </c>
      <c r="AE1374" s="370">
        <f t="shared" si="179"/>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296" t="s">
        <v>1857</v>
      </c>
      <c r="V1375" s="252">
        <f t="shared" si="187"/>
        <v>71.900000000000006</v>
      </c>
      <c r="W1375" s="253" t="s">
        <v>769</v>
      </c>
      <c r="X1375" s="252">
        <f t="shared" si="188"/>
        <v>575.20000000000005</v>
      </c>
      <c r="Y1375" s="316">
        <v>4</v>
      </c>
      <c r="Z1375" s="252" t="s">
        <v>769</v>
      </c>
      <c r="AA1375" s="296" t="s">
        <v>1859</v>
      </c>
      <c r="AB1375" s="252">
        <f t="shared" si="186"/>
        <v>30</v>
      </c>
      <c r="AC1375" s="252" t="s">
        <v>769</v>
      </c>
      <c r="AD1375" s="252">
        <f t="shared" si="185"/>
        <v>120</v>
      </c>
      <c r="AE1375" s="370">
        <f t="shared" si="179"/>
        <v>0</v>
      </c>
    </row>
    <row r="1376" spans="6:31" ht="24" customHeight="1">
      <c r="F1376" s="252">
        <v>0.12</v>
      </c>
      <c r="G1376" s="252" t="s">
        <v>869</v>
      </c>
      <c r="H1376" s="296" t="s">
        <v>1876</v>
      </c>
      <c r="I1376" s="252">
        <f>K32</f>
        <v>4479.66</v>
      </c>
      <c r="J1376" s="296" t="s">
        <v>869</v>
      </c>
      <c r="K1376" s="252">
        <f t="shared" ref="K1376:K1382" si="189">(F1376*I1376)</f>
        <v>537.55999999999995</v>
      </c>
      <c r="M1376" s="252">
        <v>1.1000000000000001</v>
      </c>
      <c r="N1376" s="252" t="s">
        <v>769</v>
      </c>
      <c r="O1376" s="296" t="s">
        <v>1712</v>
      </c>
      <c r="P1376" s="252">
        <f>AE10</f>
        <v>932</v>
      </c>
      <c r="Q1376" s="253" t="s">
        <v>769</v>
      </c>
      <c r="R1376" s="252">
        <f>(M1376*P1376)</f>
        <v>1025.2</v>
      </c>
      <c r="S1376" s="356">
        <v>4</v>
      </c>
      <c r="T1376" s="252" t="s">
        <v>769</v>
      </c>
      <c r="U1376" s="296" t="s">
        <v>1858</v>
      </c>
      <c r="V1376" s="252">
        <f t="shared" si="187"/>
        <v>57.65</v>
      </c>
      <c r="W1376" s="253" t="s">
        <v>769</v>
      </c>
      <c r="X1376" s="252">
        <f t="shared" si="188"/>
        <v>230.6</v>
      </c>
      <c r="Y1376" s="316">
        <v>4</v>
      </c>
      <c r="Z1376" s="252" t="s">
        <v>769</v>
      </c>
      <c r="AA1376" s="296" t="s">
        <v>1860</v>
      </c>
      <c r="AB1376" s="252">
        <f t="shared" si="186"/>
        <v>20</v>
      </c>
      <c r="AC1376" s="252" t="s">
        <v>769</v>
      </c>
      <c r="AD1376" s="252">
        <f t="shared" si="185"/>
        <v>80</v>
      </c>
      <c r="AE1376" s="370">
        <f t="shared" si="179"/>
        <v>0</v>
      </c>
    </row>
    <row r="1377" spans="6:31" ht="24" customHeight="1">
      <c r="F1377" s="252">
        <v>10</v>
      </c>
      <c r="G1377" s="252" t="s">
        <v>609</v>
      </c>
      <c r="H1377" s="296" t="s">
        <v>1295</v>
      </c>
      <c r="I1377" s="252">
        <f>K1344</f>
        <v>314.25</v>
      </c>
      <c r="J1377" s="296" t="s">
        <v>609</v>
      </c>
      <c r="K1377" s="252">
        <f t="shared" si="189"/>
        <v>3142.5</v>
      </c>
      <c r="M1377" s="252">
        <v>2.2000000000000002</v>
      </c>
      <c r="N1377" s="252" t="s">
        <v>769</v>
      </c>
      <c r="O1377" s="296" t="s">
        <v>1902</v>
      </c>
      <c r="P1377" s="252">
        <f>AE11</f>
        <v>651</v>
      </c>
      <c r="Q1377" s="253" t="s">
        <v>769</v>
      </c>
      <c r="R1377" s="252">
        <f>(M1377*P1377)</f>
        <v>1432.2</v>
      </c>
      <c r="S1377" s="356">
        <v>4</v>
      </c>
      <c r="T1377" s="252" t="s">
        <v>769</v>
      </c>
      <c r="U1377" s="296" t="s">
        <v>1859</v>
      </c>
      <c r="V1377" s="252">
        <f t="shared" si="187"/>
        <v>30</v>
      </c>
      <c r="W1377" s="253" t="s">
        <v>769</v>
      </c>
      <c r="X1377" s="252">
        <f t="shared" si="188"/>
        <v>120</v>
      </c>
      <c r="Y1377" s="316">
        <v>4</v>
      </c>
      <c r="Z1377" s="252" t="s">
        <v>769</v>
      </c>
      <c r="AA1377" s="296" t="s">
        <v>1861</v>
      </c>
      <c r="AB1377" s="252">
        <f t="shared" si="186"/>
        <v>15</v>
      </c>
      <c r="AC1377" s="252" t="s">
        <v>769</v>
      </c>
      <c r="AD1377" s="252">
        <f t="shared" si="185"/>
        <v>60</v>
      </c>
      <c r="AE1377" s="370">
        <f t="shared" si="179"/>
        <v>0</v>
      </c>
    </row>
    <row r="1378" spans="6:31" ht="24" customHeight="1">
      <c r="F1378" s="252">
        <v>5.8</v>
      </c>
      <c r="G1378" s="252" t="s">
        <v>1645</v>
      </c>
      <c r="H1378" s="296" t="s">
        <v>964</v>
      </c>
      <c r="I1378" s="252">
        <f>C653</f>
        <v>42.7</v>
      </c>
      <c r="J1378" s="296" t="s">
        <v>1645</v>
      </c>
      <c r="K1378" s="252">
        <f t="shared" si="189"/>
        <v>247.66</v>
      </c>
      <c r="M1378" s="252">
        <v>2.2000000000000002</v>
      </c>
      <c r="N1378" s="252" t="s">
        <v>769</v>
      </c>
      <c r="O1378" s="296" t="s">
        <v>320</v>
      </c>
      <c r="P1378" s="252">
        <f>AE12</f>
        <v>534</v>
      </c>
      <c r="Q1378" s="253" t="s">
        <v>769</v>
      </c>
      <c r="R1378" s="252">
        <f>(M1378*P1378)</f>
        <v>1174.8</v>
      </c>
      <c r="S1378" s="356">
        <v>4</v>
      </c>
      <c r="T1378" s="252" t="s">
        <v>769</v>
      </c>
      <c r="U1378" s="296" t="s">
        <v>1860</v>
      </c>
      <c r="V1378" s="252">
        <f t="shared" si="187"/>
        <v>20</v>
      </c>
      <c r="W1378" s="253" t="s">
        <v>769</v>
      </c>
      <c r="X1378" s="252">
        <f t="shared" si="188"/>
        <v>80</v>
      </c>
      <c r="Y1378" s="316">
        <v>1.42</v>
      </c>
      <c r="Z1378" s="252" t="s">
        <v>2283</v>
      </c>
      <c r="AA1378" s="296" t="s">
        <v>1862</v>
      </c>
      <c r="AB1378" s="252">
        <f t="shared" si="186"/>
        <v>1998</v>
      </c>
      <c r="AC1378" s="252" t="s">
        <v>2283</v>
      </c>
      <c r="AD1378" s="252">
        <f t="shared" si="185"/>
        <v>2837.16</v>
      </c>
      <c r="AE1378" s="370">
        <f t="shared" si="179"/>
        <v>0</v>
      </c>
    </row>
    <row r="1379" spans="6:31" ht="24" customHeight="1">
      <c r="F1379" s="252">
        <v>1.1000000000000001</v>
      </c>
      <c r="G1379" s="252" t="s">
        <v>769</v>
      </c>
      <c r="H1379" s="296" t="s">
        <v>2009</v>
      </c>
      <c r="I1379" s="252">
        <f>C10</f>
        <v>999</v>
      </c>
      <c r="J1379" s="296" t="s">
        <v>769</v>
      </c>
      <c r="K1379" s="252">
        <f t="shared" si="189"/>
        <v>1098.9000000000001</v>
      </c>
      <c r="M1379" s="356">
        <v>20</v>
      </c>
      <c r="N1379" s="252" t="s">
        <v>1645</v>
      </c>
      <c r="O1379" s="296" t="s">
        <v>862</v>
      </c>
      <c r="P1379" s="252">
        <f>AC31</f>
        <v>6040</v>
      </c>
      <c r="Q1379" s="253" t="s">
        <v>861</v>
      </c>
      <c r="R1379" s="252">
        <f>(M1379*P1379)/1000</f>
        <v>120.8</v>
      </c>
      <c r="S1379" s="356">
        <v>4</v>
      </c>
      <c r="T1379" s="252" t="s">
        <v>769</v>
      </c>
      <c r="U1379" s="296" t="s">
        <v>1861</v>
      </c>
      <c r="V1379" s="252">
        <f t="shared" si="187"/>
        <v>15</v>
      </c>
      <c r="W1379" s="253" t="s">
        <v>769</v>
      </c>
      <c r="X1379" s="252">
        <f t="shared" si="188"/>
        <v>60</v>
      </c>
      <c r="AA1379" s="296" t="s">
        <v>1863</v>
      </c>
      <c r="AC1379" s="253"/>
      <c r="AD1379" s="252">
        <v>0.85</v>
      </c>
      <c r="AE1379" s="370">
        <f t="shared" si="179"/>
        <v>0</v>
      </c>
    </row>
    <row r="1380" spans="6:31" ht="24" customHeight="1">
      <c r="F1380" s="252">
        <v>2.1</v>
      </c>
      <c r="G1380" s="252" t="s">
        <v>769</v>
      </c>
      <c r="H1380" s="296" t="s">
        <v>1712</v>
      </c>
      <c r="I1380" s="252">
        <f>C11</f>
        <v>932</v>
      </c>
      <c r="J1380" s="296" t="s">
        <v>769</v>
      </c>
      <c r="K1380" s="252">
        <f t="shared" si="189"/>
        <v>1957.2</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7"/>
        <v>1998</v>
      </c>
      <c r="W1380" s="253" t="s">
        <v>2283</v>
      </c>
      <c r="X1380" s="252">
        <f t="shared" si="188"/>
        <v>2427.5700000000002</v>
      </c>
      <c r="AA1380" s="360" t="s">
        <v>3536</v>
      </c>
      <c r="AD1380" s="274">
        <f>SUM(AD1367:AD1379)</f>
        <v>8939.34</v>
      </c>
      <c r="AE1380" s="370">
        <f t="shared" si="179"/>
        <v>0</v>
      </c>
    </row>
    <row r="1381" spans="6:31" ht="24" customHeight="1">
      <c r="F1381" s="252">
        <v>2.2000000000000002</v>
      </c>
      <c r="G1381" s="252" t="s">
        <v>769</v>
      </c>
      <c r="H1381" s="296" t="s">
        <v>1902</v>
      </c>
      <c r="I1381" s="252">
        <f>C12</f>
        <v>651</v>
      </c>
      <c r="J1381" s="296" t="s">
        <v>769</v>
      </c>
      <c r="K1381" s="252">
        <f t="shared" si="189"/>
        <v>1432.2</v>
      </c>
      <c r="M1381" s="252">
        <v>1.6</v>
      </c>
      <c r="N1381" s="252" t="s">
        <v>769</v>
      </c>
      <c r="O1381" s="296" t="s">
        <v>1712</v>
      </c>
      <c r="P1381" s="252">
        <f>P1265</f>
        <v>932</v>
      </c>
      <c r="Q1381" s="253" t="s">
        <v>769</v>
      </c>
      <c r="R1381" s="252">
        <f>(M1381*P1381)</f>
        <v>1491.2</v>
      </c>
      <c r="U1381" s="296" t="s">
        <v>1863</v>
      </c>
      <c r="W1381" s="253"/>
      <c r="X1381" s="252">
        <v>0.23</v>
      </c>
      <c r="AE1381" s="370">
        <f t="shared" si="179"/>
        <v>0</v>
      </c>
    </row>
    <row r="1382" spans="6:31" ht="24" customHeight="1">
      <c r="F1382" s="252">
        <v>1.1000000000000001</v>
      </c>
      <c r="G1382" s="252" t="s">
        <v>769</v>
      </c>
      <c r="H1382" s="296" t="s">
        <v>320</v>
      </c>
      <c r="I1382" s="252">
        <f>C13</f>
        <v>534</v>
      </c>
      <c r="J1382" s="296" t="s">
        <v>769</v>
      </c>
      <c r="K1382" s="252">
        <f t="shared" si="189"/>
        <v>587.4</v>
      </c>
      <c r="M1382" s="252">
        <v>0.5</v>
      </c>
      <c r="N1382" s="252" t="s">
        <v>769</v>
      </c>
      <c r="O1382" s="296" t="s">
        <v>1902</v>
      </c>
      <c r="P1382" s="252">
        <f>P1266</f>
        <v>651</v>
      </c>
      <c r="Q1382" s="253" t="s">
        <v>769</v>
      </c>
      <c r="R1382" s="252">
        <f>(M1382*P1382)</f>
        <v>325.5</v>
      </c>
      <c r="U1382" s="360" t="s">
        <v>3536</v>
      </c>
      <c r="W1382" s="253"/>
      <c r="X1382" s="274">
        <f>SUM(X1369:X1381)</f>
        <v>8175.11</v>
      </c>
      <c r="AE1382" s="370">
        <f t="shared" si="179"/>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79"/>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0">AB1384*Y1384</f>
        <v>932.75</v>
      </c>
      <c r="AE1384" s="370">
        <f t="shared" si="179"/>
        <v>0</v>
      </c>
    </row>
    <row r="1385" spans="6:31" ht="24" customHeight="1">
      <c r="H1385" s="296" t="s">
        <v>441</v>
      </c>
      <c r="K1385" s="252">
        <f>SUM(K1375:K1383)</f>
        <v>12063.56</v>
      </c>
      <c r="Q1385" s="253"/>
      <c r="R1385" s="358" t="s">
        <v>1586</v>
      </c>
      <c r="U1385" s="461" t="s">
        <v>3484</v>
      </c>
      <c r="W1385" s="253"/>
      <c r="Y1385" s="316">
        <v>0.56000000000000005</v>
      </c>
      <c r="Z1385" s="252" t="s">
        <v>913</v>
      </c>
      <c r="AA1385" s="296" t="s">
        <v>1854</v>
      </c>
      <c r="AB1385" s="252">
        <f t="shared" ref="AB1385:AB1395" si="191">AB1368</f>
        <v>325</v>
      </c>
      <c r="AC1385" s="252" t="s">
        <v>913</v>
      </c>
      <c r="AD1385" s="252">
        <f t="shared" si="190"/>
        <v>182</v>
      </c>
      <c r="AE1385" s="370">
        <f t="shared" si="179"/>
        <v>0</v>
      </c>
    </row>
    <row r="1386" spans="6:31" ht="24" customHeight="1">
      <c r="K1386" s="358" t="s">
        <v>1586</v>
      </c>
      <c r="O1386" s="296" t="s">
        <v>441</v>
      </c>
      <c r="Q1386" s="253"/>
      <c r="R1386" s="252">
        <f>SUM(R1372:R1384)</f>
        <v>24529.21</v>
      </c>
      <c r="S1386" s="356">
        <v>4.88</v>
      </c>
      <c r="T1386" s="252" t="s">
        <v>913</v>
      </c>
      <c r="U1386" s="296" t="s">
        <v>1854</v>
      </c>
      <c r="V1386" s="252">
        <f>V1369</f>
        <v>325</v>
      </c>
      <c r="W1386" s="253" t="s">
        <v>913</v>
      </c>
      <c r="X1386" s="252">
        <f>V1386*S1386</f>
        <v>1586</v>
      </c>
      <c r="Y1386" s="316">
        <v>2.98</v>
      </c>
      <c r="Z1386" s="252" t="s">
        <v>913</v>
      </c>
      <c r="AA1386" s="296" t="s">
        <v>1854</v>
      </c>
      <c r="AB1386" s="252">
        <f t="shared" si="191"/>
        <v>325</v>
      </c>
      <c r="AC1386" s="252" t="s">
        <v>913</v>
      </c>
      <c r="AD1386" s="252">
        <f t="shared" si="190"/>
        <v>968.5</v>
      </c>
      <c r="AE1386" s="370">
        <f t="shared" si="179"/>
        <v>0</v>
      </c>
    </row>
    <row r="1387" spans="6:31" ht="24" customHeight="1">
      <c r="H1387" s="255" t="s">
        <v>552</v>
      </c>
      <c r="K1387" s="274">
        <f>(K1385/10)</f>
        <v>1206.3599999999999</v>
      </c>
      <c r="Q1387" s="253"/>
      <c r="R1387" s="358" t="s">
        <v>1586</v>
      </c>
      <c r="S1387" s="356">
        <v>6.57</v>
      </c>
      <c r="T1387" s="252" t="s">
        <v>913</v>
      </c>
      <c r="U1387" s="296" t="s">
        <v>1854</v>
      </c>
      <c r="V1387" s="252">
        <f t="shared" ref="V1387:V1397" si="192">V1370</f>
        <v>325</v>
      </c>
      <c r="W1387" s="253" t="s">
        <v>913</v>
      </c>
      <c r="X1387" s="252">
        <f t="shared" ref="X1387:X1397" si="193">V1387*S1387</f>
        <v>2135.25</v>
      </c>
      <c r="Y1387" s="316">
        <v>0.52</v>
      </c>
      <c r="Z1387" s="252" t="s">
        <v>913</v>
      </c>
      <c r="AA1387" s="296" t="s">
        <v>1854</v>
      </c>
      <c r="AB1387" s="252">
        <f t="shared" si="191"/>
        <v>325</v>
      </c>
      <c r="AC1387" s="252" t="s">
        <v>913</v>
      </c>
      <c r="AD1387" s="252">
        <f t="shared" si="190"/>
        <v>169</v>
      </c>
      <c r="AE1387" s="370">
        <f t="shared" si="179"/>
        <v>0</v>
      </c>
    </row>
    <row r="1388" spans="6:31" ht="24" customHeight="1">
      <c r="K1388" s="358" t="s">
        <v>2055</v>
      </c>
      <c r="O1388" s="296" t="s">
        <v>552</v>
      </c>
      <c r="Q1388" s="253"/>
      <c r="R1388" s="252">
        <f>(R1386/10)</f>
        <v>2452.92</v>
      </c>
      <c r="S1388" s="356">
        <v>11.56</v>
      </c>
      <c r="T1388" s="252" t="s">
        <v>913</v>
      </c>
      <c r="U1388" s="296" t="s">
        <v>1854</v>
      </c>
      <c r="V1388" s="252">
        <f t="shared" si="192"/>
        <v>325</v>
      </c>
      <c r="W1388" s="253" t="s">
        <v>913</v>
      </c>
      <c r="X1388" s="252">
        <f t="shared" si="193"/>
        <v>3757</v>
      </c>
      <c r="Y1388" s="316">
        <v>0.53300000000000003</v>
      </c>
      <c r="Z1388" s="252" t="s">
        <v>233</v>
      </c>
      <c r="AA1388" s="296" t="s">
        <v>1855</v>
      </c>
      <c r="AB1388" s="252">
        <f t="shared" si="191"/>
        <v>306.89999999999998</v>
      </c>
      <c r="AC1388" s="252" t="s">
        <v>233</v>
      </c>
      <c r="AD1388" s="252">
        <f t="shared" si="190"/>
        <v>163.58000000000001</v>
      </c>
      <c r="AE1388" s="370">
        <f t="shared" si="179"/>
        <v>0</v>
      </c>
    </row>
    <row r="1389" spans="6:31" ht="24" customHeight="1">
      <c r="K1389" s="358"/>
      <c r="Q1389" s="253"/>
      <c r="R1389" s="358" t="s">
        <v>2055</v>
      </c>
      <c r="S1389" s="356">
        <v>2.0099999999999998</v>
      </c>
      <c r="T1389" s="252" t="s">
        <v>913</v>
      </c>
      <c r="U1389" s="296" t="s">
        <v>1854</v>
      </c>
      <c r="V1389" s="252">
        <f t="shared" si="192"/>
        <v>325</v>
      </c>
      <c r="W1389" s="253" t="s">
        <v>913</v>
      </c>
      <c r="X1389" s="252">
        <f t="shared" si="193"/>
        <v>653.25</v>
      </c>
      <c r="Y1389" s="316">
        <v>4.1959999999999997</v>
      </c>
      <c r="Z1389" s="252" t="s">
        <v>826</v>
      </c>
      <c r="AA1389" s="296" t="s">
        <v>1856</v>
      </c>
      <c r="AB1389" s="252">
        <f t="shared" si="191"/>
        <v>29.05</v>
      </c>
      <c r="AC1389" s="252" t="s">
        <v>826</v>
      </c>
      <c r="AD1389" s="252">
        <f t="shared" si="190"/>
        <v>121.89</v>
      </c>
      <c r="AE1389" s="370">
        <f t="shared" si="179"/>
        <v>0</v>
      </c>
    </row>
    <row r="1390" spans="6:31" ht="24" customHeight="1">
      <c r="F1390" s="253" t="s">
        <v>1296</v>
      </c>
      <c r="G1390" s="252" t="s">
        <v>2251</v>
      </c>
      <c r="H1390" s="296" t="s">
        <v>4</v>
      </c>
      <c r="O1390" s="461" t="s">
        <v>3479</v>
      </c>
      <c r="Q1390" s="296"/>
      <c r="S1390" s="356">
        <v>1.96</v>
      </c>
      <c r="T1390" s="252" t="s">
        <v>233</v>
      </c>
      <c r="U1390" s="296" t="s">
        <v>1855</v>
      </c>
      <c r="V1390" s="252">
        <f t="shared" si="192"/>
        <v>306.89999999999998</v>
      </c>
      <c r="W1390" s="253" t="s">
        <v>233</v>
      </c>
      <c r="X1390" s="252">
        <f t="shared" si="193"/>
        <v>601.52</v>
      </c>
      <c r="Y1390" s="316">
        <v>4</v>
      </c>
      <c r="Z1390" s="252" t="s">
        <v>769</v>
      </c>
      <c r="AA1390" s="296" t="s">
        <v>1857</v>
      </c>
      <c r="AB1390" s="252">
        <f t="shared" si="191"/>
        <v>71.900000000000006</v>
      </c>
      <c r="AC1390" s="252" t="s">
        <v>769</v>
      </c>
      <c r="AD1390" s="252">
        <f t="shared" si="190"/>
        <v>287.60000000000002</v>
      </c>
      <c r="AE1390" s="370">
        <f t="shared" si="179"/>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2"/>
        <v>29.05</v>
      </c>
      <c r="W1391" s="253" t="s">
        <v>826</v>
      </c>
      <c r="X1391" s="252">
        <f t="shared" si="193"/>
        <v>471.31</v>
      </c>
      <c r="Y1391" s="316">
        <v>2</v>
      </c>
      <c r="Z1391" s="252" t="s">
        <v>769</v>
      </c>
      <c r="AA1391" s="296" t="s">
        <v>1858</v>
      </c>
      <c r="AB1391" s="252">
        <f t="shared" si="191"/>
        <v>57.65</v>
      </c>
      <c r="AC1391" s="252" t="s">
        <v>769</v>
      </c>
      <c r="AD1391" s="252">
        <f t="shared" si="190"/>
        <v>115.3</v>
      </c>
      <c r="AE1391" s="370">
        <f t="shared" si="179"/>
        <v>0</v>
      </c>
    </row>
    <row r="1392" spans="6:31" ht="24" customHeight="1">
      <c r="F1392" s="252">
        <v>0.14000000000000001</v>
      </c>
      <c r="G1392" s="252" t="s">
        <v>869</v>
      </c>
      <c r="H1392" s="296" t="s">
        <v>1625</v>
      </c>
      <c r="I1392" s="252">
        <f>(K49)</f>
        <v>3319.98</v>
      </c>
      <c r="J1392" s="296" t="s">
        <v>869</v>
      </c>
      <c r="K1392" s="252">
        <f>(F1392*I1392)</f>
        <v>464.8</v>
      </c>
      <c r="M1392" s="316">
        <v>4.55</v>
      </c>
      <c r="N1392" s="252" t="s">
        <v>913</v>
      </c>
      <c r="O1392" s="296" t="s">
        <v>1854</v>
      </c>
      <c r="P1392" s="252">
        <f>P1391</f>
        <v>325</v>
      </c>
      <c r="Q1392" s="252" t="s">
        <v>913</v>
      </c>
      <c r="R1392" s="252">
        <f t="shared" ref="R1392:R1402" si="194">P1392*M1392</f>
        <v>1478.75</v>
      </c>
      <c r="S1392" s="356">
        <v>16</v>
      </c>
      <c r="T1392" s="252" t="s">
        <v>769</v>
      </c>
      <c r="U1392" s="296" t="s">
        <v>1857</v>
      </c>
      <c r="V1392" s="252">
        <f t="shared" si="192"/>
        <v>71.900000000000006</v>
      </c>
      <c r="W1392" s="253" t="s">
        <v>769</v>
      </c>
      <c r="X1392" s="252">
        <f t="shared" si="193"/>
        <v>1150.4000000000001</v>
      </c>
      <c r="Y1392" s="316">
        <v>2</v>
      </c>
      <c r="Z1392" s="252" t="s">
        <v>769</v>
      </c>
      <c r="AA1392" s="296" t="s">
        <v>1859</v>
      </c>
      <c r="AB1392" s="252">
        <f t="shared" si="191"/>
        <v>30</v>
      </c>
      <c r="AC1392" s="252" t="s">
        <v>769</v>
      </c>
      <c r="AD1392" s="252">
        <f t="shared" si="190"/>
        <v>60</v>
      </c>
      <c r="AE1392" s="370">
        <f t="shared" si="179"/>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194"/>
        <v>2814.5</v>
      </c>
      <c r="S1393" s="356">
        <v>8</v>
      </c>
      <c r="T1393" s="252" t="s">
        <v>769</v>
      </c>
      <c r="U1393" s="296" t="s">
        <v>1858</v>
      </c>
      <c r="V1393" s="252">
        <f t="shared" si="192"/>
        <v>57.65</v>
      </c>
      <c r="W1393" s="253" t="s">
        <v>769</v>
      </c>
      <c r="X1393" s="252">
        <f t="shared" si="193"/>
        <v>461.2</v>
      </c>
      <c r="Y1393" s="316">
        <v>2</v>
      </c>
      <c r="Z1393" s="252" t="s">
        <v>769</v>
      </c>
      <c r="AA1393" s="296" t="s">
        <v>1860</v>
      </c>
      <c r="AB1393" s="252">
        <f t="shared" si="191"/>
        <v>20</v>
      </c>
      <c r="AC1393" s="252" t="s">
        <v>769</v>
      </c>
      <c r="AD1393" s="252">
        <f t="shared" si="190"/>
        <v>40</v>
      </c>
      <c r="AE1393" s="370">
        <f t="shared" si="179"/>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194"/>
        <v>490.75</v>
      </c>
      <c r="S1394" s="356">
        <v>8</v>
      </c>
      <c r="T1394" s="252" t="s">
        <v>769</v>
      </c>
      <c r="U1394" s="296" t="s">
        <v>1859</v>
      </c>
      <c r="V1394" s="252">
        <f t="shared" si="192"/>
        <v>30</v>
      </c>
      <c r="W1394" s="253" t="s">
        <v>769</v>
      </c>
      <c r="X1394" s="252">
        <f t="shared" si="193"/>
        <v>240</v>
      </c>
      <c r="Y1394" s="316">
        <v>4</v>
      </c>
      <c r="Z1394" s="252" t="s">
        <v>769</v>
      </c>
      <c r="AA1394" s="296" t="s">
        <v>1861</v>
      </c>
      <c r="AB1394" s="252">
        <f t="shared" si="191"/>
        <v>15</v>
      </c>
      <c r="AC1394" s="252" t="s">
        <v>769</v>
      </c>
      <c r="AD1394" s="252">
        <f t="shared" si="190"/>
        <v>60</v>
      </c>
      <c r="AE1394" s="370">
        <f t="shared" si="179"/>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194"/>
        <v>448.69</v>
      </c>
      <c r="S1395" s="356">
        <v>8</v>
      </c>
      <c r="T1395" s="252" t="s">
        <v>769</v>
      </c>
      <c r="U1395" s="296" t="s">
        <v>1860</v>
      </c>
      <c r="V1395" s="252">
        <f t="shared" si="192"/>
        <v>20</v>
      </c>
      <c r="W1395" s="253" t="s">
        <v>769</v>
      </c>
      <c r="X1395" s="252">
        <f t="shared" si="193"/>
        <v>160</v>
      </c>
      <c r="Y1395" s="316">
        <v>0.67500000000000004</v>
      </c>
      <c r="Z1395" s="252" t="s">
        <v>2283</v>
      </c>
      <c r="AA1395" s="296" t="s">
        <v>1862</v>
      </c>
      <c r="AB1395" s="252">
        <f t="shared" si="191"/>
        <v>1998</v>
      </c>
      <c r="AC1395" s="252" t="s">
        <v>2283</v>
      </c>
      <c r="AD1395" s="252">
        <f t="shared" si="190"/>
        <v>1348.65</v>
      </c>
      <c r="AE1395" s="370">
        <f t="shared" si="179"/>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4"/>
        <v>352.78</v>
      </c>
      <c r="S1396" s="356">
        <v>4</v>
      </c>
      <c r="T1396" s="252" t="s">
        <v>769</v>
      </c>
      <c r="U1396" s="296" t="s">
        <v>1861</v>
      </c>
      <c r="V1396" s="252">
        <f t="shared" si="192"/>
        <v>15</v>
      </c>
      <c r="W1396" s="253" t="s">
        <v>769</v>
      </c>
      <c r="X1396" s="252">
        <f t="shared" si="193"/>
        <v>60</v>
      </c>
      <c r="AA1396" s="296" t="s">
        <v>1863</v>
      </c>
      <c r="AC1396" s="253"/>
      <c r="AD1396" s="252">
        <v>0.39</v>
      </c>
      <c r="AE1396" s="370">
        <f t="shared" si="179"/>
        <v>0</v>
      </c>
    </row>
    <row r="1397" spans="6:31" ht="24" customHeight="1">
      <c r="K1397" s="358" t="s">
        <v>1586</v>
      </c>
      <c r="M1397" s="316">
        <v>12</v>
      </c>
      <c r="N1397" s="252" t="s">
        <v>769</v>
      </c>
      <c r="O1397" s="393" t="s">
        <v>4605</v>
      </c>
      <c r="P1397" s="362">
        <v>71.900000000000006</v>
      </c>
      <c r="Q1397" s="252" t="s">
        <v>769</v>
      </c>
      <c r="R1397" s="252">
        <f t="shared" si="194"/>
        <v>862.8</v>
      </c>
      <c r="S1397" s="356">
        <v>2.4300000000000002</v>
      </c>
      <c r="T1397" s="252" t="s">
        <v>2283</v>
      </c>
      <c r="U1397" s="296" t="s">
        <v>1862</v>
      </c>
      <c r="V1397" s="252">
        <f t="shared" si="192"/>
        <v>1998</v>
      </c>
      <c r="W1397" s="253" t="s">
        <v>2283</v>
      </c>
      <c r="X1397" s="252">
        <f t="shared" si="193"/>
        <v>4855.1400000000003</v>
      </c>
      <c r="AA1397" s="360" t="s">
        <v>3536</v>
      </c>
      <c r="AD1397" s="274">
        <f>SUM(AD1384:AD1396)</f>
        <v>4449.66</v>
      </c>
      <c r="AE1397" s="370">
        <f t="shared" si="179"/>
        <v>0</v>
      </c>
    </row>
    <row r="1398" spans="6:31" ht="24" customHeight="1">
      <c r="H1398" s="296" t="s">
        <v>441</v>
      </c>
      <c r="K1398" s="252">
        <f>SUM(K1392:K1397)</f>
        <v>2481.6</v>
      </c>
      <c r="M1398" s="316">
        <v>6</v>
      </c>
      <c r="N1398" s="252" t="s">
        <v>769</v>
      </c>
      <c r="O1398" s="393" t="s">
        <v>4265</v>
      </c>
      <c r="P1398" s="252">
        <f>P1094</f>
        <v>57.65</v>
      </c>
      <c r="Q1398" s="252" t="s">
        <v>769</v>
      </c>
      <c r="R1398" s="252">
        <f t="shared" si="194"/>
        <v>345.9</v>
      </c>
      <c r="U1398" s="296" t="s">
        <v>1863</v>
      </c>
      <c r="W1398" s="253"/>
      <c r="AE1398" s="370">
        <f t="shared" si="179"/>
        <v>0</v>
      </c>
    </row>
    <row r="1399" spans="6:31" ht="24" customHeight="1">
      <c r="K1399" s="358" t="s">
        <v>1586</v>
      </c>
      <c r="M1399" s="316">
        <v>6</v>
      </c>
      <c r="N1399" s="252" t="s">
        <v>769</v>
      </c>
      <c r="O1399" s="296" t="s">
        <v>3534</v>
      </c>
      <c r="P1399" s="368">
        <v>30</v>
      </c>
      <c r="Q1399" s="252" t="s">
        <v>769</v>
      </c>
      <c r="R1399" s="252">
        <f t="shared" si="194"/>
        <v>180</v>
      </c>
      <c r="U1399" s="360" t="s">
        <v>3536</v>
      </c>
      <c r="W1399" s="253"/>
      <c r="X1399" s="274">
        <f>SUM(X1386:X1398)</f>
        <v>16131.07</v>
      </c>
      <c r="AA1399" s="461" t="s">
        <v>3482</v>
      </c>
      <c r="AC1399" s="296"/>
      <c r="AE1399" s="370">
        <f t="shared" si="179"/>
        <v>0</v>
      </c>
    </row>
    <row r="1400" spans="6:31" ht="24" customHeight="1">
      <c r="H1400" s="255" t="s">
        <v>552</v>
      </c>
      <c r="K1400" s="274">
        <f>(K1398/10)</f>
        <v>248.16</v>
      </c>
      <c r="M1400" s="316">
        <v>6</v>
      </c>
      <c r="N1400" s="252" t="s">
        <v>769</v>
      </c>
      <c r="O1400" s="296" t="s">
        <v>1860</v>
      </c>
      <c r="P1400" s="314">
        <v>20</v>
      </c>
      <c r="Q1400" s="252" t="s">
        <v>769</v>
      </c>
      <c r="R1400" s="252">
        <f t="shared" si="194"/>
        <v>120</v>
      </c>
      <c r="W1400" s="253"/>
      <c r="Y1400" s="316">
        <v>2.33</v>
      </c>
      <c r="Z1400" s="252" t="s">
        <v>913</v>
      </c>
      <c r="AA1400" s="296" t="s">
        <v>1854</v>
      </c>
      <c r="AB1400" s="252">
        <f t="shared" ref="AB1400:AB1411" si="195">V1402</f>
        <v>325</v>
      </c>
      <c r="AC1400" s="252" t="s">
        <v>913</v>
      </c>
      <c r="AD1400" s="252">
        <f t="shared" ref="AD1400:AD1411" si="196">AB1400*Y1400</f>
        <v>757.25</v>
      </c>
      <c r="AE1400" s="370">
        <f t="shared" si="179"/>
        <v>0</v>
      </c>
    </row>
    <row r="1401" spans="6:31" ht="24" customHeight="1">
      <c r="F1401" s="296" t="s">
        <v>975</v>
      </c>
      <c r="M1401" s="316">
        <v>4</v>
      </c>
      <c r="N1401" s="252" t="s">
        <v>769</v>
      </c>
      <c r="O1401" s="296" t="s">
        <v>1861</v>
      </c>
      <c r="P1401" s="314">
        <v>15</v>
      </c>
      <c r="Q1401" s="252" t="s">
        <v>769</v>
      </c>
      <c r="R1401" s="252">
        <f t="shared" si="194"/>
        <v>60</v>
      </c>
      <c r="U1401" s="461" t="s">
        <v>3483</v>
      </c>
      <c r="W1401" s="253"/>
      <c r="Y1401" s="316">
        <v>0.67</v>
      </c>
      <c r="Z1401" s="252" t="s">
        <v>913</v>
      </c>
      <c r="AA1401" s="296" t="s">
        <v>1854</v>
      </c>
      <c r="AB1401" s="252">
        <f t="shared" si="195"/>
        <v>325</v>
      </c>
      <c r="AC1401" s="252" t="s">
        <v>913</v>
      </c>
      <c r="AD1401" s="252">
        <f t="shared" si="196"/>
        <v>217.75</v>
      </c>
      <c r="AE1401" s="370">
        <f t="shared" si="179"/>
        <v>0</v>
      </c>
    </row>
    <row r="1402" spans="6:31" ht="24" customHeight="1">
      <c r="K1402" s="358" t="s">
        <v>2055</v>
      </c>
      <c r="M1402" s="316">
        <v>1.823</v>
      </c>
      <c r="N1402" s="252" t="s">
        <v>2283</v>
      </c>
      <c r="O1402" s="296" t="s">
        <v>1862</v>
      </c>
      <c r="P1402" s="252">
        <f>ROUND(AE17+AE11+(AE20*0.5),2)</f>
        <v>1998</v>
      </c>
      <c r="Q1402" s="252" t="s">
        <v>2283</v>
      </c>
      <c r="R1402" s="252">
        <f t="shared" si="194"/>
        <v>3642.35</v>
      </c>
      <c r="S1402" s="356">
        <f>8*0.775</f>
        <v>6.2</v>
      </c>
      <c r="T1402" s="252" t="s">
        <v>913</v>
      </c>
      <c r="U1402" s="296" t="s">
        <v>1854</v>
      </c>
      <c r="V1402" s="252">
        <f>V1386</f>
        <v>325</v>
      </c>
      <c r="W1402" s="253" t="s">
        <v>913</v>
      </c>
      <c r="X1402" s="252">
        <f>V1402*S1402</f>
        <v>2015</v>
      </c>
      <c r="Y1402" s="316">
        <v>2.65</v>
      </c>
      <c r="Z1402" s="252" t="s">
        <v>913</v>
      </c>
      <c r="AA1402" s="296" t="s">
        <v>1854</v>
      </c>
      <c r="AB1402" s="252">
        <f t="shared" si="195"/>
        <v>325</v>
      </c>
      <c r="AC1402" s="252" t="s">
        <v>913</v>
      </c>
      <c r="AD1402" s="252">
        <f t="shared" si="196"/>
        <v>861.25</v>
      </c>
      <c r="AE1402" s="370">
        <f t="shared" si="179"/>
        <v>0</v>
      </c>
    </row>
    <row r="1403" spans="6:31"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7">V1387</f>
        <v>325</v>
      </c>
      <c r="W1403" s="253" t="s">
        <v>913</v>
      </c>
      <c r="X1403" s="252">
        <f t="shared" ref="X1403:X1413" si="198">V1403*S1403</f>
        <v>3065.73</v>
      </c>
      <c r="Y1403" s="316">
        <v>0.46</v>
      </c>
      <c r="Z1403" s="252" t="s">
        <v>913</v>
      </c>
      <c r="AA1403" s="296" t="s">
        <v>1854</v>
      </c>
      <c r="AB1403" s="252">
        <f t="shared" si="195"/>
        <v>325</v>
      </c>
      <c r="AC1403" s="252" t="s">
        <v>913</v>
      </c>
      <c r="AD1403" s="252">
        <f t="shared" si="196"/>
        <v>149.5</v>
      </c>
      <c r="AE1403" s="370">
        <f t="shared" si="179"/>
        <v>0</v>
      </c>
    </row>
    <row r="1404" spans="6:31" ht="24" customHeight="1">
      <c r="H1404" s="358" t="s">
        <v>1586</v>
      </c>
      <c r="L1404" s="252">
        <f>5.85*1.123</f>
        <v>6.57</v>
      </c>
      <c r="R1404" s="274">
        <f>SUM(R1391:R1403)</f>
        <v>12157.16</v>
      </c>
      <c r="S1404" s="356">
        <f>24.24*0.663</f>
        <v>16.071000000000002</v>
      </c>
      <c r="T1404" s="252" t="s">
        <v>913</v>
      </c>
      <c r="U1404" s="296" t="s">
        <v>1854</v>
      </c>
      <c r="V1404" s="252">
        <f t="shared" si="197"/>
        <v>325</v>
      </c>
      <c r="W1404" s="253" t="s">
        <v>913</v>
      </c>
      <c r="X1404" s="252">
        <f t="shared" si="198"/>
        <v>5223.08</v>
      </c>
      <c r="Y1404" s="316">
        <v>0.41699999999999998</v>
      </c>
      <c r="Z1404" s="252" t="s">
        <v>233</v>
      </c>
      <c r="AA1404" s="296" t="s">
        <v>1855</v>
      </c>
      <c r="AB1404" s="252">
        <f t="shared" si="195"/>
        <v>306.89999999999998</v>
      </c>
      <c r="AC1404" s="252" t="s">
        <v>233</v>
      </c>
      <c r="AD1404" s="252">
        <f t="shared" si="196"/>
        <v>127.98</v>
      </c>
      <c r="AE1404" s="370">
        <f t="shared" si="179"/>
        <v>0</v>
      </c>
    </row>
    <row r="1405" spans="6:31" ht="24" customHeight="1">
      <c r="F1405" s="252">
        <v>0.14000000000000001</v>
      </c>
      <c r="G1405" s="252" t="s">
        <v>869</v>
      </c>
      <c r="H1405" s="296" t="s">
        <v>1307</v>
      </c>
      <c r="I1405" s="252">
        <f>(K40)</f>
        <v>3754.86</v>
      </c>
      <c r="J1405" s="296" t="s">
        <v>869</v>
      </c>
      <c r="K1405" s="252">
        <f>(F1405*I1405)</f>
        <v>525.67999999999995</v>
      </c>
      <c r="O1405" s="288"/>
      <c r="S1405" s="356">
        <f>23.02*0.124</f>
        <v>2.8540000000000001</v>
      </c>
      <c r="T1405" s="252" t="s">
        <v>913</v>
      </c>
      <c r="U1405" s="296" t="s">
        <v>1854</v>
      </c>
      <c r="V1405" s="252">
        <f t="shared" si="197"/>
        <v>325</v>
      </c>
      <c r="W1405" s="253" t="s">
        <v>913</v>
      </c>
      <c r="X1405" s="252">
        <f t="shared" si="198"/>
        <v>927.55</v>
      </c>
      <c r="Y1405" s="316">
        <v>3.6960000000000002</v>
      </c>
      <c r="Z1405" s="252" t="s">
        <v>826</v>
      </c>
      <c r="AA1405" s="296" t="s">
        <v>1856</v>
      </c>
      <c r="AB1405" s="252">
        <f t="shared" si="195"/>
        <v>29.05</v>
      </c>
      <c r="AC1405" s="252" t="s">
        <v>826</v>
      </c>
      <c r="AD1405" s="252">
        <f t="shared" si="196"/>
        <v>107.37</v>
      </c>
      <c r="AE1405" s="370">
        <f t="shared" si="179"/>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296" t="s">
        <v>1855</v>
      </c>
      <c r="V1406" s="252">
        <f t="shared" si="197"/>
        <v>306.89999999999998</v>
      </c>
      <c r="W1406" s="253" t="s">
        <v>233</v>
      </c>
      <c r="X1406" s="252">
        <f t="shared" si="198"/>
        <v>1015.84</v>
      </c>
      <c r="Y1406" s="316">
        <v>4</v>
      </c>
      <c r="Z1406" s="252" t="s">
        <v>769</v>
      </c>
      <c r="AA1406" s="296" t="s">
        <v>1857</v>
      </c>
      <c r="AB1406" s="252">
        <f t="shared" si="195"/>
        <v>71.900000000000006</v>
      </c>
      <c r="AC1406" s="252" t="s">
        <v>769</v>
      </c>
      <c r="AD1406" s="252">
        <f t="shared" si="196"/>
        <v>287.60000000000002</v>
      </c>
      <c r="AE1406" s="370">
        <f t="shared" ref="AE1406:AE1469" si="199">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296" t="s">
        <v>1856</v>
      </c>
      <c r="V1407" s="252">
        <f t="shared" si="197"/>
        <v>29.05</v>
      </c>
      <c r="W1407" s="253" t="s">
        <v>826</v>
      </c>
      <c r="X1407" s="252">
        <f t="shared" si="198"/>
        <v>668.73</v>
      </c>
      <c r="Y1407" s="316">
        <v>2</v>
      </c>
      <c r="Z1407" s="252" t="s">
        <v>769</v>
      </c>
      <c r="AA1407" s="296" t="s">
        <v>1858</v>
      </c>
      <c r="AB1407" s="252">
        <f t="shared" si="195"/>
        <v>57.65</v>
      </c>
      <c r="AC1407" s="252" t="s">
        <v>769</v>
      </c>
      <c r="AD1407" s="252">
        <f t="shared" si="196"/>
        <v>115.3</v>
      </c>
      <c r="AE1407" s="370">
        <f t="shared" si="199"/>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296" t="s">
        <v>1857</v>
      </c>
      <c r="V1408" s="252">
        <f t="shared" si="197"/>
        <v>71.900000000000006</v>
      </c>
      <c r="W1408" s="253" t="s">
        <v>769</v>
      </c>
      <c r="X1408" s="252">
        <f t="shared" si="198"/>
        <v>1150.4000000000001</v>
      </c>
      <c r="Y1408" s="316">
        <v>2</v>
      </c>
      <c r="Z1408" s="252" t="s">
        <v>769</v>
      </c>
      <c r="AA1408" s="296" t="s">
        <v>1859</v>
      </c>
      <c r="AB1408" s="252">
        <f t="shared" si="195"/>
        <v>30</v>
      </c>
      <c r="AC1408" s="252" t="s">
        <v>769</v>
      </c>
      <c r="AD1408" s="252">
        <f t="shared" si="196"/>
        <v>60</v>
      </c>
      <c r="AE1408" s="370">
        <f t="shared" si="199"/>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0">P1392</f>
        <v>325</v>
      </c>
      <c r="Q1409" s="252" t="s">
        <v>913</v>
      </c>
      <c r="R1409" s="252">
        <f t="shared" ref="R1409:R1419" si="201">P1409*M1409</f>
        <v>929.5</v>
      </c>
      <c r="S1409" s="356">
        <v>8</v>
      </c>
      <c r="T1409" s="252" t="s">
        <v>769</v>
      </c>
      <c r="U1409" s="296" t="s">
        <v>1858</v>
      </c>
      <c r="V1409" s="252">
        <f t="shared" si="197"/>
        <v>57.65</v>
      </c>
      <c r="W1409" s="253" t="s">
        <v>769</v>
      </c>
      <c r="X1409" s="252">
        <f t="shared" si="198"/>
        <v>461.2</v>
      </c>
      <c r="Y1409" s="316">
        <v>2</v>
      </c>
      <c r="Z1409" s="252" t="s">
        <v>769</v>
      </c>
      <c r="AA1409" s="296" t="s">
        <v>1860</v>
      </c>
      <c r="AB1409" s="252">
        <f t="shared" si="195"/>
        <v>20</v>
      </c>
      <c r="AC1409" s="252" t="s">
        <v>769</v>
      </c>
      <c r="AD1409" s="252">
        <f t="shared" si="196"/>
        <v>40</v>
      </c>
      <c r="AE1409" s="370">
        <f t="shared" si="199"/>
        <v>0</v>
      </c>
    </row>
    <row r="1410" spans="6:31" ht="24" customHeight="1">
      <c r="H1410" s="296"/>
      <c r="I1410" s="296"/>
      <c r="M1410" s="316">
        <v>6.55</v>
      </c>
      <c r="N1410" s="252" t="s">
        <v>913</v>
      </c>
      <c r="O1410" s="296" t="s">
        <v>1854</v>
      </c>
      <c r="P1410" s="252">
        <f t="shared" si="200"/>
        <v>325</v>
      </c>
      <c r="Q1410" s="252" t="s">
        <v>913</v>
      </c>
      <c r="R1410" s="252">
        <f t="shared" si="201"/>
        <v>2128.75</v>
      </c>
      <c r="S1410" s="356">
        <v>8</v>
      </c>
      <c r="T1410" s="252" t="s">
        <v>769</v>
      </c>
      <c r="U1410" s="296" t="s">
        <v>1859</v>
      </c>
      <c r="V1410" s="252">
        <f t="shared" si="197"/>
        <v>30</v>
      </c>
      <c r="W1410" s="253" t="s">
        <v>769</v>
      </c>
      <c r="X1410" s="252">
        <f t="shared" si="198"/>
        <v>240</v>
      </c>
      <c r="Y1410" s="316">
        <v>2</v>
      </c>
      <c r="Z1410" s="252" t="s">
        <v>769</v>
      </c>
      <c r="AA1410" s="296" t="s">
        <v>1861</v>
      </c>
      <c r="AB1410" s="252">
        <f t="shared" si="195"/>
        <v>15</v>
      </c>
      <c r="AC1410" s="252" t="s">
        <v>769</v>
      </c>
      <c r="AD1410" s="252">
        <f t="shared" si="196"/>
        <v>30</v>
      </c>
      <c r="AE1410" s="370">
        <f t="shared" si="199"/>
        <v>0</v>
      </c>
    </row>
    <row r="1411" spans="6:31" ht="24" customHeight="1">
      <c r="K1411" s="358" t="s">
        <v>1586</v>
      </c>
      <c r="M1411" s="316">
        <v>1.1499999999999999</v>
      </c>
      <c r="N1411" s="252" t="s">
        <v>913</v>
      </c>
      <c r="O1411" s="296" t="s">
        <v>1854</v>
      </c>
      <c r="P1411" s="252">
        <f t="shared" si="200"/>
        <v>325</v>
      </c>
      <c r="Q1411" s="252" t="s">
        <v>913</v>
      </c>
      <c r="R1411" s="252">
        <f t="shared" si="201"/>
        <v>373.75</v>
      </c>
      <c r="S1411" s="356">
        <v>8</v>
      </c>
      <c r="T1411" s="252" t="s">
        <v>769</v>
      </c>
      <c r="U1411" s="296" t="s">
        <v>1860</v>
      </c>
      <c r="V1411" s="252">
        <f t="shared" si="197"/>
        <v>20</v>
      </c>
      <c r="W1411" s="253" t="s">
        <v>769</v>
      </c>
      <c r="X1411" s="252">
        <f t="shared" si="198"/>
        <v>160</v>
      </c>
      <c r="Y1411" s="316">
        <v>0.54</v>
      </c>
      <c r="Z1411" s="252" t="s">
        <v>2283</v>
      </c>
      <c r="AA1411" s="296" t="s">
        <v>1862</v>
      </c>
      <c r="AB1411" s="252">
        <f t="shared" si="195"/>
        <v>1998</v>
      </c>
      <c r="AC1411" s="252" t="s">
        <v>2283</v>
      </c>
      <c r="AD1411" s="252">
        <f t="shared" si="196"/>
        <v>1078.92</v>
      </c>
      <c r="AE1411" s="370">
        <f t="shared" si="199"/>
        <v>0</v>
      </c>
    </row>
    <row r="1412" spans="6:31" ht="24" customHeight="1">
      <c r="H1412" s="296" t="s">
        <v>441</v>
      </c>
      <c r="K1412" s="252">
        <f>SUM(K1405:K1409)</f>
        <v>2542.48</v>
      </c>
      <c r="L1412" s="252">
        <f>SUM(K1433:K1436)</f>
        <v>2638.95</v>
      </c>
      <c r="M1412" s="316">
        <v>1.3380000000000001</v>
      </c>
      <c r="N1412" s="252" t="s">
        <v>233</v>
      </c>
      <c r="O1412" s="296" t="s">
        <v>1855</v>
      </c>
      <c r="P1412" s="252">
        <f t="shared" si="200"/>
        <v>306.89999999999998</v>
      </c>
      <c r="Q1412" s="252" t="s">
        <v>233</v>
      </c>
      <c r="R1412" s="252">
        <f t="shared" si="201"/>
        <v>410.63</v>
      </c>
      <c r="S1412" s="356">
        <v>4</v>
      </c>
      <c r="T1412" s="252" t="s">
        <v>769</v>
      </c>
      <c r="U1412" s="296" t="s">
        <v>1861</v>
      </c>
      <c r="V1412" s="252">
        <f t="shared" si="197"/>
        <v>15</v>
      </c>
      <c r="W1412" s="253" t="s">
        <v>769</v>
      </c>
      <c r="X1412" s="252">
        <f t="shared" si="198"/>
        <v>60</v>
      </c>
      <c r="AA1412" s="296" t="s">
        <v>1863</v>
      </c>
      <c r="AC1412" s="253"/>
      <c r="AD1412" s="252">
        <v>0.7</v>
      </c>
      <c r="AE1412" s="370">
        <f t="shared" si="199"/>
        <v>0</v>
      </c>
    </row>
    <row r="1413" spans="6:31" ht="24" customHeight="1">
      <c r="K1413" s="358" t="s">
        <v>1586</v>
      </c>
      <c r="M1413" s="316">
        <v>9.2720000000000002</v>
      </c>
      <c r="N1413" s="252" t="s">
        <v>826</v>
      </c>
      <c r="O1413" s="393" t="s">
        <v>4266</v>
      </c>
      <c r="P1413" s="252">
        <f t="shared" si="200"/>
        <v>29.05</v>
      </c>
      <c r="Q1413" s="252" t="s">
        <v>826</v>
      </c>
      <c r="R1413" s="252">
        <f t="shared" si="201"/>
        <v>269.35000000000002</v>
      </c>
      <c r="S1413" s="356">
        <v>3.96</v>
      </c>
      <c r="T1413" s="252" t="s">
        <v>2283</v>
      </c>
      <c r="U1413" s="296" t="s">
        <v>1862</v>
      </c>
      <c r="V1413" s="252">
        <f t="shared" si="197"/>
        <v>1998</v>
      </c>
      <c r="W1413" s="253" t="s">
        <v>2283</v>
      </c>
      <c r="X1413" s="252">
        <f t="shared" si="198"/>
        <v>7912.08</v>
      </c>
      <c r="AA1413" s="360" t="s">
        <v>3536</v>
      </c>
      <c r="AD1413" s="274">
        <f>SUM(AD1400:AD1412)</f>
        <v>3833.62</v>
      </c>
      <c r="AE1413" s="370">
        <f t="shared" si="199"/>
        <v>0</v>
      </c>
    </row>
    <row r="1414" spans="6:31" ht="24" customHeight="1">
      <c r="H1414" s="255" t="s">
        <v>552</v>
      </c>
      <c r="K1414" s="274">
        <f>(K1412/10)</f>
        <v>254.25</v>
      </c>
      <c r="M1414" s="316">
        <v>8</v>
      </c>
      <c r="N1414" s="252" t="s">
        <v>769</v>
      </c>
      <c r="O1414" s="393" t="s">
        <v>4264</v>
      </c>
      <c r="P1414" s="252">
        <f t="shared" si="200"/>
        <v>71.900000000000006</v>
      </c>
      <c r="Q1414" s="252" t="s">
        <v>769</v>
      </c>
      <c r="R1414" s="252">
        <f t="shared" si="201"/>
        <v>575.20000000000005</v>
      </c>
      <c r="U1414" s="296" t="s">
        <v>1863</v>
      </c>
      <c r="W1414" s="253"/>
      <c r="X1414" s="252">
        <v>0.09</v>
      </c>
      <c r="AE1414" s="370">
        <f t="shared" si="199"/>
        <v>0</v>
      </c>
    </row>
    <row r="1415" spans="6:31" ht="24" customHeight="1">
      <c r="K1415" s="358" t="s">
        <v>2055</v>
      </c>
      <c r="M1415" s="316">
        <v>4</v>
      </c>
      <c r="N1415" s="252" t="s">
        <v>769</v>
      </c>
      <c r="O1415" s="393" t="s">
        <v>4265</v>
      </c>
      <c r="P1415" s="252">
        <f t="shared" si="200"/>
        <v>57.65</v>
      </c>
      <c r="Q1415" s="252" t="s">
        <v>769</v>
      </c>
      <c r="R1415" s="252">
        <f t="shared" si="201"/>
        <v>230.6</v>
      </c>
      <c r="U1415" s="360" t="s">
        <v>3536</v>
      </c>
      <c r="W1415" s="253"/>
      <c r="X1415" s="274">
        <f>SUM(X1402:X1414)</f>
        <v>22899.7</v>
      </c>
      <c r="AE1415" s="370">
        <f t="shared" si="199"/>
        <v>0</v>
      </c>
    </row>
    <row r="1416" spans="6:31" ht="24" customHeight="1">
      <c r="F1416" s="253" t="s">
        <v>7</v>
      </c>
      <c r="G1416" s="252" t="s">
        <v>2251</v>
      </c>
      <c r="H1416" s="296" t="s">
        <v>8</v>
      </c>
      <c r="M1416" s="316">
        <v>4</v>
      </c>
      <c r="N1416" s="252" t="s">
        <v>769</v>
      </c>
      <c r="O1416" s="296" t="s">
        <v>1859</v>
      </c>
      <c r="P1416" s="252">
        <f t="shared" si="200"/>
        <v>30</v>
      </c>
      <c r="Q1416" s="252" t="s">
        <v>769</v>
      </c>
      <c r="R1416" s="252">
        <f t="shared" si="201"/>
        <v>120</v>
      </c>
      <c r="W1416" s="253"/>
      <c r="AA1416" s="461" t="s">
        <v>3473</v>
      </c>
      <c r="AC1416" s="296"/>
      <c r="AE1416" s="370">
        <f t="shared" si="199"/>
        <v>0</v>
      </c>
    </row>
    <row r="1417" spans="6:31" ht="24" customHeight="1">
      <c r="H1417" s="358" t="s">
        <v>1586</v>
      </c>
      <c r="M1417" s="316">
        <v>4</v>
      </c>
      <c r="N1417" s="252" t="s">
        <v>769</v>
      </c>
      <c r="O1417" s="296" t="s">
        <v>1860</v>
      </c>
      <c r="P1417" s="252">
        <f t="shared" si="200"/>
        <v>20</v>
      </c>
      <c r="Q1417" s="252" t="s">
        <v>769</v>
      </c>
      <c r="R1417" s="252">
        <f t="shared" si="201"/>
        <v>80</v>
      </c>
      <c r="W1417" s="253"/>
      <c r="Y1417" s="316">
        <f>4.2*0.775</f>
        <v>3.2549999999999999</v>
      </c>
      <c r="Z1417" s="252" t="s">
        <v>913</v>
      </c>
      <c r="AA1417" s="296" t="s">
        <v>1854</v>
      </c>
      <c r="AB1417" s="252">
        <f>AB1400</f>
        <v>325</v>
      </c>
      <c r="AC1417" s="252" t="s">
        <v>913</v>
      </c>
      <c r="AD1417" s="252">
        <f t="shared" ref="AD1417:AD1428" si="202">AB1417*Y1417</f>
        <v>1057.8800000000001</v>
      </c>
      <c r="AE1417" s="370">
        <f t="shared" si="199"/>
        <v>0</v>
      </c>
    </row>
    <row r="1418" spans="6:31" ht="24" customHeight="1">
      <c r="F1418" s="252">
        <v>0.1</v>
      </c>
      <c r="G1418" s="252" t="s">
        <v>869</v>
      </c>
      <c r="H1418" s="296" t="s">
        <v>1353</v>
      </c>
      <c r="I1418" s="252">
        <f>(K32)</f>
        <v>4479.66</v>
      </c>
      <c r="J1418" s="296" t="s">
        <v>869</v>
      </c>
      <c r="K1418" s="252">
        <f>(F1418*I1418)</f>
        <v>447.97</v>
      </c>
      <c r="M1418" s="316">
        <v>4</v>
      </c>
      <c r="N1418" s="252" t="s">
        <v>769</v>
      </c>
      <c r="O1418" s="296" t="s">
        <v>1861</v>
      </c>
      <c r="P1418" s="252">
        <f t="shared" si="200"/>
        <v>15</v>
      </c>
      <c r="Q1418" s="252" t="s">
        <v>769</v>
      </c>
      <c r="R1418" s="252">
        <f t="shared" si="201"/>
        <v>60</v>
      </c>
      <c r="U1418" s="274" t="s">
        <v>3537</v>
      </c>
      <c r="W1418" s="253"/>
      <c r="Y1418" s="316">
        <v>2.3580000000000001</v>
      </c>
      <c r="Z1418" s="252" t="s">
        <v>913</v>
      </c>
      <c r="AA1418" s="296" t="s">
        <v>1854</v>
      </c>
      <c r="AB1418" s="252">
        <f t="shared" ref="AB1418:AB1428" si="203">AB1401</f>
        <v>325</v>
      </c>
      <c r="AC1418" s="252" t="s">
        <v>913</v>
      </c>
      <c r="AD1418" s="252">
        <f t="shared" si="202"/>
        <v>766.35</v>
      </c>
      <c r="AE1418" s="370">
        <f t="shared" si="199"/>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0"/>
        <v>1998</v>
      </c>
      <c r="Q1419" s="252" t="s">
        <v>2283</v>
      </c>
      <c r="R1419" s="252">
        <f t="shared" si="201"/>
        <v>3236.76</v>
      </c>
      <c r="S1419" s="356">
        <v>4.42</v>
      </c>
      <c r="T1419" s="252" t="s">
        <v>913</v>
      </c>
      <c r="U1419" s="296" t="s">
        <v>1854</v>
      </c>
      <c r="V1419" s="252">
        <f>P1458</f>
        <v>325</v>
      </c>
      <c r="W1419" s="253" t="s">
        <v>913</v>
      </c>
      <c r="X1419" s="370">
        <f>V1419*S1419</f>
        <v>1436.5</v>
      </c>
      <c r="Y1419" s="316">
        <f>8.08*0.663</f>
        <v>5.3570000000000002</v>
      </c>
      <c r="Z1419" s="252" t="s">
        <v>913</v>
      </c>
      <c r="AA1419" s="296" t="s">
        <v>1854</v>
      </c>
      <c r="AB1419" s="252">
        <f t="shared" si="203"/>
        <v>325</v>
      </c>
      <c r="AC1419" s="252" t="s">
        <v>913</v>
      </c>
      <c r="AD1419" s="252">
        <f t="shared" si="202"/>
        <v>1741.03</v>
      </c>
      <c r="AE1419" s="370">
        <f t="shared" si="199"/>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296" t="s">
        <v>1854</v>
      </c>
      <c r="V1420" s="252">
        <f>P1459</f>
        <v>325</v>
      </c>
      <c r="W1420" s="253" t="s">
        <v>913</v>
      </c>
      <c r="X1420" s="370">
        <f t="shared" ref="X1420:X1430" si="204">V1420*S1420</f>
        <v>1534</v>
      </c>
      <c r="Y1420" s="316">
        <v>0.92600000000000005</v>
      </c>
      <c r="Z1420" s="252" t="s">
        <v>913</v>
      </c>
      <c r="AA1420" s="296" t="s">
        <v>1854</v>
      </c>
      <c r="AB1420" s="252">
        <f t="shared" si="203"/>
        <v>325</v>
      </c>
      <c r="AC1420" s="252" t="s">
        <v>913</v>
      </c>
      <c r="AD1420" s="252">
        <f t="shared" si="202"/>
        <v>300.95</v>
      </c>
      <c r="AE1420" s="370">
        <f t="shared" si="199"/>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296" t="s">
        <v>1854</v>
      </c>
      <c r="V1421" s="252">
        <f>P1460</f>
        <v>325</v>
      </c>
      <c r="W1421" s="253" t="s">
        <v>913</v>
      </c>
      <c r="X1421" s="370">
        <f t="shared" si="204"/>
        <v>2944.5</v>
      </c>
      <c r="Y1421" s="316">
        <v>0.85</v>
      </c>
      <c r="Z1421" s="252" t="s">
        <v>233</v>
      </c>
      <c r="AA1421" s="296" t="s">
        <v>1855</v>
      </c>
      <c r="AB1421" s="252">
        <f t="shared" si="203"/>
        <v>306.89999999999998</v>
      </c>
      <c r="AC1421" s="252" t="s">
        <v>233</v>
      </c>
      <c r="AD1421" s="252">
        <f t="shared" si="202"/>
        <v>260.87</v>
      </c>
      <c r="AE1421" s="370">
        <f t="shared" si="199"/>
        <v>0</v>
      </c>
    </row>
    <row r="1422" spans="6:31"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4"/>
        <v>513.5</v>
      </c>
      <c r="Y1422" s="316">
        <v>7.4720000000000004</v>
      </c>
      <c r="Z1422" s="252" t="s">
        <v>826</v>
      </c>
      <c r="AA1422" s="296" t="s">
        <v>1856</v>
      </c>
      <c r="AB1422" s="252">
        <f t="shared" si="203"/>
        <v>29.05</v>
      </c>
      <c r="AC1422" s="252" t="s">
        <v>826</v>
      </c>
      <c r="AD1422" s="252">
        <f t="shared" si="202"/>
        <v>217.06</v>
      </c>
      <c r="AE1422" s="370">
        <f t="shared" si="199"/>
        <v>0</v>
      </c>
    </row>
    <row r="1423" spans="6:31" ht="24" customHeight="1">
      <c r="K1423" s="358" t="s">
        <v>1586</v>
      </c>
      <c r="O1423" s="296"/>
      <c r="Q1423" s="253"/>
      <c r="S1423" s="356">
        <v>1.65</v>
      </c>
      <c r="T1423" s="252" t="s">
        <v>233</v>
      </c>
      <c r="U1423" s="296" t="s">
        <v>1855</v>
      </c>
      <c r="V1423" s="252">
        <f>P1429</f>
        <v>306.89999999999998</v>
      </c>
      <c r="W1423" s="253" t="s">
        <v>233</v>
      </c>
      <c r="X1423" s="370">
        <f t="shared" si="204"/>
        <v>506.39</v>
      </c>
      <c r="Y1423" s="316">
        <v>8</v>
      </c>
      <c r="Z1423" s="252" t="s">
        <v>769</v>
      </c>
      <c r="AA1423" s="296" t="s">
        <v>1857</v>
      </c>
      <c r="AB1423" s="252">
        <f t="shared" si="203"/>
        <v>71.900000000000006</v>
      </c>
      <c r="AC1423" s="252" t="s">
        <v>769</v>
      </c>
      <c r="AD1423" s="252">
        <f t="shared" si="202"/>
        <v>575.20000000000005</v>
      </c>
      <c r="AE1423" s="370">
        <f t="shared" si="199"/>
        <v>0</v>
      </c>
    </row>
    <row r="1424" spans="6:31" ht="24" customHeight="1">
      <c r="H1424" s="296" t="s">
        <v>441</v>
      </c>
      <c r="K1424" s="252">
        <f>SUM(K1418:K1422)</f>
        <v>2850.37</v>
      </c>
      <c r="O1424" s="461" t="s">
        <v>3478</v>
      </c>
      <c r="Q1424" s="296"/>
      <c r="S1424" s="356">
        <v>12.74</v>
      </c>
      <c r="T1424" s="252" t="s">
        <v>826</v>
      </c>
      <c r="U1424" s="296" t="s">
        <v>1856</v>
      </c>
      <c r="V1424" s="252">
        <f>P1463</f>
        <v>29.05</v>
      </c>
      <c r="W1424" s="253" t="s">
        <v>826</v>
      </c>
      <c r="X1424" s="370">
        <f t="shared" si="204"/>
        <v>370.1</v>
      </c>
      <c r="Y1424" s="316">
        <v>4</v>
      </c>
      <c r="Z1424" s="252" t="s">
        <v>769</v>
      </c>
      <c r="AA1424" s="296" t="s">
        <v>1858</v>
      </c>
      <c r="AB1424" s="252">
        <f t="shared" si="203"/>
        <v>57.65</v>
      </c>
      <c r="AC1424" s="252" t="s">
        <v>769</v>
      </c>
      <c r="AD1424" s="252">
        <f t="shared" si="202"/>
        <v>230.6</v>
      </c>
      <c r="AE1424" s="370">
        <f t="shared" si="199"/>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4"/>
        <v>862.8</v>
      </c>
      <c r="Y1425" s="316">
        <v>4</v>
      </c>
      <c r="Z1425" s="252" t="s">
        <v>769</v>
      </c>
      <c r="AA1425" s="296" t="s">
        <v>1859</v>
      </c>
      <c r="AB1425" s="252">
        <f t="shared" si="203"/>
        <v>30</v>
      </c>
      <c r="AC1425" s="252" t="s">
        <v>769</v>
      </c>
      <c r="AD1425" s="252">
        <f t="shared" si="202"/>
        <v>120</v>
      </c>
      <c r="AE1425" s="370">
        <f t="shared" si="199"/>
        <v>0</v>
      </c>
    </row>
    <row r="1426" spans="6:31" ht="24" customHeight="1">
      <c r="H1426" s="255" t="s">
        <v>552</v>
      </c>
      <c r="I1426" s="274"/>
      <c r="J1426" s="276"/>
      <c r="K1426" s="274">
        <f>(K1424/10)</f>
        <v>285.04000000000002</v>
      </c>
      <c r="M1426" s="316">
        <v>0.5</v>
      </c>
      <c r="N1426" s="252" t="s">
        <v>913</v>
      </c>
      <c r="O1426" s="296" t="s">
        <v>1854</v>
      </c>
      <c r="P1426" s="252">
        <f t="shared" ref="P1426:P1436" si="205">P1409</f>
        <v>325</v>
      </c>
      <c r="Q1426" s="252" t="s">
        <v>913</v>
      </c>
      <c r="R1426" s="252">
        <f t="shared" ref="R1426:R1436" si="206">P1426*M1426</f>
        <v>162.5</v>
      </c>
      <c r="S1426" s="356">
        <v>6</v>
      </c>
      <c r="T1426" s="252" t="s">
        <v>769</v>
      </c>
      <c r="U1426" s="296" t="s">
        <v>1858</v>
      </c>
      <c r="V1426" s="252">
        <f>P1465</f>
        <v>57.65</v>
      </c>
      <c r="W1426" s="253" t="s">
        <v>769</v>
      </c>
      <c r="X1426" s="370">
        <f t="shared" si="204"/>
        <v>345.9</v>
      </c>
      <c r="Y1426" s="316">
        <v>4</v>
      </c>
      <c r="Z1426" s="252" t="s">
        <v>769</v>
      </c>
      <c r="AA1426" s="296" t="s">
        <v>1860</v>
      </c>
      <c r="AB1426" s="252">
        <f t="shared" si="203"/>
        <v>20</v>
      </c>
      <c r="AC1426" s="252" t="s">
        <v>769</v>
      </c>
      <c r="AD1426" s="252">
        <f t="shared" si="202"/>
        <v>80</v>
      </c>
      <c r="AE1426" s="370">
        <f t="shared" si="199"/>
        <v>0</v>
      </c>
    </row>
    <row r="1427" spans="6:31" ht="24" customHeight="1">
      <c r="K1427" s="358" t="s">
        <v>2055</v>
      </c>
      <c r="M1427" s="316">
        <v>2.85</v>
      </c>
      <c r="N1427" s="252" t="s">
        <v>913</v>
      </c>
      <c r="O1427" s="296" t="s">
        <v>1854</v>
      </c>
      <c r="P1427" s="252">
        <f t="shared" si="205"/>
        <v>325</v>
      </c>
      <c r="Q1427" s="252" t="s">
        <v>913</v>
      </c>
      <c r="R1427" s="252">
        <f t="shared" si="206"/>
        <v>926.25</v>
      </c>
      <c r="S1427" s="356">
        <v>6</v>
      </c>
      <c r="T1427" s="252" t="s">
        <v>769</v>
      </c>
      <c r="U1427" s="296" t="s">
        <v>1859</v>
      </c>
      <c r="V1427" s="314">
        <v>30</v>
      </c>
      <c r="W1427" s="253" t="s">
        <v>769</v>
      </c>
      <c r="X1427" s="370">
        <f t="shared" si="204"/>
        <v>180</v>
      </c>
      <c r="Y1427" s="316">
        <v>4</v>
      </c>
      <c r="Z1427" s="252" t="s">
        <v>769</v>
      </c>
      <c r="AA1427" s="296" t="s">
        <v>1861</v>
      </c>
      <c r="AB1427" s="252">
        <f t="shared" si="203"/>
        <v>15</v>
      </c>
      <c r="AC1427" s="252" t="s">
        <v>769</v>
      </c>
      <c r="AD1427" s="252">
        <f t="shared" si="202"/>
        <v>60</v>
      </c>
      <c r="AE1427" s="370">
        <f t="shared" si="199"/>
        <v>0</v>
      </c>
    </row>
    <row r="1428" spans="6:31" ht="24" customHeight="1">
      <c r="M1428" s="316">
        <v>0.5</v>
      </c>
      <c r="N1428" s="252" t="s">
        <v>913</v>
      </c>
      <c r="O1428" s="296" t="s">
        <v>1854</v>
      </c>
      <c r="P1428" s="252">
        <f t="shared" si="205"/>
        <v>325</v>
      </c>
      <c r="Q1428" s="252" t="s">
        <v>913</v>
      </c>
      <c r="R1428" s="252">
        <f t="shared" si="206"/>
        <v>162.5</v>
      </c>
      <c r="S1428" s="356">
        <v>6</v>
      </c>
      <c r="T1428" s="252" t="s">
        <v>769</v>
      </c>
      <c r="U1428" s="296" t="s">
        <v>1860</v>
      </c>
      <c r="V1428" s="314">
        <v>20</v>
      </c>
      <c r="W1428" s="253" t="s">
        <v>769</v>
      </c>
      <c r="X1428" s="370">
        <f t="shared" si="204"/>
        <v>120</v>
      </c>
      <c r="Y1428" s="316">
        <v>1.08</v>
      </c>
      <c r="Z1428" s="252" t="s">
        <v>2283</v>
      </c>
      <c r="AA1428" s="296" t="s">
        <v>1862</v>
      </c>
      <c r="AB1428" s="252">
        <f t="shared" si="203"/>
        <v>1998</v>
      </c>
      <c r="AC1428" s="252" t="s">
        <v>2283</v>
      </c>
      <c r="AD1428" s="252">
        <f t="shared" si="202"/>
        <v>2157.84</v>
      </c>
      <c r="AE1428" s="370">
        <f t="shared" si="199"/>
        <v>0</v>
      </c>
    </row>
    <row r="1429" spans="6:31" ht="24" customHeight="1">
      <c r="G1429" s="252" t="s">
        <v>2251</v>
      </c>
      <c r="H1429" s="296" t="s">
        <v>842</v>
      </c>
      <c r="M1429" s="316">
        <v>0.47099999999999997</v>
      </c>
      <c r="N1429" s="252" t="s">
        <v>233</v>
      </c>
      <c r="O1429" s="296" t="s">
        <v>1855</v>
      </c>
      <c r="P1429" s="314">
        <f t="shared" si="205"/>
        <v>306.89999999999998</v>
      </c>
      <c r="Q1429" s="252" t="s">
        <v>233</v>
      </c>
      <c r="R1429" s="252">
        <f t="shared" si="206"/>
        <v>144.55000000000001</v>
      </c>
      <c r="S1429" s="356">
        <v>4</v>
      </c>
      <c r="T1429" s="252" t="s">
        <v>769</v>
      </c>
      <c r="U1429" s="296" t="s">
        <v>1861</v>
      </c>
      <c r="V1429" s="314">
        <v>15</v>
      </c>
      <c r="W1429" s="253" t="s">
        <v>769</v>
      </c>
      <c r="X1429" s="370">
        <f t="shared" si="204"/>
        <v>60</v>
      </c>
      <c r="AA1429" s="296" t="s">
        <v>1863</v>
      </c>
      <c r="AC1429" s="253"/>
      <c r="AD1429" s="252">
        <v>0.96</v>
      </c>
      <c r="AE1429" s="370">
        <f t="shared" si="199"/>
        <v>0</v>
      </c>
    </row>
    <row r="1430" spans="6:31" ht="24" customHeight="1">
      <c r="H1430" s="296" t="s">
        <v>843</v>
      </c>
      <c r="M1430" s="316">
        <v>3.996</v>
      </c>
      <c r="N1430" s="252" t="s">
        <v>826</v>
      </c>
      <c r="O1430" s="393" t="s">
        <v>4266</v>
      </c>
      <c r="P1430" s="252">
        <f t="shared" si="205"/>
        <v>29.05</v>
      </c>
      <c r="Q1430" s="252" t="s">
        <v>826</v>
      </c>
      <c r="R1430" s="252">
        <f t="shared" si="206"/>
        <v>116.08</v>
      </c>
      <c r="S1430" s="356">
        <f>1.5*1.35</f>
        <v>2.0249999999999999</v>
      </c>
      <c r="T1430" s="252" t="s">
        <v>2283</v>
      </c>
      <c r="U1430" s="296" t="s">
        <v>1862</v>
      </c>
      <c r="V1430" s="252">
        <f>P1469</f>
        <v>1998</v>
      </c>
      <c r="W1430" s="253" t="s">
        <v>2283</v>
      </c>
      <c r="X1430" s="252">
        <f t="shared" si="204"/>
        <v>4045.95</v>
      </c>
      <c r="AA1430" s="360" t="s">
        <v>3536</v>
      </c>
      <c r="AD1430" s="274">
        <f>SUM(AD1417:AD1429)</f>
        <v>7568.74</v>
      </c>
      <c r="AE1430" s="370">
        <f t="shared" si="199"/>
        <v>0</v>
      </c>
    </row>
    <row r="1431" spans="6:31" ht="24" customHeight="1">
      <c r="H1431" s="296" t="s">
        <v>844</v>
      </c>
      <c r="M1431" s="316">
        <v>4</v>
      </c>
      <c r="N1431" s="252" t="s">
        <v>769</v>
      </c>
      <c r="O1431" s="393" t="s">
        <v>4264</v>
      </c>
      <c r="P1431" s="252">
        <f t="shared" si="205"/>
        <v>71.900000000000006</v>
      </c>
      <c r="Q1431" s="252" t="s">
        <v>769</v>
      </c>
      <c r="R1431" s="252">
        <f t="shared" si="206"/>
        <v>287.60000000000002</v>
      </c>
      <c r="U1431" s="296" t="s">
        <v>1863</v>
      </c>
      <c r="W1431" s="253"/>
      <c r="X1431" s="252">
        <v>0.31</v>
      </c>
      <c r="AE1431" s="370">
        <f t="shared" si="199"/>
        <v>0</v>
      </c>
    </row>
    <row r="1432" spans="6:31" ht="24" customHeight="1">
      <c r="H1432" s="358" t="s">
        <v>1586</v>
      </c>
      <c r="M1432" s="316">
        <v>2</v>
      </c>
      <c r="N1432" s="252" t="s">
        <v>769</v>
      </c>
      <c r="O1432" s="393" t="s">
        <v>4265</v>
      </c>
      <c r="P1432" s="252">
        <f t="shared" si="205"/>
        <v>57.65</v>
      </c>
      <c r="Q1432" s="252" t="s">
        <v>769</v>
      </c>
      <c r="R1432" s="252">
        <f t="shared" si="206"/>
        <v>115.3</v>
      </c>
      <c r="U1432" s="360" t="s">
        <v>3536</v>
      </c>
      <c r="W1432" s="253"/>
      <c r="X1432" s="274">
        <f>SUM(X1419:X1431)</f>
        <v>12919.95</v>
      </c>
      <c r="AE1432" s="370">
        <f t="shared" si="199"/>
        <v>0</v>
      </c>
    </row>
    <row r="1433" spans="6:31" ht="24" customHeight="1">
      <c r="F1433" s="252">
        <v>0.14000000000000001</v>
      </c>
      <c r="G1433" s="252" t="s">
        <v>869</v>
      </c>
      <c r="H1433" s="296" t="s">
        <v>1353</v>
      </c>
      <c r="I1433" s="252">
        <f>(K32)</f>
        <v>4479.66</v>
      </c>
      <c r="J1433" s="296" t="s">
        <v>869</v>
      </c>
      <c r="K1433" s="252">
        <f>(F1433*I1433)</f>
        <v>627.15</v>
      </c>
      <c r="M1433" s="316">
        <v>2</v>
      </c>
      <c r="N1433" s="252" t="s">
        <v>769</v>
      </c>
      <c r="O1433" s="296" t="s">
        <v>1859</v>
      </c>
      <c r="P1433" s="252">
        <f t="shared" si="205"/>
        <v>30</v>
      </c>
      <c r="Q1433" s="252" t="s">
        <v>769</v>
      </c>
      <c r="R1433" s="252">
        <f t="shared" si="206"/>
        <v>60</v>
      </c>
      <c r="U1433" s="252">
        <f>2.025</f>
        <v>2.0299999999999998</v>
      </c>
      <c r="W1433" s="253"/>
      <c r="Y1433" s="356"/>
      <c r="AA1433" s="461" t="s">
        <v>3502</v>
      </c>
      <c r="AB1433" s="274" t="s">
        <v>2359</v>
      </c>
      <c r="AC1433" s="274"/>
      <c r="AD1433" s="274"/>
      <c r="AE1433" s="370">
        <f t="shared" si="199"/>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05"/>
        <v>20</v>
      </c>
      <c r="Q1434" s="252" t="s">
        <v>769</v>
      </c>
      <c r="R1434" s="252">
        <f t="shared" si="206"/>
        <v>40</v>
      </c>
      <c r="W1434" s="253"/>
      <c r="Y1434" s="356">
        <v>4.21</v>
      </c>
      <c r="Z1434" s="252" t="s">
        <v>913</v>
      </c>
      <c r="AA1434" s="296" t="s">
        <v>1854</v>
      </c>
      <c r="AB1434" s="252">
        <f>V1436</f>
        <v>325</v>
      </c>
      <c r="AC1434" s="252" t="s">
        <v>913</v>
      </c>
      <c r="AD1434" s="252">
        <f>AB1434*Y1434</f>
        <v>1368.25</v>
      </c>
      <c r="AE1434" s="370">
        <f t="shared" si="199"/>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05"/>
        <v>15</v>
      </c>
      <c r="Q1435" s="252" t="s">
        <v>769</v>
      </c>
      <c r="R1435" s="252">
        <f t="shared" si="206"/>
        <v>60</v>
      </c>
      <c r="U1435" s="461"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199"/>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05"/>
        <v>1998</v>
      </c>
      <c r="Q1436" s="252" t="s">
        <v>2283</v>
      </c>
      <c r="R1436" s="252">
        <f t="shared" si="206"/>
        <v>1214.78</v>
      </c>
      <c r="S1436" s="356">
        <v>3.7389999999999999</v>
      </c>
      <c r="T1436" s="252" t="s">
        <v>913</v>
      </c>
      <c r="U1436" s="296"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199"/>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Y1437" s="356"/>
      <c r="AA1437" s="296"/>
      <c r="AD1437" s="252">
        <f>SUM(AD1434:AD1436)</f>
        <v>2301.73</v>
      </c>
      <c r="AE1437" s="370">
        <f t="shared" si="199"/>
        <v>0</v>
      </c>
    </row>
    <row r="1438" spans="6:31" ht="24" customHeight="1">
      <c r="G1438" s="252" t="s">
        <v>449</v>
      </c>
      <c r="H1438" s="296" t="s">
        <v>450</v>
      </c>
      <c r="I1438" s="296" t="s">
        <v>975</v>
      </c>
      <c r="J1438" s="296" t="s">
        <v>449</v>
      </c>
      <c r="K1438" s="252">
        <v>5</v>
      </c>
      <c r="R1438" s="274">
        <f>SUM(R1425:R1437)</f>
        <v>4196.8900000000003</v>
      </c>
      <c r="S1438" s="356">
        <v>0.36</v>
      </c>
      <c r="T1438" s="252" t="s">
        <v>233</v>
      </c>
      <c r="U1438" s="296" t="s">
        <v>1862</v>
      </c>
      <c r="V1438" s="252">
        <f>P1477</f>
        <v>1998</v>
      </c>
      <c r="W1438" s="253" t="s">
        <v>913</v>
      </c>
      <c r="X1438" s="252">
        <f>V1438*S1438</f>
        <v>719.28</v>
      </c>
      <c r="Y1438" s="356"/>
      <c r="AA1438" s="360" t="s">
        <v>3535</v>
      </c>
      <c r="AD1438" s="274">
        <f>AD1437/Y1436</f>
        <v>5683.28</v>
      </c>
      <c r="AE1438" s="370">
        <f t="shared" si="199"/>
        <v>0</v>
      </c>
    </row>
    <row r="1439" spans="6:31" ht="24" customHeight="1">
      <c r="K1439" s="358" t="s">
        <v>1586</v>
      </c>
      <c r="O1439" s="296"/>
      <c r="Q1439" s="253"/>
      <c r="U1439" s="296"/>
      <c r="W1439" s="253"/>
      <c r="X1439" s="252">
        <f>SUM(X1436:X1438)</f>
        <v>2044.94</v>
      </c>
      <c r="AE1439" s="370">
        <f t="shared" si="199"/>
        <v>0</v>
      </c>
    </row>
    <row r="1440" spans="6:31" ht="24" customHeight="1">
      <c r="F1440" s="296" t="s">
        <v>975</v>
      </c>
      <c r="H1440" s="296" t="s">
        <v>441</v>
      </c>
      <c r="K1440" s="252">
        <f>SUM(K1433:K1438)</f>
        <v>2729.35</v>
      </c>
      <c r="O1440" s="461" t="s">
        <v>3485</v>
      </c>
      <c r="Q1440" s="296"/>
      <c r="U1440" s="360" t="s">
        <v>3535</v>
      </c>
      <c r="W1440" s="253"/>
      <c r="X1440" s="274">
        <f>X1439/S1438</f>
        <v>5680.39</v>
      </c>
      <c r="AE1440" s="370">
        <f t="shared" si="199"/>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199"/>
        <v>0</v>
      </c>
    </row>
    <row r="1442" spans="6:31" ht="24" customHeight="1">
      <c r="H1442" s="255" t="s">
        <v>552</v>
      </c>
      <c r="I1442" s="274"/>
      <c r="J1442" s="276"/>
      <c r="K1442" s="274">
        <f>(K1440/10)</f>
        <v>272.94</v>
      </c>
      <c r="M1442" s="316">
        <v>7.58</v>
      </c>
      <c r="N1442" s="252" t="s">
        <v>913</v>
      </c>
      <c r="O1442" s="296" t="s">
        <v>1854</v>
      </c>
      <c r="P1442" s="252">
        <f t="shared" ref="P1442:P1452" si="207">P1426</f>
        <v>325</v>
      </c>
      <c r="Q1442" s="252" t="s">
        <v>913</v>
      </c>
      <c r="R1442" s="252">
        <f t="shared" ref="R1442:R1452" si="208">P1442*M1442</f>
        <v>2463.5</v>
      </c>
      <c r="U1442" s="461" t="s">
        <v>3734</v>
      </c>
      <c r="V1442" s="274" t="s">
        <v>2359</v>
      </c>
      <c r="W1442" s="253"/>
      <c r="AE1442" s="370">
        <f t="shared" si="199"/>
        <v>0</v>
      </c>
    </row>
    <row r="1443" spans="6:31" ht="24" customHeight="1">
      <c r="K1443" s="358" t="s">
        <v>2055</v>
      </c>
      <c r="M1443" s="316">
        <v>13.15</v>
      </c>
      <c r="N1443" s="252" t="s">
        <v>913</v>
      </c>
      <c r="O1443" s="296" t="s">
        <v>1854</v>
      </c>
      <c r="P1443" s="252">
        <f t="shared" si="207"/>
        <v>325</v>
      </c>
      <c r="Q1443" s="252" t="s">
        <v>913</v>
      </c>
      <c r="R1443" s="252">
        <f t="shared" si="208"/>
        <v>4273.75</v>
      </c>
      <c r="S1443" s="356">
        <v>4.21</v>
      </c>
      <c r="T1443" s="252" t="s">
        <v>913</v>
      </c>
      <c r="U1443" s="296" t="s">
        <v>1854</v>
      </c>
      <c r="V1443" s="252">
        <f>P1482</f>
        <v>325</v>
      </c>
      <c r="W1443" s="253" t="s">
        <v>913</v>
      </c>
      <c r="X1443" s="252">
        <f>V1443*S1443</f>
        <v>1368.25</v>
      </c>
      <c r="AE1443" s="370">
        <f t="shared" si="199"/>
        <v>0</v>
      </c>
    </row>
    <row r="1444" spans="6:31" ht="24" customHeight="1">
      <c r="H1444" s="296" t="s">
        <v>975</v>
      </c>
      <c r="M1444" s="316">
        <v>2.31</v>
      </c>
      <c r="N1444" s="252" t="s">
        <v>913</v>
      </c>
      <c r="O1444" s="296" t="s">
        <v>1854</v>
      </c>
      <c r="P1444" s="252">
        <f t="shared" si="207"/>
        <v>325</v>
      </c>
      <c r="Q1444" s="252" t="s">
        <v>913</v>
      </c>
      <c r="R1444" s="252">
        <f t="shared" si="208"/>
        <v>750.75</v>
      </c>
      <c r="S1444" s="356">
        <v>0.45</v>
      </c>
      <c r="T1444" s="252" t="s">
        <v>233</v>
      </c>
      <c r="U1444" s="296" t="s">
        <v>1855</v>
      </c>
      <c r="V1444" s="252">
        <f>P1483</f>
        <v>306.89999999999998</v>
      </c>
      <c r="W1444" s="253" t="s">
        <v>913</v>
      </c>
      <c r="X1444" s="252">
        <f>V1444*S1444</f>
        <v>138.11000000000001</v>
      </c>
      <c r="AE1444" s="370">
        <f t="shared" si="199"/>
        <v>0</v>
      </c>
    </row>
    <row r="1445" spans="6:31" ht="24" customHeight="1">
      <c r="M1445" s="316">
        <v>2.44</v>
      </c>
      <c r="N1445" s="252" t="s">
        <v>233</v>
      </c>
      <c r="O1445" s="296" t="s">
        <v>1855</v>
      </c>
      <c r="P1445" s="314">
        <f t="shared" si="207"/>
        <v>306.89999999999998</v>
      </c>
      <c r="Q1445" s="252" t="s">
        <v>233</v>
      </c>
      <c r="R1445" s="252">
        <f t="shared" si="208"/>
        <v>748.84</v>
      </c>
      <c r="S1445" s="356">
        <v>0.45</v>
      </c>
      <c r="T1445" s="252" t="s">
        <v>233</v>
      </c>
      <c r="U1445" s="296" t="s">
        <v>1862</v>
      </c>
      <c r="V1445" s="252">
        <f>P1484</f>
        <v>1998</v>
      </c>
      <c r="W1445" s="253" t="s">
        <v>913</v>
      </c>
      <c r="X1445" s="252">
        <f>V1445*S1445</f>
        <v>899.1</v>
      </c>
      <c r="AE1445" s="370">
        <f t="shared" si="199"/>
        <v>0</v>
      </c>
    </row>
    <row r="1446" spans="6:31" ht="24" customHeight="1">
      <c r="F1446" s="253" t="s">
        <v>846</v>
      </c>
      <c r="G1446" s="252" t="s">
        <v>2251</v>
      </c>
      <c r="H1446" s="296" t="s">
        <v>847</v>
      </c>
      <c r="M1446" s="316">
        <v>18.62</v>
      </c>
      <c r="N1446" s="252" t="s">
        <v>826</v>
      </c>
      <c r="O1446" s="393" t="s">
        <v>4266</v>
      </c>
      <c r="P1446" s="252">
        <f t="shared" si="207"/>
        <v>29.05</v>
      </c>
      <c r="Q1446" s="252" t="s">
        <v>826</v>
      </c>
      <c r="R1446" s="252">
        <f t="shared" si="208"/>
        <v>540.91</v>
      </c>
      <c r="S1446" s="356">
        <f>R1485-2967</f>
        <v>1178.9000000000001</v>
      </c>
      <c r="U1446" s="296"/>
      <c r="W1446" s="253"/>
      <c r="X1446" s="252">
        <f>SUM(X1443:X1445)</f>
        <v>2405.46</v>
      </c>
      <c r="AE1446" s="370">
        <f t="shared" si="199"/>
        <v>0</v>
      </c>
    </row>
    <row r="1447" spans="6:31" ht="24" customHeight="1">
      <c r="H1447" s="296" t="s">
        <v>1360</v>
      </c>
      <c r="M1447" s="316">
        <v>16</v>
      </c>
      <c r="N1447" s="252" t="s">
        <v>769</v>
      </c>
      <c r="O1447" s="393" t="s">
        <v>4264</v>
      </c>
      <c r="P1447" s="252">
        <f t="shared" si="207"/>
        <v>71.900000000000006</v>
      </c>
      <c r="Q1447" s="252" t="s">
        <v>769</v>
      </c>
      <c r="R1447" s="252">
        <f t="shared" si="208"/>
        <v>1150.4000000000001</v>
      </c>
      <c r="U1447" s="360" t="s">
        <v>3535</v>
      </c>
      <c r="W1447" s="253"/>
      <c r="X1447" s="274">
        <f>X1446/S1445</f>
        <v>5345.47</v>
      </c>
      <c r="Y1447" s="356"/>
      <c r="AA1447" s="461" t="s">
        <v>3472</v>
      </c>
      <c r="AC1447" s="296"/>
      <c r="AE1447" s="370">
        <f t="shared" si="199"/>
        <v>0</v>
      </c>
    </row>
    <row r="1448" spans="6:31" ht="24" customHeight="1">
      <c r="H1448" s="296" t="s">
        <v>1361</v>
      </c>
      <c r="M1448" s="316">
        <v>8</v>
      </c>
      <c r="N1448" s="252" t="s">
        <v>769</v>
      </c>
      <c r="O1448" s="393" t="s">
        <v>4265</v>
      </c>
      <c r="P1448" s="252">
        <f t="shared" si="207"/>
        <v>57.65</v>
      </c>
      <c r="Q1448" s="252" t="s">
        <v>769</v>
      </c>
      <c r="R1448" s="252">
        <f t="shared" si="208"/>
        <v>461.2</v>
      </c>
      <c r="W1448" s="253"/>
      <c r="Y1448" s="356">
        <v>3.26</v>
      </c>
      <c r="Z1448" s="252" t="s">
        <v>913</v>
      </c>
      <c r="AA1448" s="296" t="s">
        <v>1854</v>
      </c>
      <c r="AB1448" s="252">
        <f t="shared" ref="AB1448:AB1459" si="209">V1450</f>
        <v>325</v>
      </c>
      <c r="AC1448" s="252" t="s">
        <v>913</v>
      </c>
      <c r="AD1448" s="252">
        <f t="shared" ref="AD1448:AD1459" si="210">AB1448*Y1448</f>
        <v>1059.5</v>
      </c>
      <c r="AE1448" s="370">
        <f t="shared" si="199"/>
        <v>0</v>
      </c>
    </row>
    <row r="1449" spans="6:31" ht="24" customHeight="1">
      <c r="H1449" s="296" t="s">
        <v>698</v>
      </c>
      <c r="M1449" s="316">
        <v>8</v>
      </c>
      <c r="N1449" s="252" t="s">
        <v>769</v>
      </c>
      <c r="O1449" s="296" t="s">
        <v>1859</v>
      </c>
      <c r="P1449" s="252">
        <f t="shared" si="207"/>
        <v>30</v>
      </c>
      <c r="Q1449" s="252" t="s">
        <v>769</v>
      </c>
      <c r="R1449" s="252">
        <f t="shared" si="208"/>
        <v>240</v>
      </c>
      <c r="U1449" s="461" t="s">
        <v>3471</v>
      </c>
      <c r="W1449" s="253"/>
      <c r="Y1449" s="356">
        <v>0.84</v>
      </c>
      <c r="Z1449" s="252" t="s">
        <v>913</v>
      </c>
      <c r="AA1449" s="296" t="s">
        <v>1854</v>
      </c>
      <c r="AB1449" s="252">
        <f t="shared" si="209"/>
        <v>325</v>
      </c>
      <c r="AC1449" s="252" t="s">
        <v>913</v>
      </c>
      <c r="AD1449" s="252">
        <f t="shared" si="210"/>
        <v>273</v>
      </c>
      <c r="AE1449" s="370">
        <f t="shared" si="199"/>
        <v>0</v>
      </c>
    </row>
    <row r="1450" spans="6:31" ht="24" customHeight="1">
      <c r="H1450" s="358" t="s">
        <v>1586</v>
      </c>
      <c r="I1450" s="358" t="s">
        <v>1586</v>
      </c>
      <c r="M1450" s="316">
        <v>8</v>
      </c>
      <c r="N1450" s="252" t="s">
        <v>769</v>
      </c>
      <c r="O1450" s="296" t="s">
        <v>1860</v>
      </c>
      <c r="P1450" s="252">
        <f t="shared" si="207"/>
        <v>20</v>
      </c>
      <c r="Q1450" s="252" t="s">
        <v>769</v>
      </c>
      <c r="R1450" s="252">
        <f t="shared" si="208"/>
        <v>160</v>
      </c>
      <c r="S1450" s="356">
        <v>3.49</v>
      </c>
      <c r="T1450" s="252" t="s">
        <v>913</v>
      </c>
      <c r="U1450" s="296" t="s">
        <v>1854</v>
      </c>
      <c r="V1450" s="252">
        <f>P1489</f>
        <v>325</v>
      </c>
      <c r="W1450" s="253" t="s">
        <v>913</v>
      </c>
      <c r="X1450" s="252">
        <f>V1450*S1450</f>
        <v>1134.25</v>
      </c>
      <c r="Y1450" s="356">
        <v>3.65</v>
      </c>
      <c r="Z1450" s="252" t="s">
        <v>913</v>
      </c>
      <c r="AA1450" s="296" t="s">
        <v>1854</v>
      </c>
      <c r="AB1450" s="252">
        <f t="shared" si="209"/>
        <v>325</v>
      </c>
      <c r="AC1450" s="252" t="s">
        <v>913</v>
      </c>
      <c r="AD1450" s="252">
        <f t="shared" si="210"/>
        <v>1186.25</v>
      </c>
      <c r="AE1450" s="370">
        <f t="shared" si="199"/>
        <v>0</v>
      </c>
    </row>
    <row r="1451" spans="6:31" ht="24" customHeight="1">
      <c r="G1451" s="252" t="s">
        <v>1907</v>
      </c>
      <c r="H1451" s="296" t="s">
        <v>699</v>
      </c>
      <c r="M1451" s="316">
        <v>4</v>
      </c>
      <c r="N1451" s="252" t="s">
        <v>769</v>
      </c>
      <c r="O1451" s="296" t="s">
        <v>1861</v>
      </c>
      <c r="P1451" s="252">
        <f t="shared" si="207"/>
        <v>15</v>
      </c>
      <c r="Q1451" s="252" t="s">
        <v>769</v>
      </c>
      <c r="R1451" s="252">
        <f t="shared" si="208"/>
        <v>60</v>
      </c>
      <c r="S1451" s="356">
        <v>2.5299999999999998</v>
      </c>
      <c r="T1451" s="252" t="s">
        <v>913</v>
      </c>
      <c r="U1451" s="296" t="s">
        <v>1854</v>
      </c>
      <c r="V1451" s="252">
        <f t="shared" ref="V1451:V1461" si="211">P1490</f>
        <v>325</v>
      </c>
      <c r="W1451" s="253" t="s">
        <v>913</v>
      </c>
      <c r="X1451" s="252">
        <f t="shared" ref="X1451:X1461" si="212">V1451*S1451</f>
        <v>822.25</v>
      </c>
      <c r="Y1451" s="356">
        <v>0.64</v>
      </c>
      <c r="Z1451" s="252" t="s">
        <v>913</v>
      </c>
      <c r="AA1451" s="296" t="s">
        <v>1854</v>
      </c>
      <c r="AB1451" s="252">
        <f t="shared" si="209"/>
        <v>325</v>
      </c>
      <c r="AC1451" s="252" t="s">
        <v>913</v>
      </c>
      <c r="AD1451" s="252">
        <f t="shared" si="210"/>
        <v>208</v>
      </c>
      <c r="AE1451" s="370">
        <f t="shared" si="199"/>
        <v>0</v>
      </c>
    </row>
    <row r="1452" spans="6:31" ht="24" customHeight="1">
      <c r="G1452" s="252" t="s">
        <v>1586</v>
      </c>
      <c r="H1452" s="358" t="s">
        <v>1586</v>
      </c>
      <c r="M1452" s="316">
        <f>1.8*1.65</f>
        <v>2.97</v>
      </c>
      <c r="N1452" s="252" t="s">
        <v>2283</v>
      </c>
      <c r="O1452" s="296" t="s">
        <v>1862</v>
      </c>
      <c r="P1452" s="252">
        <f t="shared" si="207"/>
        <v>1998</v>
      </c>
      <c r="Q1452" s="252" t="s">
        <v>2283</v>
      </c>
      <c r="R1452" s="252">
        <f t="shared" si="208"/>
        <v>5934.06</v>
      </c>
      <c r="S1452" s="356">
        <v>5.7549999999999999</v>
      </c>
      <c r="T1452" s="252" t="s">
        <v>913</v>
      </c>
      <c r="U1452" s="296" t="s">
        <v>1854</v>
      </c>
      <c r="V1452" s="252">
        <f t="shared" si="211"/>
        <v>325</v>
      </c>
      <c r="W1452" s="253" t="s">
        <v>913</v>
      </c>
      <c r="X1452" s="252">
        <f t="shared" si="212"/>
        <v>1870.38</v>
      </c>
      <c r="Y1452" s="356">
        <v>0.84099999999999997</v>
      </c>
      <c r="Z1452" s="252" t="s">
        <v>233</v>
      </c>
      <c r="AA1452" s="296" t="s">
        <v>1855</v>
      </c>
      <c r="AB1452" s="252">
        <f t="shared" si="209"/>
        <v>306.89999999999998</v>
      </c>
      <c r="AC1452" s="252" t="s">
        <v>233</v>
      </c>
      <c r="AD1452" s="252">
        <f t="shared" si="210"/>
        <v>258.10000000000002</v>
      </c>
      <c r="AE1452" s="370">
        <f t="shared" si="199"/>
        <v>0</v>
      </c>
    </row>
    <row r="1453" spans="6:31" ht="24" customHeight="1">
      <c r="F1453" s="316">
        <v>1.4E-2</v>
      </c>
      <c r="G1453" s="252" t="s">
        <v>2151</v>
      </c>
      <c r="H1453" s="296" t="s">
        <v>700</v>
      </c>
      <c r="I1453" s="252">
        <f>K49</f>
        <v>3319.98</v>
      </c>
      <c r="J1453" s="296" t="s">
        <v>2151</v>
      </c>
      <c r="K1453" s="252">
        <f>(F1453*I1453)</f>
        <v>46.48</v>
      </c>
      <c r="O1453" s="296" t="s">
        <v>1863</v>
      </c>
      <c r="Q1453" s="253"/>
      <c r="R1453" s="252">
        <v>0.78</v>
      </c>
      <c r="S1453" s="356">
        <v>1.0009999999999999</v>
      </c>
      <c r="T1453" s="252" t="s">
        <v>913</v>
      </c>
      <c r="U1453" s="296" t="s">
        <v>1854</v>
      </c>
      <c r="V1453" s="252">
        <f t="shared" si="211"/>
        <v>325</v>
      </c>
      <c r="W1453" s="253" t="s">
        <v>913</v>
      </c>
      <c r="X1453" s="252">
        <f t="shared" si="212"/>
        <v>325.33</v>
      </c>
      <c r="Y1453" s="356">
        <v>5.1959999999999997</v>
      </c>
      <c r="Z1453" s="252" t="s">
        <v>826</v>
      </c>
      <c r="AA1453" s="296" t="s">
        <v>1856</v>
      </c>
      <c r="AB1453" s="252">
        <f t="shared" si="209"/>
        <v>29.05</v>
      </c>
      <c r="AC1453" s="252" t="s">
        <v>826</v>
      </c>
      <c r="AD1453" s="252">
        <f t="shared" si="210"/>
        <v>150.94</v>
      </c>
      <c r="AE1453" s="370">
        <f t="shared" si="199"/>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296" t="s">
        <v>1855</v>
      </c>
      <c r="V1454" s="252">
        <f t="shared" si="211"/>
        <v>306.89999999999998</v>
      </c>
      <c r="W1454" s="253" t="s">
        <v>233</v>
      </c>
      <c r="X1454" s="252">
        <f t="shared" si="212"/>
        <v>310.58</v>
      </c>
      <c r="Y1454" s="356">
        <v>4</v>
      </c>
      <c r="Z1454" s="252" t="s">
        <v>769</v>
      </c>
      <c r="AA1454" s="296" t="s">
        <v>1857</v>
      </c>
      <c r="AB1454" s="252">
        <f t="shared" si="209"/>
        <v>71.900000000000006</v>
      </c>
      <c r="AC1454" s="252" t="s">
        <v>769</v>
      </c>
      <c r="AD1454" s="252">
        <f t="shared" si="210"/>
        <v>287.60000000000002</v>
      </c>
      <c r="AE1454" s="370">
        <f t="shared" si="199"/>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296" t="s">
        <v>1856</v>
      </c>
      <c r="V1455" s="252">
        <f t="shared" si="211"/>
        <v>29.05</v>
      </c>
      <c r="W1455" s="253" t="s">
        <v>826</v>
      </c>
      <c r="X1455" s="252">
        <f t="shared" si="212"/>
        <v>0</v>
      </c>
      <c r="Y1455" s="356">
        <v>2</v>
      </c>
      <c r="Z1455" s="252" t="s">
        <v>769</v>
      </c>
      <c r="AA1455" s="296" t="s">
        <v>1858</v>
      </c>
      <c r="AB1455" s="252">
        <f t="shared" si="209"/>
        <v>57.65</v>
      </c>
      <c r="AC1455" s="252" t="s">
        <v>769</v>
      </c>
      <c r="AD1455" s="252">
        <f t="shared" si="210"/>
        <v>115.3</v>
      </c>
      <c r="AE1455" s="370">
        <f t="shared" si="199"/>
        <v>0</v>
      </c>
    </row>
    <row r="1456" spans="6:31" ht="24" customHeight="1">
      <c r="G1456" s="252" t="s">
        <v>449</v>
      </c>
      <c r="H1456" s="296" t="s">
        <v>2271</v>
      </c>
      <c r="J1456" s="296" t="s">
        <v>449</v>
      </c>
      <c r="K1456" s="252">
        <v>0</v>
      </c>
      <c r="S1456" s="356">
        <v>8</v>
      </c>
      <c r="T1456" s="252" t="s">
        <v>769</v>
      </c>
      <c r="U1456" s="296" t="s">
        <v>1857</v>
      </c>
      <c r="V1456" s="252">
        <f t="shared" si="211"/>
        <v>71.900000000000006</v>
      </c>
      <c r="W1456" s="253" t="s">
        <v>769</v>
      </c>
      <c r="X1456" s="252">
        <f t="shared" si="212"/>
        <v>575.20000000000005</v>
      </c>
      <c r="Y1456" s="356">
        <v>2</v>
      </c>
      <c r="Z1456" s="252" t="s">
        <v>769</v>
      </c>
      <c r="AA1456" s="296" t="s">
        <v>1859</v>
      </c>
      <c r="AB1456" s="252">
        <f t="shared" si="209"/>
        <v>30</v>
      </c>
      <c r="AC1456" s="252" t="s">
        <v>769</v>
      </c>
      <c r="AD1456" s="252">
        <f t="shared" si="210"/>
        <v>60</v>
      </c>
      <c r="AE1456" s="370">
        <f t="shared" si="199"/>
        <v>0</v>
      </c>
    </row>
    <row r="1457" spans="6:31" ht="24" customHeight="1">
      <c r="K1457" s="358" t="s">
        <v>1586</v>
      </c>
      <c r="O1457" s="461" t="s">
        <v>2829</v>
      </c>
      <c r="Q1457" s="296"/>
      <c r="S1457" s="356">
        <v>4</v>
      </c>
      <c r="T1457" s="252" t="s">
        <v>769</v>
      </c>
      <c r="U1457" s="296" t="s">
        <v>1858</v>
      </c>
      <c r="V1457" s="252">
        <f t="shared" si="211"/>
        <v>57.65</v>
      </c>
      <c r="W1457" s="253" t="s">
        <v>769</v>
      </c>
      <c r="X1457" s="252">
        <f t="shared" si="212"/>
        <v>230.6</v>
      </c>
      <c r="Y1457" s="356">
        <v>2</v>
      </c>
      <c r="Z1457" s="252" t="s">
        <v>769</v>
      </c>
      <c r="AA1457" s="296" t="s">
        <v>1860</v>
      </c>
      <c r="AB1457" s="252">
        <f t="shared" si="209"/>
        <v>20</v>
      </c>
      <c r="AC1457" s="252" t="s">
        <v>769</v>
      </c>
      <c r="AD1457" s="252">
        <f t="shared" si="210"/>
        <v>40</v>
      </c>
      <c r="AE1457" s="370">
        <f t="shared" si="199"/>
        <v>0</v>
      </c>
    </row>
    <row r="1458" spans="6:31" ht="24" customHeight="1">
      <c r="H1458" s="253" t="s">
        <v>702</v>
      </c>
      <c r="K1458" s="252">
        <f>SUM(K1453:K1456)</f>
        <v>541.48</v>
      </c>
      <c r="M1458" s="316">
        <v>10.75</v>
      </c>
      <c r="N1458" s="252" t="s">
        <v>913</v>
      </c>
      <c r="O1458" s="393" t="s">
        <v>4263</v>
      </c>
      <c r="P1458" s="252">
        <f>P1441</f>
        <v>325</v>
      </c>
      <c r="Q1458" s="252" t="s">
        <v>913</v>
      </c>
      <c r="R1458" s="252">
        <f>P1458*M1458</f>
        <v>3493.75</v>
      </c>
      <c r="S1458" s="356">
        <v>4</v>
      </c>
      <c r="T1458" s="252" t="s">
        <v>769</v>
      </c>
      <c r="U1458" s="296" t="s">
        <v>1859</v>
      </c>
      <c r="V1458" s="252">
        <f t="shared" si="211"/>
        <v>30</v>
      </c>
      <c r="W1458" s="253" t="s">
        <v>769</v>
      </c>
      <c r="X1458" s="252">
        <f t="shared" si="212"/>
        <v>120</v>
      </c>
      <c r="Y1458" s="356">
        <v>4</v>
      </c>
      <c r="Z1458" s="252" t="s">
        <v>769</v>
      </c>
      <c r="AA1458" s="296" t="s">
        <v>1861</v>
      </c>
      <c r="AB1458" s="252">
        <f t="shared" si="209"/>
        <v>15</v>
      </c>
      <c r="AC1458" s="252" t="s">
        <v>769</v>
      </c>
      <c r="AD1458" s="252">
        <f t="shared" si="210"/>
        <v>60</v>
      </c>
      <c r="AE1458" s="370">
        <f t="shared" si="199"/>
        <v>0</v>
      </c>
    </row>
    <row r="1459" spans="6:31" ht="24" customHeight="1">
      <c r="K1459" s="358" t="s">
        <v>1586</v>
      </c>
      <c r="M1459" s="316">
        <v>0.99199999999999999</v>
      </c>
      <c r="N1459" s="252" t="s">
        <v>913</v>
      </c>
      <c r="O1459" s="296" t="s">
        <v>1854</v>
      </c>
      <c r="P1459" s="252">
        <f t="shared" ref="P1459:P1469" si="213">P1442</f>
        <v>325</v>
      </c>
      <c r="Q1459" s="252" t="s">
        <v>913</v>
      </c>
      <c r="R1459" s="252">
        <f t="shared" ref="R1459:R1469" si="214">P1459*M1459</f>
        <v>322.39999999999998</v>
      </c>
      <c r="S1459" s="356">
        <v>4</v>
      </c>
      <c r="T1459" s="252" t="s">
        <v>769</v>
      </c>
      <c r="U1459" s="296" t="s">
        <v>1860</v>
      </c>
      <c r="V1459" s="252">
        <f t="shared" si="211"/>
        <v>20</v>
      </c>
      <c r="W1459" s="253" t="s">
        <v>769</v>
      </c>
      <c r="X1459" s="252">
        <f t="shared" si="212"/>
        <v>80</v>
      </c>
      <c r="Y1459" s="356">
        <v>1.01</v>
      </c>
      <c r="Z1459" s="252" t="s">
        <v>2283</v>
      </c>
      <c r="AA1459" s="296" t="s">
        <v>1862</v>
      </c>
      <c r="AB1459" s="252">
        <f t="shared" si="209"/>
        <v>1998</v>
      </c>
      <c r="AC1459" s="252" t="s">
        <v>2283</v>
      </c>
      <c r="AD1459" s="252">
        <f t="shared" si="210"/>
        <v>2017.98</v>
      </c>
      <c r="AE1459" s="370">
        <f t="shared" si="199"/>
        <v>0</v>
      </c>
    </row>
    <row r="1460" spans="6:31" ht="24" customHeight="1">
      <c r="H1460" s="255" t="s">
        <v>703</v>
      </c>
      <c r="I1460" s="274"/>
      <c r="J1460" s="276"/>
      <c r="K1460" s="274">
        <f>K1458/6.77</f>
        <v>79.98</v>
      </c>
      <c r="M1460" s="316">
        <v>0</v>
      </c>
      <c r="N1460" s="252" t="s">
        <v>913</v>
      </c>
      <c r="O1460" s="296" t="s">
        <v>1854</v>
      </c>
      <c r="P1460" s="252">
        <f t="shared" si="213"/>
        <v>325</v>
      </c>
      <c r="Q1460" s="252" t="s">
        <v>913</v>
      </c>
      <c r="R1460" s="252">
        <f t="shared" si="214"/>
        <v>0</v>
      </c>
      <c r="S1460" s="356">
        <v>4</v>
      </c>
      <c r="T1460" s="252" t="s">
        <v>769</v>
      </c>
      <c r="U1460" s="296" t="s">
        <v>1861</v>
      </c>
      <c r="V1460" s="252">
        <f t="shared" si="211"/>
        <v>15</v>
      </c>
      <c r="W1460" s="253" t="s">
        <v>769</v>
      </c>
      <c r="X1460" s="252">
        <f t="shared" si="212"/>
        <v>60</v>
      </c>
      <c r="Y1460" s="356"/>
      <c r="AA1460" s="296" t="s">
        <v>1863</v>
      </c>
      <c r="AC1460" s="253"/>
      <c r="AD1460" s="252">
        <v>0.84</v>
      </c>
      <c r="AE1460" s="370">
        <f t="shared" si="199"/>
        <v>0</v>
      </c>
    </row>
    <row r="1461" spans="6:31" ht="24" customHeight="1">
      <c r="F1461" s="296" t="s">
        <v>975</v>
      </c>
      <c r="M1461" s="316">
        <v>0</v>
      </c>
      <c r="N1461" s="252" t="s">
        <v>913</v>
      </c>
      <c r="O1461" s="296" t="s">
        <v>1854</v>
      </c>
      <c r="P1461" s="252">
        <f t="shared" si="213"/>
        <v>325</v>
      </c>
      <c r="Q1461" s="252" t="s">
        <v>913</v>
      </c>
      <c r="R1461" s="252">
        <f t="shared" si="214"/>
        <v>0</v>
      </c>
      <c r="S1461" s="356">
        <v>1.26</v>
      </c>
      <c r="T1461" s="252" t="s">
        <v>2283</v>
      </c>
      <c r="U1461" s="296" t="s">
        <v>1862</v>
      </c>
      <c r="V1461" s="252">
        <f t="shared" si="211"/>
        <v>1998</v>
      </c>
      <c r="W1461" s="253" t="s">
        <v>2283</v>
      </c>
      <c r="X1461" s="252">
        <f t="shared" si="212"/>
        <v>2517.48</v>
      </c>
      <c r="Y1461" s="356"/>
      <c r="AA1461" s="360" t="s">
        <v>3536</v>
      </c>
      <c r="AD1461" s="274">
        <f>SUM(AD1448:AD1460)</f>
        <v>5717.51</v>
      </c>
      <c r="AE1461" s="370">
        <f t="shared" si="199"/>
        <v>0</v>
      </c>
    </row>
    <row r="1462" spans="6:31" ht="24" customHeight="1">
      <c r="K1462" s="358" t="s">
        <v>2055</v>
      </c>
      <c r="M1462" s="316">
        <v>1.89</v>
      </c>
      <c r="N1462" s="252" t="s">
        <v>233</v>
      </c>
      <c r="O1462" s="296" t="s">
        <v>1855</v>
      </c>
      <c r="P1462" s="314">
        <f t="shared" si="213"/>
        <v>306.89999999999998</v>
      </c>
      <c r="Q1462" s="252" t="s">
        <v>233</v>
      </c>
      <c r="R1462" s="252">
        <f t="shared" si="214"/>
        <v>580.04</v>
      </c>
      <c r="U1462" s="296" t="s">
        <v>1863</v>
      </c>
      <c r="W1462" s="253"/>
      <c r="X1462" s="252">
        <v>0.14000000000000001</v>
      </c>
      <c r="AE1462" s="370">
        <f t="shared" si="199"/>
        <v>0</v>
      </c>
    </row>
    <row r="1463" spans="6:31" ht="24" customHeight="1">
      <c r="G1463" s="252" t="s">
        <v>520</v>
      </c>
      <c r="H1463" s="296" t="s">
        <v>704</v>
      </c>
      <c r="M1463" s="316">
        <v>8</v>
      </c>
      <c r="N1463" s="252" t="s">
        <v>826</v>
      </c>
      <c r="O1463" s="393" t="s">
        <v>4266</v>
      </c>
      <c r="P1463" s="252">
        <f t="shared" si="213"/>
        <v>29.05</v>
      </c>
      <c r="Q1463" s="252" t="s">
        <v>826</v>
      </c>
      <c r="R1463" s="252">
        <f t="shared" si="214"/>
        <v>232.4</v>
      </c>
      <c r="U1463" s="360" t="s">
        <v>3536</v>
      </c>
      <c r="W1463" s="253"/>
      <c r="X1463" s="274">
        <f>SUM(X1450:X1462)</f>
        <v>8046.21</v>
      </c>
      <c r="AE1463" s="370">
        <f t="shared" si="199"/>
        <v>0</v>
      </c>
    </row>
    <row r="1464" spans="6:31" ht="24" customHeight="1">
      <c r="G1464" s="252" t="s">
        <v>1586</v>
      </c>
      <c r="H1464" s="358" t="s">
        <v>1586</v>
      </c>
      <c r="M1464" s="316">
        <v>0</v>
      </c>
      <c r="N1464" s="252" t="s">
        <v>769</v>
      </c>
      <c r="O1464" s="393" t="s">
        <v>4264</v>
      </c>
      <c r="P1464" s="252">
        <f t="shared" si="213"/>
        <v>71.900000000000006</v>
      </c>
      <c r="Q1464" s="252" t="s">
        <v>769</v>
      </c>
      <c r="R1464" s="252">
        <f t="shared" si="214"/>
        <v>0</v>
      </c>
      <c r="W1464" s="253"/>
      <c r="AE1464" s="370">
        <f t="shared" si="199"/>
        <v>0</v>
      </c>
    </row>
    <row r="1465" spans="6:31" ht="24" customHeight="1">
      <c r="F1465" s="316">
        <v>7.0000000000000001E-3</v>
      </c>
      <c r="G1465" s="252" t="s">
        <v>2151</v>
      </c>
      <c r="H1465" s="296" t="s">
        <v>700</v>
      </c>
      <c r="I1465" s="252">
        <f>K49</f>
        <v>3319.98</v>
      </c>
      <c r="J1465" s="296" t="s">
        <v>2151</v>
      </c>
      <c r="K1465" s="252">
        <f>(F1465*I1465)</f>
        <v>23.24</v>
      </c>
      <c r="M1465" s="316">
        <v>0</v>
      </c>
      <c r="N1465" s="252" t="s">
        <v>769</v>
      </c>
      <c r="O1465" s="393" t="s">
        <v>4265</v>
      </c>
      <c r="P1465" s="252">
        <f t="shared" si="213"/>
        <v>57.65</v>
      </c>
      <c r="Q1465" s="252" t="s">
        <v>769</v>
      </c>
      <c r="R1465" s="252">
        <f t="shared" si="214"/>
        <v>0</v>
      </c>
      <c r="W1465" s="253"/>
      <c r="AE1465" s="370">
        <f t="shared" si="199"/>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13"/>
        <v>30</v>
      </c>
      <c r="Q1466" s="252" t="s">
        <v>769</v>
      </c>
      <c r="R1466" s="252">
        <f t="shared" si="214"/>
        <v>0</v>
      </c>
      <c r="U1466" s="461" t="s">
        <v>2358</v>
      </c>
      <c r="V1466" s="274" t="s">
        <v>2359</v>
      </c>
      <c r="W1466" s="253"/>
      <c r="AE1466" s="370">
        <f t="shared" si="199"/>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13"/>
        <v>20</v>
      </c>
      <c r="Q1467" s="252" t="s">
        <v>769</v>
      </c>
      <c r="R1467" s="252">
        <f t="shared" si="214"/>
        <v>0</v>
      </c>
      <c r="S1467" s="356">
        <v>6.81</v>
      </c>
      <c r="T1467" s="252" t="s">
        <v>913</v>
      </c>
      <c r="U1467" s="296" t="s">
        <v>1854</v>
      </c>
      <c r="V1467" s="252">
        <f>V1443</f>
        <v>325</v>
      </c>
      <c r="W1467" s="253" t="s">
        <v>913</v>
      </c>
      <c r="X1467" s="252">
        <f>V1467*S1467</f>
        <v>2213.25</v>
      </c>
      <c r="AE1467" s="370">
        <f t="shared" si="199"/>
        <v>0</v>
      </c>
    </row>
    <row r="1468" spans="6:31" ht="24" customHeight="1">
      <c r="H1468" s="296" t="s">
        <v>2271</v>
      </c>
      <c r="K1468" s="252">
        <v>0</v>
      </c>
      <c r="M1468" s="316">
        <v>0</v>
      </c>
      <c r="N1468" s="252" t="s">
        <v>769</v>
      </c>
      <c r="O1468" s="296" t="s">
        <v>1861</v>
      </c>
      <c r="P1468" s="252">
        <f t="shared" si="213"/>
        <v>15</v>
      </c>
      <c r="Q1468" s="252" t="s">
        <v>769</v>
      </c>
      <c r="R1468" s="252">
        <f t="shared" si="214"/>
        <v>0</v>
      </c>
      <c r="S1468" s="356">
        <v>0.77100000000000002</v>
      </c>
      <c r="T1468" s="252" t="s">
        <v>233</v>
      </c>
      <c r="U1468" s="296" t="s">
        <v>1855</v>
      </c>
      <c r="V1468" s="252">
        <f>V1444</f>
        <v>306.89999999999998</v>
      </c>
      <c r="W1468" s="253" t="s">
        <v>913</v>
      </c>
      <c r="X1468" s="252">
        <f>V1468*S1468</f>
        <v>236.62</v>
      </c>
      <c r="AE1468" s="370">
        <f t="shared" si="199"/>
        <v>0</v>
      </c>
    </row>
    <row r="1469" spans="6:31" ht="24" customHeight="1">
      <c r="K1469" s="358" t="s">
        <v>1586</v>
      </c>
      <c r="M1469" s="316">
        <v>1.89</v>
      </c>
      <c r="N1469" s="252" t="s">
        <v>2283</v>
      </c>
      <c r="O1469" s="296" t="s">
        <v>1862</v>
      </c>
      <c r="P1469" s="252">
        <f t="shared" si="213"/>
        <v>1998</v>
      </c>
      <c r="Q1469" s="252" t="s">
        <v>2283</v>
      </c>
      <c r="R1469" s="252">
        <f t="shared" si="214"/>
        <v>3776.22</v>
      </c>
      <c r="S1469" s="356">
        <v>0.77100000000000002</v>
      </c>
      <c r="T1469" s="252" t="s">
        <v>233</v>
      </c>
      <c r="U1469" s="296" t="s">
        <v>1862</v>
      </c>
      <c r="V1469" s="252">
        <f>V1445</f>
        <v>1998</v>
      </c>
      <c r="W1469" s="253" t="s">
        <v>913</v>
      </c>
      <c r="X1469" s="252">
        <f>V1469*S1469</f>
        <v>1540.46</v>
      </c>
      <c r="AE1469" s="370">
        <f t="shared" si="199"/>
        <v>0</v>
      </c>
    </row>
    <row r="1470" spans="6:31" ht="24" customHeight="1">
      <c r="H1470" s="253" t="s">
        <v>702</v>
      </c>
      <c r="K1470" s="252">
        <f>SUM(K1465:K1468)</f>
        <v>353.24</v>
      </c>
      <c r="O1470" s="296" t="s">
        <v>1863</v>
      </c>
      <c r="Q1470" s="253"/>
      <c r="R1470" s="252">
        <v>0.28000000000000003</v>
      </c>
      <c r="U1470" s="296"/>
      <c r="W1470" s="253"/>
      <c r="X1470" s="252">
        <f>SUM(X1467:X1469)</f>
        <v>3990.33</v>
      </c>
      <c r="AE1470" s="370">
        <f t="shared" ref="AE1470:AE1533" si="215">AG1470</f>
        <v>0</v>
      </c>
    </row>
    <row r="1471" spans="6:31" ht="24" customHeight="1">
      <c r="K1471" s="358" t="s">
        <v>1586</v>
      </c>
      <c r="R1471" s="274">
        <f>SUM(R1458:R1470)</f>
        <v>8405.09</v>
      </c>
      <c r="U1471" s="360" t="s">
        <v>3535</v>
      </c>
      <c r="W1471" s="253"/>
      <c r="X1471" s="274">
        <f>X1470/S1469</f>
        <v>5175.53</v>
      </c>
      <c r="AE1471" s="370">
        <f t="shared" si="215"/>
        <v>0</v>
      </c>
    </row>
    <row r="1472" spans="6:31" ht="24" customHeight="1">
      <c r="H1472" s="255" t="s">
        <v>703</v>
      </c>
      <c r="I1472" s="274"/>
      <c r="J1472" s="276"/>
      <c r="K1472" s="274">
        <f>K1470/6.77</f>
        <v>52.18</v>
      </c>
      <c r="W1472" s="253"/>
      <c r="AE1472" s="370">
        <f t="shared" si="215"/>
        <v>0</v>
      </c>
    </row>
    <row r="1473" spans="6:31" ht="24" customHeight="1">
      <c r="K1473" s="358" t="s">
        <v>2055</v>
      </c>
      <c r="W1473" s="253"/>
      <c r="AE1473" s="370">
        <f t="shared" si="215"/>
        <v>0</v>
      </c>
    </row>
    <row r="1474" spans="6:31" ht="24" customHeight="1">
      <c r="K1474" s="358"/>
      <c r="O1474" s="461" t="s">
        <v>2830</v>
      </c>
      <c r="P1474" s="1094" t="s">
        <v>2359</v>
      </c>
      <c r="Q1474" s="1094"/>
      <c r="R1474" s="1094"/>
      <c r="S1474" s="1095"/>
      <c r="T1474" s="1095"/>
      <c r="U1474" s="1095"/>
      <c r="V1474" s="479"/>
      <c r="W1474" s="479"/>
      <c r="AE1474" s="370">
        <f t="shared" si="215"/>
        <v>0</v>
      </c>
    </row>
    <row r="1475" spans="6:31" ht="24" customHeight="1">
      <c r="K1475" s="358"/>
      <c r="M1475" s="316">
        <v>4.67</v>
      </c>
      <c r="N1475" s="252" t="s">
        <v>913</v>
      </c>
      <c r="O1475" s="393" t="s">
        <v>4263</v>
      </c>
      <c r="P1475" s="252">
        <f>P1458</f>
        <v>325</v>
      </c>
      <c r="Q1475" s="252" t="s">
        <v>913</v>
      </c>
      <c r="R1475" s="252">
        <f>P1475*M1475</f>
        <v>1517.75</v>
      </c>
      <c r="S1475" s="316"/>
      <c r="U1475" s="296"/>
      <c r="W1475" s="253"/>
      <c r="AE1475" s="370">
        <f t="shared" si="215"/>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E1476" s="370">
        <f t="shared" si="215"/>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296"/>
      <c r="W1477" s="253"/>
      <c r="AE1477" s="370">
        <f t="shared" si="215"/>
        <v>0</v>
      </c>
    </row>
    <row r="1478" spans="6:31" ht="24" customHeight="1">
      <c r="F1478" s="316">
        <v>4.7000000000000002E-3</v>
      </c>
      <c r="G1478" s="252" t="s">
        <v>2151</v>
      </c>
      <c r="H1478" s="296" t="s">
        <v>700</v>
      </c>
      <c r="I1478" s="252">
        <f>K49</f>
        <v>3319.98</v>
      </c>
      <c r="J1478" s="296" t="s">
        <v>2151</v>
      </c>
      <c r="K1478" s="252">
        <f>(F1478*I1478)</f>
        <v>15.6</v>
      </c>
      <c r="M1478" s="316"/>
      <c r="O1478" s="296"/>
      <c r="R1478" s="252">
        <f>SUM(R1475:R1477)</f>
        <v>2762.4</v>
      </c>
      <c r="S1478" s="316"/>
      <c r="U1478" s="296"/>
      <c r="W1478" s="253"/>
      <c r="AE1478" s="370">
        <f t="shared" si="215"/>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296"/>
      <c r="W1479" s="253"/>
      <c r="X1479" s="274"/>
      <c r="AE1479" s="370">
        <f t="shared" si="215"/>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15"/>
        <v>0</v>
      </c>
    </row>
    <row r="1481" spans="6:31" ht="24" customHeight="1">
      <c r="H1481" s="296" t="s">
        <v>2271</v>
      </c>
      <c r="K1481" s="252">
        <v>0</v>
      </c>
      <c r="O1481" s="461" t="s">
        <v>2831</v>
      </c>
      <c r="P1481" s="274" t="s">
        <v>2359</v>
      </c>
      <c r="Q1481" s="296"/>
      <c r="W1481" s="253"/>
      <c r="AE1481" s="370">
        <f t="shared" si="215"/>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E1482" s="370">
        <f t="shared" si="215"/>
        <v>0</v>
      </c>
    </row>
    <row r="1483" spans="6:31" ht="24" customHeight="1">
      <c r="H1483" s="253" t="s">
        <v>702</v>
      </c>
      <c r="K1483" s="252">
        <f>SUM(K1478:K1481)</f>
        <v>263.10000000000002</v>
      </c>
      <c r="M1483" s="316">
        <v>0.81</v>
      </c>
      <c r="N1483" s="252" t="s">
        <v>233</v>
      </c>
      <c r="O1483" s="296" t="s">
        <v>1855</v>
      </c>
      <c r="P1483" s="314">
        <f>P1476</f>
        <v>306.89999999999998</v>
      </c>
      <c r="Q1483" s="252" t="s">
        <v>913</v>
      </c>
      <c r="R1483" s="252">
        <f>P1483*M1483</f>
        <v>248.59</v>
      </c>
      <c r="W1483" s="253"/>
      <c r="AE1483" s="370">
        <f t="shared" si="215"/>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15"/>
        <v>0</v>
      </c>
    </row>
    <row r="1485" spans="6:31" ht="24" customHeight="1">
      <c r="H1485" s="255" t="s">
        <v>703</v>
      </c>
      <c r="I1485" s="274"/>
      <c r="J1485" s="276"/>
      <c r="K1485" s="274">
        <f>K1483/6.77</f>
        <v>38.86</v>
      </c>
      <c r="M1485" s="316"/>
      <c r="O1485" s="296"/>
      <c r="R1485" s="252">
        <f>SUM(R1482:R1484)+0.68</f>
        <v>4145.8999999999996</v>
      </c>
      <c r="W1485" s="253"/>
      <c r="AE1485" s="370">
        <f t="shared" si="215"/>
        <v>0</v>
      </c>
    </row>
    <row r="1486" spans="6:31" ht="24" customHeight="1">
      <c r="K1486" s="358" t="s">
        <v>2055</v>
      </c>
      <c r="M1486" s="316"/>
      <c r="O1486" s="360" t="s">
        <v>3535</v>
      </c>
      <c r="R1486" s="274">
        <f>R1485/M1484</f>
        <v>5118.3999999999996</v>
      </c>
      <c r="W1486" s="253"/>
      <c r="AE1486" s="370">
        <f t="shared" si="215"/>
        <v>0</v>
      </c>
    </row>
    <row r="1487" spans="6:31" ht="24" customHeight="1">
      <c r="K1487" s="358"/>
      <c r="O1487" s="296"/>
      <c r="Q1487" s="253"/>
      <c r="W1487" s="253"/>
      <c r="AE1487" s="370">
        <f t="shared" si="215"/>
        <v>0</v>
      </c>
    </row>
    <row r="1488" spans="6:31" ht="24" customHeight="1">
      <c r="F1488" s="375">
        <v>37.1</v>
      </c>
      <c r="G1488" s="252" t="s">
        <v>2251</v>
      </c>
      <c r="H1488" s="296" t="s">
        <v>395</v>
      </c>
      <c r="O1488" s="461" t="s">
        <v>3481</v>
      </c>
      <c r="Q1488" s="296"/>
      <c r="W1488" s="253"/>
      <c r="AE1488" s="370">
        <f t="shared" si="215"/>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15"/>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6">P1459</f>
        <v>325</v>
      </c>
      <c r="Q1490" s="252" t="s">
        <v>913</v>
      </c>
      <c r="R1490" s="252">
        <f t="shared" ref="R1490:R1500" si="217">P1490*M1490</f>
        <v>1534</v>
      </c>
      <c r="W1490" s="253"/>
      <c r="AE1490" s="370">
        <f t="shared" si="215"/>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16"/>
        <v>325</v>
      </c>
      <c r="Q1491" s="252" t="s">
        <v>913</v>
      </c>
      <c r="R1491" s="252">
        <f t="shared" si="217"/>
        <v>2944.5</v>
      </c>
      <c r="W1491" s="253"/>
      <c r="AE1491" s="370">
        <f t="shared" si="215"/>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16"/>
        <v>325</v>
      </c>
      <c r="Q1492" s="252" t="s">
        <v>913</v>
      </c>
      <c r="R1492" s="252">
        <f t="shared" si="217"/>
        <v>513.5</v>
      </c>
      <c r="W1492" s="253"/>
      <c r="AE1492" s="370">
        <f t="shared" si="215"/>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16"/>
        <v>306.89999999999998</v>
      </c>
      <c r="Q1493" s="252" t="s">
        <v>233</v>
      </c>
      <c r="R1493" s="252">
        <f t="shared" si="217"/>
        <v>506.39</v>
      </c>
      <c r="W1493" s="253"/>
      <c r="AE1493" s="370">
        <f t="shared" si="215"/>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16"/>
        <v>29.05</v>
      </c>
      <c r="Q1494" s="252" t="s">
        <v>826</v>
      </c>
      <c r="R1494" s="252">
        <f t="shared" si="217"/>
        <v>370.1</v>
      </c>
      <c r="W1494" s="253"/>
      <c r="AE1494" s="370">
        <f t="shared" si="215"/>
        <v>0</v>
      </c>
    </row>
    <row r="1495" spans="6:31" ht="24" customHeight="1">
      <c r="K1495" s="358" t="s">
        <v>1586</v>
      </c>
      <c r="M1495" s="316">
        <v>12</v>
      </c>
      <c r="N1495" s="252" t="s">
        <v>769</v>
      </c>
      <c r="O1495" s="296" t="str">
        <f>O1464</f>
        <v>hinges 75mm x 30 mm P-41/77 b</v>
      </c>
      <c r="P1495" s="252">
        <f t="shared" si="216"/>
        <v>71.900000000000006</v>
      </c>
      <c r="Q1495" s="252" t="s">
        <v>769</v>
      </c>
      <c r="R1495" s="252">
        <f t="shared" si="217"/>
        <v>862.8</v>
      </c>
      <c r="W1495" s="253"/>
      <c r="AE1495" s="370">
        <f t="shared" si="215"/>
        <v>0</v>
      </c>
    </row>
    <row r="1496" spans="6:31" ht="24" customHeight="1">
      <c r="H1496" s="296" t="s">
        <v>1838</v>
      </c>
      <c r="K1496" s="252">
        <f>SUM(K1489:K1494)</f>
        <v>4527.92</v>
      </c>
      <c r="M1496" s="316">
        <v>6</v>
      </c>
      <c r="N1496" s="252" t="s">
        <v>769</v>
      </c>
      <c r="O1496" s="296" t="str">
        <f>O1465</f>
        <v>handle 150 mm long p-42 /80b</v>
      </c>
      <c r="P1496" s="252">
        <f t="shared" si="216"/>
        <v>57.65</v>
      </c>
      <c r="Q1496" s="252" t="s">
        <v>769</v>
      </c>
      <c r="R1496" s="252">
        <f t="shared" si="217"/>
        <v>345.9</v>
      </c>
      <c r="W1496" s="253"/>
      <c r="AE1496" s="370">
        <f t="shared" si="215"/>
        <v>0</v>
      </c>
    </row>
    <row r="1497" spans="6:31" ht="24" customHeight="1">
      <c r="K1497" s="358" t="s">
        <v>1586</v>
      </c>
      <c r="M1497" s="316">
        <v>6</v>
      </c>
      <c r="N1497" s="252" t="s">
        <v>769</v>
      </c>
      <c r="O1497" s="296" t="s">
        <v>1859</v>
      </c>
      <c r="P1497" s="252">
        <f t="shared" si="216"/>
        <v>30</v>
      </c>
      <c r="Q1497" s="252" t="s">
        <v>769</v>
      </c>
      <c r="R1497" s="252">
        <f t="shared" si="217"/>
        <v>180</v>
      </c>
      <c r="W1497" s="253"/>
      <c r="AE1497" s="370">
        <f t="shared" si="215"/>
        <v>0</v>
      </c>
    </row>
    <row r="1498" spans="6:31" ht="24" customHeight="1">
      <c r="H1498" s="255" t="s">
        <v>552</v>
      </c>
      <c r="I1498" s="274"/>
      <c r="J1498" s="276"/>
      <c r="K1498" s="274">
        <f>(K1496/100)</f>
        <v>45.28</v>
      </c>
      <c r="M1498" s="316">
        <v>6</v>
      </c>
      <c r="N1498" s="252" t="s">
        <v>769</v>
      </c>
      <c r="O1498" s="296" t="s">
        <v>1860</v>
      </c>
      <c r="P1498" s="252">
        <f t="shared" si="216"/>
        <v>20</v>
      </c>
      <c r="Q1498" s="252" t="s">
        <v>769</v>
      </c>
      <c r="R1498" s="252">
        <f t="shared" si="217"/>
        <v>120</v>
      </c>
      <c r="W1498" s="253"/>
      <c r="AE1498" s="370">
        <f t="shared" si="215"/>
        <v>0</v>
      </c>
    </row>
    <row r="1499" spans="6:31" ht="24" customHeight="1">
      <c r="K1499" s="358" t="s">
        <v>2055</v>
      </c>
      <c r="M1499" s="316">
        <v>4</v>
      </c>
      <c r="N1499" s="252" t="s">
        <v>769</v>
      </c>
      <c r="O1499" s="296" t="s">
        <v>1861</v>
      </c>
      <c r="P1499" s="252">
        <f t="shared" si="216"/>
        <v>15</v>
      </c>
      <c r="Q1499" s="252" t="s">
        <v>769</v>
      </c>
      <c r="R1499" s="252">
        <f t="shared" si="217"/>
        <v>60</v>
      </c>
      <c r="W1499" s="253"/>
      <c r="AE1499" s="370">
        <f t="shared" si="215"/>
        <v>0</v>
      </c>
    </row>
    <row r="1500" spans="6:31" ht="24" customHeight="1">
      <c r="F1500" s="253" t="s">
        <v>848</v>
      </c>
      <c r="G1500" s="252" t="s">
        <v>2251</v>
      </c>
      <c r="H1500" s="296" t="s">
        <v>998</v>
      </c>
      <c r="M1500" s="316">
        <f>1.5*1.35</f>
        <v>2.0249999999999999</v>
      </c>
      <c r="N1500" s="252" t="s">
        <v>2283</v>
      </c>
      <c r="O1500" s="296" t="s">
        <v>1862</v>
      </c>
      <c r="P1500" s="252">
        <f t="shared" si="216"/>
        <v>1998</v>
      </c>
      <c r="Q1500" s="252" t="s">
        <v>2283</v>
      </c>
      <c r="R1500" s="252">
        <f t="shared" si="217"/>
        <v>4045.95</v>
      </c>
      <c r="W1500" s="253"/>
      <c r="AE1500" s="370">
        <f t="shared" si="215"/>
        <v>0</v>
      </c>
    </row>
    <row r="1501" spans="6:31" ht="24" customHeight="1">
      <c r="H1501" s="296" t="s">
        <v>999</v>
      </c>
      <c r="O1501" s="296" t="s">
        <v>1863</v>
      </c>
      <c r="Q1501" s="253"/>
      <c r="R1501" s="252">
        <v>0.31</v>
      </c>
      <c r="W1501" s="253"/>
      <c r="AE1501" s="370">
        <f t="shared" si="215"/>
        <v>0</v>
      </c>
    </row>
    <row r="1502" spans="6:31" ht="24" customHeight="1">
      <c r="H1502" s="296" t="s">
        <v>1000</v>
      </c>
      <c r="R1502" s="274">
        <f>SUM(R1489:R1501)</f>
        <v>12919.95</v>
      </c>
      <c r="W1502" s="253"/>
      <c r="AE1502" s="370">
        <f t="shared" si="215"/>
        <v>0</v>
      </c>
    </row>
    <row r="1503" spans="6:31" ht="24" customHeight="1">
      <c r="H1503" s="296" t="s">
        <v>28</v>
      </c>
      <c r="W1503" s="253"/>
      <c r="AE1503" s="370">
        <f t="shared" si="215"/>
        <v>0</v>
      </c>
    </row>
    <row r="1504" spans="6:31" ht="24" customHeight="1">
      <c r="H1504" s="358" t="s">
        <v>1586</v>
      </c>
      <c r="W1504" s="253"/>
      <c r="AE1504" s="370">
        <f t="shared" si="215"/>
        <v>0</v>
      </c>
    </row>
    <row r="1505" spans="6:31" ht="24" customHeight="1">
      <c r="F1505" s="252">
        <v>4.8</v>
      </c>
      <c r="G1505" s="252" t="s">
        <v>1645</v>
      </c>
      <c r="H1505" s="296" t="s">
        <v>440</v>
      </c>
      <c r="I1505" s="252">
        <f>(C271)</f>
        <v>49.85</v>
      </c>
      <c r="J1505" s="296" t="s">
        <v>1645</v>
      </c>
      <c r="K1505" s="252">
        <f>(F1505*I1505)</f>
        <v>239.28</v>
      </c>
      <c r="W1505" s="253"/>
      <c r="AE1505" s="370">
        <f t="shared" si="215"/>
        <v>0</v>
      </c>
    </row>
    <row r="1506" spans="6:31" ht="24" customHeight="1">
      <c r="F1506" s="252">
        <v>0.75</v>
      </c>
      <c r="G1506" s="252" t="s">
        <v>868</v>
      </c>
      <c r="H1506" s="296" t="s">
        <v>29</v>
      </c>
      <c r="I1506" s="252">
        <f>(C14)</f>
        <v>797</v>
      </c>
      <c r="J1506" s="296" t="s">
        <v>868</v>
      </c>
      <c r="K1506" s="252">
        <f>(F1506*I1506)</f>
        <v>597.75</v>
      </c>
      <c r="W1506" s="253"/>
      <c r="AE1506" s="370">
        <f t="shared" si="215"/>
        <v>0</v>
      </c>
    </row>
    <row r="1507" spans="6:31" ht="24" customHeight="1">
      <c r="F1507" s="252">
        <v>0.75</v>
      </c>
      <c r="G1507" s="252" t="s">
        <v>868</v>
      </c>
      <c r="H1507" s="296" t="s">
        <v>934</v>
      </c>
      <c r="I1507" s="252">
        <f>(C12)</f>
        <v>651</v>
      </c>
      <c r="J1507" s="296" t="s">
        <v>868</v>
      </c>
      <c r="K1507" s="252">
        <f>(F1507*I1507)</f>
        <v>488.25</v>
      </c>
      <c r="W1507" s="253"/>
      <c r="AE1507" s="370">
        <f t="shared" si="215"/>
        <v>0</v>
      </c>
    </row>
    <row r="1508" spans="6:31" ht="24" customHeight="1">
      <c r="F1508" s="252">
        <v>1.2</v>
      </c>
      <c r="G1508" s="252" t="s">
        <v>868</v>
      </c>
      <c r="H1508" s="296" t="s">
        <v>320</v>
      </c>
      <c r="I1508" s="252">
        <f>(C13)</f>
        <v>534</v>
      </c>
      <c r="J1508" s="296" t="s">
        <v>868</v>
      </c>
      <c r="K1508" s="252">
        <f>(F1508*I1508)</f>
        <v>640.79999999999995</v>
      </c>
      <c r="W1508" s="253"/>
      <c r="AE1508" s="370">
        <f t="shared" si="215"/>
        <v>0</v>
      </c>
    </row>
    <row r="1509" spans="6:31" ht="24" customHeight="1">
      <c r="G1509" s="252" t="s">
        <v>449</v>
      </c>
      <c r="H1509" s="296" t="s">
        <v>1836</v>
      </c>
      <c r="I1509" s="296" t="s">
        <v>975</v>
      </c>
      <c r="J1509" s="296" t="s">
        <v>449</v>
      </c>
      <c r="K1509" s="252">
        <v>1.5</v>
      </c>
      <c r="W1509" s="253"/>
      <c r="AE1509" s="370">
        <f t="shared" si="215"/>
        <v>0</v>
      </c>
    </row>
    <row r="1510" spans="6:31" ht="24" customHeight="1">
      <c r="K1510" s="358" t="s">
        <v>1586</v>
      </c>
      <c r="W1510" s="253"/>
      <c r="AE1510" s="370">
        <f t="shared" si="215"/>
        <v>0</v>
      </c>
    </row>
    <row r="1511" spans="6:31" ht="24" customHeight="1">
      <c r="H1511" s="296" t="s">
        <v>441</v>
      </c>
      <c r="K1511" s="252">
        <f>SUM(K1505:K1509)</f>
        <v>1967.58</v>
      </c>
      <c r="W1511" s="253"/>
      <c r="AE1511" s="370">
        <f t="shared" si="215"/>
        <v>0</v>
      </c>
    </row>
    <row r="1512" spans="6:31" ht="24" customHeight="1">
      <c r="K1512" s="358" t="s">
        <v>1586</v>
      </c>
      <c r="W1512" s="253"/>
      <c r="AE1512" s="370">
        <f t="shared" si="215"/>
        <v>0</v>
      </c>
    </row>
    <row r="1513" spans="6:31" ht="24" customHeight="1">
      <c r="H1513" s="255" t="s">
        <v>552</v>
      </c>
      <c r="I1513" s="274"/>
      <c r="J1513" s="276"/>
      <c r="K1513" s="274">
        <f>(K1511/10)</f>
        <v>196.76</v>
      </c>
      <c r="W1513" s="253"/>
      <c r="AE1513" s="370">
        <f t="shared" si="215"/>
        <v>0</v>
      </c>
    </row>
    <row r="1514" spans="6:31" ht="24" customHeight="1">
      <c r="K1514" s="358" t="s">
        <v>2055</v>
      </c>
      <c r="W1514" s="253"/>
      <c r="AE1514" s="370">
        <f t="shared" si="215"/>
        <v>0</v>
      </c>
    </row>
    <row r="1515" spans="6:31" ht="24" customHeight="1">
      <c r="F1515" s="253" t="s">
        <v>30</v>
      </c>
      <c r="G1515" s="252" t="s">
        <v>2251</v>
      </c>
      <c r="H1515" s="253" t="s">
        <v>1968</v>
      </c>
      <c r="W1515" s="253"/>
      <c r="AE1515" s="370">
        <f t="shared" si="215"/>
        <v>0</v>
      </c>
    </row>
    <row r="1516" spans="6:31" ht="24" customHeight="1">
      <c r="H1516" s="253" t="s">
        <v>32</v>
      </c>
      <c r="M1516" s="253"/>
      <c r="N1516" s="252" t="s">
        <v>2251</v>
      </c>
      <c r="O1516" s="296" t="s">
        <v>1989</v>
      </c>
      <c r="Q1516" s="296"/>
      <c r="W1516" s="253"/>
      <c r="AE1516" s="370">
        <f t="shared" si="215"/>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15"/>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15"/>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15"/>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15"/>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15"/>
        <v>0</v>
      </c>
    </row>
    <row r="1522" spans="6:31" ht="24" customHeight="1">
      <c r="M1522" s="252">
        <v>0.75</v>
      </c>
      <c r="N1522" s="252" t="s">
        <v>868</v>
      </c>
      <c r="O1522" s="296" t="s">
        <v>29</v>
      </c>
      <c r="P1522" s="252">
        <f>C14</f>
        <v>797</v>
      </c>
      <c r="Q1522" s="296" t="s">
        <v>868</v>
      </c>
      <c r="R1522" s="252">
        <f>M1522*P1522</f>
        <v>597.75</v>
      </c>
      <c r="W1522" s="253"/>
      <c r="AE1522" s="370">
        <f t="shared" si="215"/>
        <v>0</v>
      </c>
    </row>
    <row r="1523" spans="6:31" ht="24" customHeight="1">
      <c r="K1523" s="358" t="s">
        <v>1586</v>
      </c>
      <c r="M1523" s="252">
        <v>0.75</v>
      </c>
      <c r="N1523" s="252" t="s">
        <v>868</v>
      </c>
      <c r="O1523" s="296" t="s">
        <v>934</v>
      </c>
      <c r="P1523" s="252">
        <f>C12</f>
        <v>651</v>
      </c>
      <c r="Q1523" s="296" t="s">
        <v>868</v>
      </c>
      <c r="R1523" s="252">
        <f>M1523*P1523</f>
        <v>488.25</v>
      </c>
      <c r="W1523" s="253"/>
      <c r="AE1523" s="370">
        <f t="shared" si="215"/>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15"/>
        <v>0</v>
      </c>
    </row>
    <row r="1525" spans="6:31" ht="24" customHeight="1">
      <c r="K1525" s="358" t="s">
        <v>1586</v>
      </c>
      <c r="N1525" s="252" t="s">
        <v>449</v>
      </c>
      <c r="O1525" s="296" t="s">
        <v>1836</v>
      </c>
      <c r="P1525" s="296" t="s">
        <v>975</v>
      </c>
      <c r="Q1525" s="296" t="s">
        <v>449</v>
      </c>
      <c r="R1525" s="252">
        <v>1.5</v>
      </c>
      <c r="W1525" s="253"/>
      <c r="AE1525" s="370">
        <f t="shared" si="215"/>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15"/>
        <v>0</v>
      </c>
    </row>
    <row r="1527" spans="6:31" ht="24" customHeight="1">
      <c r="K1527" s="358" t="s">
        <v>2055</v>
      </c>
      <c r="O1527" s="296" t="s">
        <v>441</v>
      </c>
      <c r="Q1527" s="296"/>
      <c r="R1527" s="252">
        <f>SUM(R1521:R1525)</f>
        <v>1880.9</v>
      </c>
      <c r="W1527" s="253"/>
      <c r="AE1527" s="370">
        <f t="shared" si="215"/>
        <v>0</v>
      </c>
    </row>
    <row r="1528" spans="6:31" ht="24" customHeight="1">
      <c r="F1528" s="253" t="s">
        <v>1374</v>
      </c>
      <c r="G1528" s="252" t="s">
        <v>2251</v>
      </c>
      <c r="H1528" s="296" t="s">
        <v>493</v>
      </c>
      <c r="Q1528" s="296"/>
      <c r="R1528" s="358" t="s">
        <v>1586</v>
      </c>
      <c r="W1528" s="253"/>
      <c r="AE1528" s="370">
        <f t="shared" si="215"/>
        <v>0</v>
      </c>
    </row>
    <row r="1529" spans="6:31" ht="24" customHeight="1">
      <c r="H1529" s="296" t="s">
        <v>1376</v>
      </c>
      <c r="O1529" s="296" t="s">
        <v>552</v>
      </c>
      <c r="Q1529" s="296"/>
      <c r="R1529" s="252">
        <f>(R1527/10)</f>
        <v>188.09</v>
      </c>
      <c r="W1529" s="253"/>
      <c r="AE1529" s="370">
        <f t="shared" si="215"/>
        <v>0</v>
      </c>
    </row>
    <row r="1530" spans="6:31" ht="24" customHeight="1">
      <c r="H1530" s="296" t="s">
        <v>1969</v>
      </c>
      <c r="Q1530" s="296"/>
      <c r="R1530" s="358" t="s">
        <v>2055</v>
      </c>
      <c r="W1530" s="253"/>
      <c r="AE1530" s="370">
        <f t="shared" si="215"/>
        <v>0</v>
      </c>
    </row>
    <row r="1531" spans="6:31" ht="24" customHeight="1">
      <c r="H1531" s="358" t="s">
        <v>1586</v>
      </c>
      <c r="L1531" s="480"/>
      <c r="M1531" s="481"/>
      <c r="N1531" s="1091" t="s">
        <v>4373</v>
      </c>
      <c r="O1531" s="1091"/>
      <c r="P1531" s="1091"/>
      <c r="Q1531" s="1091"/>
      <c r="R1531" s="1091"/>
      <c r="W1531" s="253"/>
      <c r="AE1531" s="370">
        <f t="shared" si="215"/>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15"/>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15"/>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18">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18"/>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19">P1536*M1536</f>
        <v>911.49</v>
      </c>
      <c r="W1536" s="253"/>
      <c r="AE1536" s="370">
        <f t="shared" si="218"/>
        <v>0</v>
      </c>
    </row>
    <row r="1537" spans="6:31" ht="24" customHeight="1">
      <c r="K1537" s="358" t="s">
        <v>1586</v>
      </c>
      <c r="L1537" s="483"/>
      <c r="M1537" s="484">
        <v>15.3</v>
      </c>
      <c r="N1537" s="481" t="s">
        <v>826</v>
      </c>
      <c r="O1537" s="485" t="s">
        <v>3917</v>
      </c>
      <c r="P1537" s="481">
        <f>P1494</f>
        <v>29.05</v>
      </c>
      <c r="Q1537" s="481" t="s">
        <v>826</v>
      </c>
      <c r="R1537" s="481">
        <f t="shared" si="219"/>
        <v>444.47</v>
      </c>
      <c r="W1537" s="253"/>
      <c r="AE1537" s="370">
        <f t="shared" si="218"/>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19"/>
        <v>1050</v>
      </c>
      <c r="W1538" s="253"/>
      <c r="AE1538" s="370">
        <f t="shared" si="218"/>
        <v>0</v>
      </c>
    </row>
    <row r="1539" spans="6:31" ht="24" customHeight="1">
      <c r="K1539" s="358" t="s">
        <v>1586</v>
      </c>
      <c r="L1539" s="483"/>
      <c r="M1539" s="484">
        <v>3</v>
      </c>
      <c r="N1539" s="481" t="s">
        <v>769</v>
      </c>
      <c r="O1539" s="485" t="s">
        <v>3919</v>
      </c>
      <c r="P1539" s="481">
        <f>I4010</f>
        <v>57.65</v>
      </c>
      <c r="Q1539" s="481" t="s">
        <v>769</v>
      </c>
      <c r="R1539" s="481">
        <f t="shared" si="219"/>
        <v>172.95</v>
      </c>
      <c r="W1539" s="253"/>
      <c r="AE1539" s="370">
        <f t="shared" si="218"/>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19"/>
        <v>90</v>
      </c>
      <c r="W1540" s="253"/>
      <c r="AE1540" s="370">
        <f t="shared" si="218"/>
        <v>0</v>
      </c>
    </row>
    <row r="1541" spans="6:31" ht="24" customHeight="1">
      <c r="F1541" s="296" t="s">
        <v>975</v>
      </c>
      <c r="L1541" s="483"/>
      <c r="M1541" s="484">
        <v>2.97</v>
      </c>
      <c r="N1541" s="481" t="s">
        <v>2283</v>
      </c>
      <c r="O1541" s="485" t="s">
        <v>3922</v>
      </c>
      <c r="P1541" s="481">
        <f>R1552</f>
        <v>1998</v>
      </c>
      <c r="Q1541" s="481" t="s">
        <v>2283</v>
      </c>
      <c r="R1541" s="481">
        <f t="shared" si="219"/>
        <v>5934.06</v>
      </c>
      <c r="W1541" s="253"/>
      <c r="AE1541" s="370">
        <f t="shared" si="218"/>
        <v>0</v>
      </c>
    </row>
    <row r="1542" spans="6:31" ht="24" customHeight="1">
      <c r="K1542" s="358" t="s">
        <v>2055</v>
      </c>
      <c r="L1542" s="483"/>
      <c r="M1542" s="484"/>
      <c r="N1542" s="481"/>
      <c r="O1542" s="485" t="s">
        <v>2271</v>
      </c>
      <c r="P1542" s="481"/>
      <c r="Q1542" s="486"/>
      <c r="R1542" s="481">
        <v>3.5</v>
      </c>
      <c r="W1542" s="253"/>
      <c r="AE1542" s="370">
        <f t="shared" si="218"/>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18"/>
        <v>0</v>
      </c>
    </row>
    <row r="1544" spans="6:31" ht="24" customHeight="1">
      <c r="H1544" s="296" t="s">
        <v>1045</v>
      </c>
      <c r="L1544" s="488"/>
      <c r="M1544" s="481"/>
      <c r="N1544" s="481"/>
      <c r="W1544" s="253"/>
      <c r="AE1544" s="370">
        <f t="shared" si="218"/>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18"/>
        <v>0</v>
      </c>
    </row>
    <row r="1546" spans="6:31" ht="24" customHeight="1">
      <c r="H1546" s="358" t="s">
        <v>1586</v>
      </c>
      <c r="L1546" s="483"/>
      <c r="M1546" s="481"/>
      <c r="N1546" s="481"/>
      <c r="O1546" s="489"/>
      <c r="P1546" s="481"/>
      <c r="Q1546" s="481"/>
      <c r="R1546" s="481"/>
      <c r="W1546" s="253"/>
      <c r="AE1546" s="370">
        <f t="shared" si="218"/>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6139</v>
      </c>
      <c r="P1547" s="481">
        <f>AE17</f>
        <v>881</v>
      </c>
      <c r="Q1547" s="485" t="s">
        <v>868</v>
      </c>
      <c r="R1547" s="481">
        <f>P1547*M1547</f>
        <v>881</v>
      </c>
      <c r="W1547" s="253"/>
      <c r="AE1547" s="370">
        <f t="shared" si="218"/>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6140</v>
      </c>
      <c r="P1548" s="481">
        <f>AE11</f>
        <v>651</v>
      </c>
      <c r="Q1548" s="485" t="s">
        <v>868</v>
      </c>
      <c r="R1548" s="481">
        <f>P1548*M1548</f>
        <v>651</v>
      </c>
      <c r="W1548" s="253"/>
      <c r="AE1548" s="370">
        <f t="shared" si="218"/>
        <v>0</v>
      </c>
    </row>
    <row r="1549" spans="6:31" ht="24" customHeight="1">
      <c r="G1549" s="252" t="s">
        <v>449</v>
      </c>
      <c r="H1549" s="296" t="s">
        <v>1181</v>
      </c>
      <c r="I1549" s="296" t="s">
        <v>975</v>
      </c>
      <c r="J1549" s="296" t="s">
        <v>449</v>
      </c>
      <c r="K1549" s="252">
        <v>1.5</v>
      </c>
      <c r="L1549" s="483"/>
      <c r="M1549" s="481">
        <v>0.5</v>
      </c>
      <c r="N1549" s="481" t="s">
        <v>868</v>
      </c>
      <c r="O1549" s="485" t="s">
        <v>6141</v>
      </c>
      <c r="P1549" s="481">
        <f>AE20</f>
        <v>932</v>
      </c>
      <c r="Q1549" s="485" t="s">
        <v>868</v>
      </c>
      <c r="R1549" s="481">
        <f>P1549*M1549</f>
        <v>466</v>
      </c>
      <c r="W1549" s="253"/>
      <c r="AE1549" s="370">
        <f t="shared" si="218"/>
        <v>0</v>
      </c>
    </row>
    <row r="1550" spans="6:31" ht="24" customHeight="1">
      <c r="K1550" s="358" t="s">
        <v>1586</v>
      </c>
      <c r="L1550" s="483"/>
      <c r="M1550" s="481"/>
      <c r="N1550" s="481"/>
      <c r="O1550" s="481"/>
      <c r="P1550" s="481"/>
      <c r="Q1550" s="485"/>
      <c r="R1550" s="481"/>
      <c r="W1550" s="253"/>
      <c r="AE1550" s="370">
        <f t="shared" si="218"/>
        <v>0</v>
      </c>
    </row>
    <row r="1551" spans="6:31" ht="24" customHeight="1">
      <c r="H1551" s="296" t="s">
        <v>441</v>
      </c>
      <c r="K1551" s="252">
        <f>SUM(K1547:K1549)</f>
        <v>1383.47</v>
      </c>
      <c r="L1551" s="483"/>
      <c r="M1551" s="481"/>
      <c r="N1551" s="481"/>
      <c r="O1551" s="485" t="s">
        <v>3931</v>
      </c>
      <c r="P1551" s="481"/>
      <c r="Q1551" s="485"/>
      <c r="R1551" s="490" t="s">
        <v>1586</v>
      </c>
      <c r="W1551" s="253"/>
      <c r="AE1551" s="370">
        <f t="shared" si="218"/>
        <v>0</v>
      </c>
    </row>
    <row r="1552" spans="6:31" ht="24" customHeight="1">
      <c r="K1552" s="358" t="s">
        <v>1586</v>
      </c>
      <c r="L1552" s="483"/>
      <c r="M1552" s="481"/>
      <c r="N1552" s="481"/>
      <c r="O1552" s="481"/>
      <c r="P1552" s="481"/>
      <c r="Q1552" s="485"/>
      <c r="R1552" s="487">
        <f>SUM(R1547:R1551)</f>
        <v>1998</v>
      </c>
      <c r="W1552" s="253"/>
      <c r="AE1552" s="370">
        <f t="shared" si="218"/>
        <v>0</v>
      </c>
    </row>
    <row r="1553" spans="6:31" ht="24" customHeight="1">
      <c r="H1553" s="255" t="s">
        <v>552</v>
      </c>
      <c r="I1553" s="274"/>
      <c r="J1553" s="276"/>
      <c r="K1553" s="274">
        <f>(K1551/10)</f>
        <v>138.35</v>
      </c>
      <c r="L1553" s="483"/>
      <c r="W1553" s="253"/>
      <c r="AE1553" s="370">
        <f t="shared" si="218"/>
        <v>0</v>
      </c>
    </row>
    <row r="1554" spans="6:31" ht="24" customHeight="1">
      <c r="H1554" s="296"/>
      <c r="L1554" s="483"/>
      <c r="W1554" s="253"/>
      <c r="AE1554" s="370">
        <f t="shared" si="218"/>
        <v>0</v>
      </c>
    </row>
    <row r="1555" spans="6:31" ht="24" customHeight="1">
      <c r="H1555" s="296"/>
      <c r="L1555" s="483"/>
      <c r="W1555" s="253"/>
      <c r="AE1555" s="370">
        <f t="shared" si="218"/>
        <v>0</v>
      </c>
    </row>
    <row r="1556" spans="6:31" ht="24" customHeight="1">
      <c r="F1556" s="491">
        <v>238</v>
      </c>
      <c r="G1556" s="492" t="s">
        <v>2251</v>
      </c>
      <c r="H1556" s="493" t="s">
        <v>586</v>
      </c>
      <c r="I1556" s="492"/>
      <c r="J1556" s="493"/>
      <c r="K1556" s="492"/>
      <c r="L1556" s="483"/>
      <c r="W1556" s="253"/>
      <c r="AE1556" s="370">
        <f t="shared" si="218"/>
        <v>0</v>
      </c>
    </row>
    <row r="1557" spans="6:31" ht="24" customHeight="1">
      <c r="F1557" s="494"/>
      <c r="H1557" s="296" t="s">
        <v>1970</v>
      </c>
      <c r="L1557" s="488"/>
      <c r="W1557" s="253"/>
      <c r="AE1557" s="370">
        <f t="shared" si="218"/>
        <v>0</v>
      </c>
    </row>
    <row r="1558" spans="6:31" ht="24" customHeight="1">
      <c r="F1558" s="494"/>
      <c r="H1558" s="358" t="s">
        <v>1586</v>
      </c>
      <c r="W1558" s="253"/>
      <c r="AE1558" s="370">
        <f t="shared" si="218"/>
        <v>0</v>
      </c>
    </row>
    <row r="1559" spans="6:31" ht="24" customHeight="1">
      <c r="F1559" s="494">
        <v>20</v>
      </c>
      <c r="G1559" s="252" t="s">
        <v>1238</v>
      </c>
      <c r="H1559" s="296" t="s">
        <v>6142</v>
      </c>
      <c r="I1559" s="314">
        <f>D40</f>
        <v>116.2</v>
      </c>
      <c r="J1559" s="296" t="s">
        <v>1238</v>
      </c>
      <c r="K1559" s="252">
        <f>(F1559*I1559)</f>
        <v>2324</v>
      </c>
      <c r="W1559" s="253"/>
      <c r="AE1559" s="370">
        <f t="shared" si="218"/>
        <v>0</v>
      </c>
    </row>
    <row r="1560" spans="6:31" ht="24" customHeight="1">
      <c r="F1560" s="494"/>
      <c r="H1560" s="296" t="s">
        <v>588</v>
      </c>
      <c r="K1560" s="296" t="s">
        <v>975</v>
      </c>
      <c r="W1560" s="253"/>
      <c r="AE1560" s="370">
        <f t="shared" si="218"/>
        <v>0</v>
      </c>
    </row>
    <row r="1561" spans="6:31" ht="24" customHeight="1">
      <c r="F1561" s="494">
        <v>50</v>
      </c>
      <c r="G1561" s="252" t="s">
        <v>1645</v>
      </c>
      <c r="H1561" s="296" t="s">
        <v>862</v>
      </c>
      <c r="I1561" s="252">
        <f>C67/1000</f>
        <v>6.04</v>
      </c>
      <c r="J1561" s="296" t="s">
        <v>1645</v>
      </c>
      <c r="K1561" s="252">
        <f>(F1561*I1561)</f>
        <v>302</v>
      </c>
      <c r="W1561" s="253"/>
      <c r="AE1561" s="370">
        <f t="shared" si="218"/>
        <v>0</v>
      </c>
    </row>
    <row r="1562" spans="6:31" ht="24" customHeight="1">
      <c r="F1562" s="494">
        <v>1</v>
      </c>
      <c r="G1562" s="252" t="s">
        <v>449</v>
      </c>
      <c r="H1562" s="296" t="s">
        <v>589</v>
      </c>
      <c r="I1562" s="495">
        <v>75</v>
      </c>
      <c r="J1562" s="296" t="s">
        <v>449</v>
      </c>
      <c r="K1562" s="252">
        <f>(F1562*I1562)</f>
        <v>75</v>
      </c>
      <c r="W1562" s="253"/>
      <c r="AE1562" s="370">
        <f t="shared" si="218"/>
        <v>0</v>
      </c>
    </row>
    <row r="1563" spans="6:31" ht="24" customHeight="1">
      <c r="F1563" s="494">
        <v>1</v>
      </c>
      <c r="G1563" s="252" t="s">
        <v>449</v>
      </c>
      <c r="H1563" s="296" t="s">
        <v>590</v>
      </c>
      <c r="I1563" s="252">
        <f>C38</f>
        <v>40</v>
      </c>
      <c r="J1563" s="296" t="s">
        <v>449</v>
      </c>
      <c r="K1563" s="252">
        <f>(F1563*I1563)</f>
        <v>40</v>
      </c>
      <c r="W1563" s="253"/>
      <c r="AE1563" s="370">
        <f t="shared" si="218"/>
        <v>0</v>
      </c>
    </row>
    <row r="1564" spans="6:31" ht="24" customHeight="1">
      <c r="F1564" s="494">
        <v>2.5</v>
      </c>
      <c r="G1564" s="252" t="s">
        <v>449</v>
      </c>
      <c r="H1564" s="296" t="s">
        <v>591</v>
      </c>
      <c r="I1564" s="252">
        <f>D14</f>
        <v>772</v>
      </c>
      <c r="J1564" s="296" t="s">
        <v>449</v>
      </c>
      <c r="K1564" s="252">
        <f>(F1564*I1564)</f>
        <v>1930</v>
      </c>
      <c r="W1564" s="253"/>
      <c r="AE1564" s="370">
        <f t="shared" si="218"/>
        <v>0</v>
      </c>
    </row>
    <row r="1565" spans="6:31" ht="24" customHeight="1">
      <c r="F1565" s="494"/>
      <c r="G1565" s="252" t="s">
        <v>449</v>
      </c>
      <c r="H1565" s="296" t="s">
        <v>506</v>
      </c>
      <c r="J1565" s="296" t="s">
        <v>449</v>
      </c>
      <c r="K1565" s="407">
        <v>1.5</v>
      </c>
      <c r="W1565" s="253"/>
      <c r="AE1565" s="370">
        <f t="shared" si="218"/>
        <v>0</v>
      </c>
    </row>
    <row r="1566" spans="6:31" ht="24" customHeight="1">
      <c r="F1566" s="494"/>
      <c r="K1566" s="358" t="s">
        <v>1586</v>
      </c>
      <c r="W1566" s="253"/>
      <c r="AE1566" s="370">
        <f t="shared" si="218"/>
        <v>0</v>
      </c>
    </row>
    <row r="1567" spans="6:31" ht="24" customHeight="1">
      <c r="F1567" s="494"/>
      <c r="H1567" s="255" t="s">
        <v>592</v>
      </c>
      <c r="I1567" s="274"/>
      <c r="J1567" s="276"/>
      <c r="K1567" s="274">
        <f>SUM(K1559:K1565)</f>
        <v>4672.5</v>
      </c>
      <c r="W1567" s="253"/>
      <c r="AE1567" s="370">
        <f t="shared" si="218"/>
        <v>0</v>
      </c>
    </row>
    <row r="1568" spans="6:31" ht="24" customHeight="1">
      <c r="F1568" s="494"/>
      <c r="H1568" s="296"/>
      <c r="K1568" s="358" t="s">
        <v>1586</v>
      </c>
      <c r="W1568" s="253"/>
      <c r="AE1568" s="370">
        <f t="shared" si="218"/>
        <v>0</v>
      </c>
    </row>
    <row r="1569" spans="6:31" ht="24" customHeight="1">
      <c r="F1569" s="496"/>
      <c r="G1569" s="497"/>
      <c r="H1569" s="497"/>
      <c r="I1569" s="497"/>
      <c r="J1569" s="498"/>
      <c r="K1569" s="499"/>
      <c r="W1569" s="253"/>
      <c r="AE1569" s="370">
        <f t="shared" si="218"/>
        <v>0</v>
      </c>
    </row>
    <row r="1570" spans="6:31" ht="24" customHeight="1">
      <c r="F1570" s="500" t="s">
        <v>1046</v>
      </c>
      <c r="G1570" s="492" t="s">
        <v>2251</v>
      </c>
      <c r="H1570" s="493" t="s">
        <v>551</v>
      </c>
      <c r="I1570" s="492"/>
      <c r="J1570" s="493"/>
      <c r="K1570" s="492"/>
      <c r="W1570" s="253"/>
      <c r="AE1570" s="370">
        <f t="shared" si="218"/>
        <v>0</v>
      </c>
    </row>
    <row r="1571" spans="6:31" ht="24" customHeight="1">
      <c r="F1571" s="494"/>
      <c r="H1571" s="296" t="s">
        <v>2134</v>
      </c>
      <c r="W1571" s="253"/>
      <c r="AE1571" s="370">
        <f t="shared" si="218"/>
        <v>0</v>
      </c>
    </row>
    <row r="1572" spans="6:31" ht="24" customHeight="1">
      <c r="F1572" s="494"/>
      <c r="H1572" s="358" t="s">
        <v>1586</v>
      </c>
      <c r="W1572" s="253"/>
      <c r="AE1572" s="370">
        <f t="shared" si="218"/>
        <v>0</v>
      </c>
    </row>
    <row r="1573" spans="6:31" ht="24" customHeight="1">
      <c r="F1573" s="494">
        <v>1</v>
      </c>
      <c r="G1573" s="252" t="s">
        <v>526</v>
      </c>
      <c r="H1573" s="296" t="s">
        <v>527</v>
      </c>
      <c r="I1573" s="252">
        <f>(C139)</f>
        <v>58000</v>
      </c>
      <c r="J1573" s="296" t="s">
        <v>528</v>
      </c>
      <c r="K1573" s="252">
        <f>(F1573*I1573)/10</f>
        <v>5800</v>
      </c>
      <c r="W1573" s="253"/>
      <c r="AE1573" s="370">
        <f t="shared" si="218"/>
        <v>0</v>
      </c>
    </row>
    <row r="1574" spans="6:31" ht="24" customHeight="1">
      <c r="F1574" s="501">
        <v>0.01</v>
      </c>
      <c r="G1574" s="252" t="s">
        <v>526</v>
      </c>
      <c r="H1574" s="296" t="s">
        <v>192</v>
      </c>
      <c r="I1574" s="252">
        <f>(C143)</f>
        <v>56350</v>
      </c>
      <c r="J1574" s="296" t="s">
        <v>528</v>
      </c>
      <c r="K1574" s="252">
        <f>(F1574*I1574)/10</f>
        <v>56.35</v>
      </c>
      <c r="W1574" s="253"/>
      <c r="AE1574" s="370">
        <f t="shared" si="218"/>
        <v>0</v>
      </c>
    </row>
    <row r="1575" spans="6:31" ht="24" customHeight="1">
      <c r="F1575" s="501">
        <v>3.5</v>
      </c>
      <c r="G1575" s="252" t="s">
        <v>769</v>
      </c>
      <c r="H1575" s="296" t="s">
        <v>529</v>
      </c>
      <c r="I1575" s="252">
        <f>AE38</f>
        <v>866</v>
      </c>
      <c r="J1575" s="296" t="s">
        <v>1398</v>
      </c>
      <c r="K1575" s="252">
        <f>(F1575*I1575)</f>
        <v>3031</v>
      </c>
      <c r="W1575" s="253"/>
      <c r="AE1575" s="370">
        <f t="shared" si="218"/>
        <v>0</v>
      </c>
    </row>
    <row r="1576" spans="6:31" ht="24" customHeight="1">
      <c r="F1576" s="494">
        <v>1.3</v>
      </c>
      <c r="G1576" s="252" t="s">
        <v>1645</v>
      </c>
      <c r="H1576" s="296" t="s">
        <v>530</v>
      </c>
      <c r="I1576" s="252">
        <f>C67/1000</f>
        <v>6.04</v>
      </c>
      <c r="J1576" s="296" t="s">
        <v>1645</v>
      </c>
      <c r="K1576" s="252">
        <f>(F1576*I1576)</f>
        <v>7.85</v>
      </c>
      <c r="W1576" s="253"/>
      <c r="AE1576" s="370">
        <f t="shared" si="218"/>
        <v>0</v>
      </c>
    </row>
    <row r="1577" spans="6:31" ht="24" customHeight="1">
      <c r="F1577" s="494">
        <v>0.25</v>
      </c>
      <c r="G1577" s="252" t="s">
        <v>769</v>
      </c>
      <c r="H1577" s="296" t="s">
        <v>531</v>
      </c>
      <c r="I1577" s="252">
        <f>D14</f>
        <v>772</v>
      </c>
      <c r="J1577" s="296" t="s">
        <v>1398</v>
      </c>
      <c r="K1577" s="252">
        <f>(F1577*I1577)</f>
        <v>193</v>
      </c>
      <c r="W1577" s="253"/>
      <c r="AE1577" s="370">
        <f t="shared" si="218"/>
        <v>0</v>
      </c>
    </row>
    <row r="1578" spans="6:31" ht="24" customHeight="1">
      <c r="F1578" s="501"/>
      <c r="G1578" s="252" t="s">
        <v>449</v>
      </c>
      <c r="H1578" s="296" t="s">
        <v>450</v>
      </c>
      <c r="J1578" s="296" t="s">
        <v>449</v>
      </c>
      <c r="K1578" s="252">
        <f>(F1578*I1578)</f>
        <v>0</v>
      </c>
      <c r="W1578" s="253"/>
      <c r="AE1578" s="370">
        <f t="shared" si="218"/>
        <v>0</v>
      </c>
    </row>
    <row r="1579" spans="6:31" ht="24" customHeight="1">
      <c r="F1579" s="501"/>
      <c r="K1579" s="358" t="s">
        <v>1586</v>
      </c>
      <c r="W1579" s="253"/>
      <c r="AE1579" s="370">
        <f t="shared" si="218"/>
        <v>0</v>
      </c>
    </row>
    <row r="1580" spans="6:31" ht="24" customHeight="1">
      <c r="F1580" s="501"/>
      <c r="H1580" s="296" t="s">
        <v>532</v>
      </c>
      <c r="K1580" s="252">
        <f>SUM(K1573:K1578)</f>
        <v>9088.2000000000007</v>
      </c>
      <c r="W1580" s="253"/>
      <c r="AE1580" s="370">
        <f t="shared" si="218"/>
        <v>0</v>
      </c>
    </row>
    <row r="1581" spans="6:31" ht="24" customHeight="1">
      <c r="F1581" s="501"/>
      <c r="K1581" s="358" t="s">
        <v>1586</v>
      </c>
      <c r="W1581" s="253"/>
      <c r="AE1581" s="370">
        <f t="shared" si="218"/>
        <v>0</v>
      </c>
    </row>
    <row r="1582" spans="6:31" ht="24" customHeight="1">
      <c r="F1582" s="502"/>
      <c r="G1582" s="497"/>
      <c r="H1582" s="503" t="s">
        <v>533</v>
      </c>
      <c r="I1582" s="504"/>
      <c r="J1582" s="505"/>
      <c r="K1582" s="504">
        <f>(K1580*10)</f>
        <v>90882</v>
      </c>
      <c r="W1582" s="253"/>
      <c r="AE1582" s="370">
        <f t="shared" si="218"/>
        <v>0</v>
      </c>
    </row>
    <row r="1583" spans="6:31" ht="24" customHeight="1">
      <c r="F1583" s="356"/>
      <c r="K1583" s="358"/>
      <c r="W1583" s="253"/>
      <c r="AE1583" s="370">
        <f t="shared" si="218"/>
        <v>0</v>
      </c>
    </row>
    <row r="1584" spans="6:31" ht="24" customHeight="1">
      <c r="F1584" s="356"/>
      <c r="K1584" s="358"/>
      <c r="W1584" s="253"/>
      <c r="AE1584" s="370">
        <f t="shared" si="218"/>
        <v>0</v>
      </c>
    </row>
    <row r="1585" spans="6:31" ht="24" customHeight="1">
      <c r="F1585" s="356"/>
      <c r="H1585" s="274" t="s">
        <v>534</v>
      </c>
      <c r="K1585" s="358"/>
      <c r="W1585" s="253"/>
      <c r="AE1585" s="370">
        <f t="shared" si="218"/>
        <v>0</v>
      </c>
    </row>
    <row r="1586" spans="6:31" ht="24" customHeight="1">
      <c r="F1586" s="252">
        <v>1</v>
      </c>
      <c r="G1586" s="252" t="s">
        <v>526</v>
      </c>
      <c r="H1586" s="296" t="s">
        <v>535</v>
      </c>
      <c r="I1586" s="252">
        <f>C138</f>
        <v>58000</v>
      </c>
      <c r="J1586" s="296" t="s">
        <v>528</v>
      </c>
      <c r="K1586" s="252">
        <f>(F1586*I1586)/10</f>
        <v>5800</v>
      </c>
      <c r="W1586" s="253"/>
      <c r="AE1586" s="370">
        <f t="shared" si="218"/>
        <v>0</v>
      </c>
    </row>
    <row r="1587" spans="6:31" ht="24" customHeight="1">
      <c r="F1587" s="356">
        <v>0.01</v>
      </c>
      <c r="G1587" s="252" t="s">
        <v>526</v>
      </c>
      <c r="H1587" s="296" t="s">
        <v>192</v>
      </c>
      <c r="I1587" s="252">
        <f>C143</f>
        <v>56350</v>
      </c>
      <c r="J1587" s="296" t="s">
        <v>528</v>
      </c>
      <c r="K1587" s="252">
        <f>(F1587*I1587)/10</f>
        <v>56.35</v>
      </c>
      <c r="W1587" s="253"/>
      <c r="AE1587" s="370">
        <f t="shared" si="218"/>
        <v>0</v>
      </c>
    </row>
    <row r="1588" spans="6:31" ht="24" customHeight="1">
      <c r="F1588" s="356">
        <v>3.5</v>
      </c>
      <c r="G1588" s="252" t="s">
        <v>769</v>
      </c>
      <c r="H1588" s="296" t="s">
        <v>529</v>
      </c>
      <c r="I1588" s="252">
        <f>I1575</f>
        <v>866</v>
      </c>
      <c r="J1588" s="296" t="s">
        <v>1398</v>
      </c>
      <c r="K1588" s="252">
        <f>(F1588*I1588)</f>
        <v>3031</v>
      </c>
      <c r="W1588" s="253"/>
      <c r="AE1588" s="370">
        <f t="shared" si="218"/>
        <v>0</v>
      </c>
    </row>
    <row r="1589" spans="6:31" ht="24" customHeight="1">
      <c r="F1589" s="252">
        <v>1.3</v>
      </c>
      <c r="G1589" s="252" t="s">
        <v>1645</v>
      </c>
      <c r="H1589" s="296" t="s">
        <v>530</v>
      </c>
      <c r="I1589" s="252">
        <f>C67/1000</f>
        <v>6.04</v>
      </c>
      <c r="J1589" s="296" t="s">
        <v>1645</v>
      </c>
      <c r="K1589" s="252">
        <f>(F1589*I1589)</f>
        <v>7.85</v>
      </c>
      <c r="W1589" s="253"/>
      <c r="AE1589" s="370">
        <f t="shared" si="218"/>
        <v>0</v>
      </c>
    </row>
    <row r="1590" spans="6:31" ht="24" customHeight="1">
      <c r="F1590" s="252">
        <v>0.25</v>
      </c>
      <c r="G1590" s="252" t="s">
        <v>769</v>
      </c>
      <c r="H1590" s="296" t="s">
        <v>531</v>
      </c>
      <c r="I1590" s="252">
        <f>D14</f>
        <v>772</v>
      </c>
      <c r="J1590" s="296" t="s">
        <v>1398</v>
      </c>
      <c r="K1590" s="252">
        <f>(F1590*I1590)</f>
        <v>193</v>
      </c>
      <c r="W1590" s="253"/>
      <c r="AE1590" s="370">
        <f t="shared" si="218"/>
        <v>0</v>
      </c>
    </row>
    <row r="1591" spans="6:31" ht="24" customHeight="1">
      <c r="F1591" s="356"/>
      <c r="G1591" s="252" t="s">
        <v>449</v>
      </c>
      <c r="H1591" s="296" t="s">
        <v>450</v>
      </c>
      <c r="J1591" s="296" t="s">
        <v>449</v>
      </c>
      <c r="K1591" s="252">
        <f>(F1591*I1591)</f>
        <v>0</v>
      </c>
      <c r="W1591" s="253"/>
      <c r="AE1591" s="370">
        <f t="shared" si="218"/>
        <v>0</v>
      </c>
    </row>
    <row r="1592" spans="6:31" ht="24" customHeight="1">
      <c r="F1592" s="356"/>
      <c r="K1592" s="358" t="s">
        <v>1586</v>
      </c>
      <c r="W1592" s="253"/>
      <c r="AE1592" s="370">
        <f t="shared" si="218"/>
        <v>0</v>
      </c>
    </row>
    <row r="1593" spans="6:31" ht="24" customHeight="1">
      <c r="F1593" s="356"/>
      <c r="H1593" s="296" t="s">
        <v>532</v>
      </c>
      <c r="K1593" s="252">
        <f>SUM(K1586:K1591)</f>
        <v>9088.2000000000007</v>
      </c>
      <c r="W1593" s="253"/>
      <c r="AE1593" s="370">
        <f t="shared" si="218"/>
        <v>0</v>
      </c>
    </row>
    <row r="1594" spans="6:31" ht="24" customHeight="1">
      <c r="F1594" s="356"/>
      <c r="K1594" s="358" t="s">
        <v>1586</v>
      </c>
      <c r="W1594" s="253"/>
      <c r="AE1594" s="370">
        <f t="shared" si="218"/>
        <v>0</v>
      </c>
    </row>
    <row r="1595" spans="6:31" ht="24" customHeight="1">
      <c r="F1595" s="356" t="s">
        <v>975</v>
      </c>
      <c r="H1595" s="255" t="s">
        <v>533</v>
      </c>
      <c r="I1595" s="274"/>
      <c r="J1595" s="276"/>
      <c r="K1595" s="274">
        <f>(K1593*10)</f>
        <v>90882</v>
      </c>
      <c r="W1595" s="253"/>
      <c r="AE1595" s="370">
        <f t="shared" si="218"/>
        <v>0</v>
      </c>
    </row>
    <row r="1596" spans="6:31" ht="24" customHeight="1">
      <c r="F1596" s="356"/>
      <c r="K1596" s="358" t="s">
        <v>2055</v>
      </c>
      <c r="W1596" s="253"/>
      <c r="AE1596" s="370">
        <f t="shared" si="218"/>
        <v>0</v>
      </c>
    </row>
    <row r="1597" spans="6:31" ht="24" customHeight="1">
      <c r="F1597" s="356"/>
      <c r="H1597" s="296" t="s">
        <v>975</v>
      </c>
      <c r="K1597" s="296" t="s">
        <v>975</v>
      </c>
      <c r="W1597" s="253"/>
      <c r="AE1597" s="370">
        <f t="shared" si="218"/>
        <v>0</v>
      </c>
    </row>
    <row r="1598" spans="6:31" ht="24" customHeight="1">
      <c r="F1598" s="384" t="s">
        <v>536</v>
      </c>
      <c r="G1598" s="252" t="s">
        <v>1907</v>
      </c>
      <c r="H1598" s="296" t="s">
        <v>551</v>
      </c>
      <c r="O1598" s="274" t="s">
        <v>3876</v>
      </c>
      <c r="W1598" s="253"/>
      <c r="AE1598" s="370">
        <f t="shared" ref="AE1598:AE1661" si="220">AG1598</f>
        <v>0</v>
      </c>
    </row>
    <row r="1599" spans="6:31" ht="24" customHeight="1">
      <c r="F1599" s="356"/>
      <c r="H1599" s="296" t="s">
        <v>537</v>
      </c>
      <c r="M1599" s="384" t="s">
        <v>536</v>
      </c>
      <c r="N1599" s="252" t="s">
        <v>1907</v>
      </c>
      <c r="O1599" s="296" t="s">
        <v>551</v>
      </c>
      <c r="Q1599" s="296"/>
      <c r="W1599" s="253"/>
      <c r="AE1599" s="370">
        <f t="shared" si="220"/>
        <v>0</v>
      </c>
    </row>
    <row r="1600" spans="6:31" ht="24" customHeight="1">
      <c r="F1600" s="356"/>
      <c r="H1600" s="358" t="s">
        <v>1586</v>
      </c>
      <c r="M1600" s="356"/>
      <c r="O1600" s="296" t="s">
        <v>537</v>
      </c>
      <c r="Q1600" s="296"/>
      <c r="W1600" s="253"/>
      <c r="AE1600" s="370">
        <f t="shared" si="220"/>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0"/>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0"/>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0"/>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0"/>
        <v>0</v>
      </c>
    </row>
    <row r="1605" spans="6:31" ht="24" customHeight="1">
      <c r="K1605" s="358" t="s">
        <v>1586</v>
      </c>
      <c r="M1605" s="356"/>
      <c r="N1605" s="252" t="s">
        <v>449</v>
      </c>
      <c r="O1605" s="296" t="s">
        <v>450</v>
      </c>
      <c r="Q1605" s="296" t="s">
        <v>449</v>
      </c>
      <c r="R1605" s="252">
        <v>0</v>
      </c>
      <c r="W1605" s="253"/>
      <c r="AE1605" s="370">
        <f t="shared" si="220"/>
        <v>0</v>
      </c>
    </row>
    <row r="1606" spans="6:31" ht="24" customHeight="1">
      <c r="H1606" s="296" t="s">
        <v>532</v>
      </c>
      <c r="K1606" s="252">
        <f>SUM(K1601:K1604)</f>
        <v>8887.35</v>
      </c>
      <c r="Q1606" s="296"/>
      <c r="R1606" s="358" t="s">
        <v>1586</v>
      </c>
      <c r="W1606" s="253"/>
      <c r="AE1606" s="370">
        <f t="shared" si="220"/>
        <v>0</v>
      </c>
    </row>
    <row r="1607" spans="6:31" ht="24" customHeight="1">
      <c r="K1607" s="358" t="s">
        <v>1586</v>
      </c>
      <c r="O1607" s="296" t="s">
        <v>532</v>
      </c>
      <c r="Q1607" s="296"/>
      <c r="R1607" s="252">
        <f>SUM(R1602:R1605)</f>
        <v>8902.43</v>
      </c>
      <c r="W1607" s="253"/>
      <c r="AE1607" s="370">
        <f t="shared" si="220"/>
        <v>0</v>
      </c>
    </row>
    <row r="1608" spans="6:31" ht="24" customHeight="1">
      <c r="H1608" s="255" t="s">
        <v>533</v>
      </c>
      <c r="I1608" s="274"/>
      <c r="J1608" s="276"/>
      <c r="K1608" s="274">
        <f>(K1606*10)</f>
        <v>88873.5</v>
      </c>
      <c r="Q1608" s="296"/>
      <c r="R1608" s="358" t="s">
        <v>1586</v>
      </c>
      <c r="W1608" s="253"/>
      <c r="AE1608" s="370">
        <f t="shared" si="220"/>
        <v>0</v>
      </c>
    </row>
    <row r="1609" spans="6:31" ht="24" customHeight="1">
      <c r="H1609" s="296" t="s">
        <v>975</v>
      </c>
      <c r="K1609" s="296" t="s">
        <v>975</v>
      </c>
      <c r="O1609" s="255" t="s">
        <v>533</v>
      </c>
      <c r="P1609" s="274"/>
      <c r="Q1609" s="276"/>
      <c r="R1609" s="274">
        <f>(R1607*10)</f>
        <v>89024.3</v>
      </c>
      <c r="W1609" s="253"/>
      <c r="AE1609" s="370">
        <f t="shared" si="220"/>
        <v>0</v>
      </c>
    </row>
    <row r="1610" spans="6:31" ht="24" customHeight="1">
      <c r="G1610" s="252" t="s">
        <v>520</v>
      </c>
      <c r="H1610" s="296" t="s">
        <v>551</v>
      </c>
      <c r="K1610" s="296"/>
      <c r="W1610" s="253"/>
      <c r="AE1610" s="370">
        <f t="shared" si="220"/>
        <v>0</v>
      </c>
    </row>
    <row r="1611" spans="6:31" ht="24" customHeight="1">
      <c r="H1611" s="296" t="s">
        <v>1595</v>
      </c>
      <c r="K1611" s="296"/>
      <c r="N1611" s="252" t="s">
        <v>520</v>
      </c>
      <c r="O1611" s="296" t="s">
        <v>551</v>
      </c>
      <c r="Q1611" s="296"/>
      <c r="R1611" s="296"/>
      <c r="W1611" s="253"/>
      <c r="AE1611" s="370">
        <f t="shared" si="220"/>
        <v>0</v>
      </c>
    </row>
    <row r="1612" spans="6:31" ht="24" customHeight="1">
      <c r="F1612" s="356"/>
      <c r="H1612" s="358" t="s">
        <v>1586</v>
      </c>
      <c r="K1612" s="296"/>
      <c r="O1612" s="296" t="s">
        <v>1595</v>
      </c>
      <c r="Q1612" s="296"/>
      <c r="R1612" s="296"/>
      <c r="W1612" s="253"/>
      <c r="AE1612" s="370">
        <f t="shared" si="220"/>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0"/>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0"/>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0"/>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0"/>
        <v>0</v>
      </c>
    </row>
    <row r="1617" spans="6:31" ht="24" customHeight="1">
      <c r="K1617" s="358" t="s">
        <v>1586</v>
      </c>
      <c r="M1617" s="356"/>
      <c r="N1617" s="252" t="s">
        <v>526</v>
      </c>
      <c r="O1617" s="296" t="s">
        <v>450</v>
      </c>
      <c r="Q1617" s="296" t="s">
        <v>449</v>
      </c>
      <c r="R1617" s="252">
        <v>0</v>
      </c>
      <c r="W1617" s="253"/>
      <c r="AE1617" s="370">
        <f t="shared" si="220"/>
        <v>0</v>
      </c>
    </row>
    <row r="1618" spans="6:31" ht="24" customHeight="1">
      <c r="H1618" s="296" t="s">
        <v>532</v>
      </c>
      <c r="K1618" s="252">
        <f>SUM(K1613:K1616)</f>
        <v>8887.35</v>
      </c>
      <c r="Q1618" s="296"/>
      <c r="R1618" s="358" t="s">
        <v>1586</v>
      </c>
      <c r="W1618" s="253"/>
      <c r="AE1618" s="370">
        <f t="shared" si="220"/>
        <v>0</v>
      </c>
    </row>
    <row r="1619" spans="6:31" ht="24" customHeight="1">
      <c r="K1619" s="358" t="s">
        <v>1586</v>
      </c>
      <c r="O1619" s="296" t="s">
        <v>532</v>
      </c>
      <c r="Q1619" s="296"/>
      <c r="R1619" s="252">
        <f>SUM(R1614:R1617)</f>
        <v>8902.43</v>
      </c>
      <c r="W1619" s="253"/>
      <c r="AE1619" s="370">
        <f t="shared" si="220"/>
        <v>0</v>
      </c>
    </row>
    <row r="1620" spans="6:31" ht="24" customHeight="1">
      <c r="H1620" s="255" t="s">
        <v>533</v>
      </c>
      <c r="I1620" s="274"/>
      <c r="J1620" s="276"/>
      <c r="K1620" s="274">
        <f>(K1618*10)</f>
        <v>88873.5</v>
      </c>
      <c r="Q1620" s="296"/>
      <c r="R1620" s="358" t="s">
        <v>1586</v>
      </c>
      <c r="W1620" s="253"/>
      <c r="AE1620" s="370">
        <f t="shared" si="220"/>
        <v>0</v>
      </c>
    </row>
    <row r="1621" spans="6:31" ht="24" customHeight="1">
      <c r="H1621" s="296" t="s">
        <v>975</v>
      </c>
      <c r="O1621" s="255" t="s">
        <v>533</v>
      </c>
      <c r="P1621" s="274"/>
      <c r="Q1621" s="276"/>
      <c r="R1621" s="274">
        <f>(R1619*10)</f>
        <v>89024.3</v>
      </c>
      <c r="W1621" s="253"/>
      <c r="AE1621" s="370">
        <f t="shared" si="220"/>
        <v>0</v>
      </c>
    </row>
    <row r="1622" spans="6:31" ht="24" customHeight="1">
      <c r="F1622" s="375">
        <v>44.1</v>
      </c>
      <c r="G1622" s="252" t="s">
        <v>2251</v>
      </c>
      <c r="H1622" s="296" t="s">
        <v>1596</v>
      </c>
      <c r="W1622" s="253"/>
      <c r="AE1622" s="370">
        <f t="shared" si="220"/>
        <v>0</v>
      </c>
    </row>
    <row r="1623" spans="6:31" ht="24" customHeight="1">
      <c r="H1623" s="296" t="s">
        <v>1597</v>
      </c>
      <c r="R1623" s="252" t="s">
        <v>249</v>
      </c>
      <c r="W1623" s="253"/>
      <c r="AE1623" s="370">
        <f t="shared" si="220"/>
        <v>0</v>
      </c>
    </row>
    <row r="1624" spans="6:31" ht="24" customHeight="1">
      <c r="H1624" s="296" t="s">
        <v>6143</v>
      </c>
      <c r="M1624" s="375">
        <v>44.1</v>
      </c>
      <c r="N1624" s="252" t="s">
        <v>2251</v>
      </c>
      <c r="O1624" s="296" t="s">
        <v>1596</v>
      </c>
      <c r="W1624" s="253"/>
      <c r="AE1624" s="370">
        <f t="shared" si="220"/>
        <v>0</v>
      </c>
    </row>
    <row r="1625" spans="6:31" ht="24" customHeight="1">
      <c r="H1625" s="358" t="s">
        <v>1586</v>
      </c>
      <c r="O1625" s="296" t="s">
        <v>1597</v>
      </c>
      <c r="W1625" s="253"/>
      <c r="AE1625" s="370">
        <f t="shared" si="220"/>
        <v>0</v>
      </c>
    </row>
    <row r="1626" spans="6:31" ht="24" customHeight="1">
      <c r="F1626" s="252">
        <v>3</v>
      </c>
      <c r="G1626" s="252" t="s">
        <v>1771</v>
      </c>
      <c r="H1626" s="296" t="s">
        <v>2046</v>
      </c>
      <c r="I1626" s="252">
        <f>D620</f>
        <v>120.54</v>
      </c>
      <c r="J1626" s="296" t="s">
        <v>1771</v>
      </c>
      <c r="K1626" s="252">
        <f t="shared" ref="K1626:K1631" si="221">(F1626*I1626)</f>
        <v>361.62</v>
      </c>
      <c r="O1626" s="296" t="s">
        <v>6143</v>
      </c>
      <c r="W1626" s="253"/>
      <c r="AE1626" s="370">
        <f t="shared" si="220"/>
        <v>0</v>
      </c>
    </row>
    <row r="1627" spans="6:31" ht="24" customHeight="1">
      <c r="F1627" s="252">
        <v>1</v>
      </c>
      <c r="G1627" s="252" t="s">
        <v>868</v>
      </c>
      <c r="H1627" s="296" t="s">
        <v>2099</v>
      </c>
      <c r="I1627" s="420">
        <f>(C623)</f>
        <v>76</v>
      </c>
      <c r="J1627" s="296" t="s">
        <v>868</v>
      </c>
      <c r="K1627" s="252">
        <f t="shared" si="221"/>
        <v>76</v>
      </c>
      <c r="O1627" s="358" t="s">
        <v>1586</v>
      </c>
      <c r="W1627" s="253"/>
      <c r="AE1627" s="370">
        <f t="shared" si="220"/>
        <v>0</v>
      </c>
    </row>
    <row r="1628" spans="6:31" ht="24" customHeight="1">
      <c r="F1628" s="252">
        <v>1</v>
      </c>
      <c r="G1628" s="252" t="s">
        <v>868</v>
      </c>
      <c r="H1628" s="296" t="s">
        <v>2100</v>
      </c>
      <c r="I1628" s="252">
        <f>(C626)</f>
        <v>83.4</v>
      </c>
      <c r="J1628" s="296" t="s">
        <v>868</v>
      </c>
      <c r="K1628" s="252">
        <f t="shared" si="221"/>
        <v>83.4</v>
      </c>
      <c r="M1628" s="252">
        <v>3</v>
      </c>
      <c r="N1628" s="252" t="s">
        <v>1771</v>
      </c>
      <c r="O1628" s="296" t="s">
        <v>2046</v>
      </c>
      <c r="P1628" s="252">
        <f>I1626</f>
        <v>120.54</v>
      </c>
      <c r="Q1628" s="252" t="str">
        <f>J1628</f>
        <v>NO.</v>
      </c>
      <c r="R1628" s="252">
        <f t="shared" ref="R1628:R1633" si="222">P1628*M1628</f>
        <v>361.62</v>
      </c>
      <c r="W1628" s="253"/>
      <c r="AE1628" s="370">
        <f t="shared" si="220"/>
        <v>0</v>
      </c>
    </row>
    <row r="1629" spans="6:31" ht="24" customHeight="1">
      <c r="F1629" s="252">
        <v>2</v>
      </c>
      <c r="G1629" s="252" t="s">
        <v>868</v>
      </c>
      <c r="H1629" s="296" t="s">
        <v>2101</v>
      </c>
      <c r="I1629" s="252">
        <f>C597</f>
        <v>21.6</v>
      </c>
      <c r="J1629" s="296" t="s">
        <v>868</v>
      </c>
      <c r="K1629" s="252">
        <f t="shared" si="221"/>
        <v>43.2</v>
      </c>
      <c r="M1629" s="252">
        <v>1</v>
      </c>
      <c r="N1629" s="252" t="s">
        <v>868</v>
      </c>
      <c r="O1629" s="296" t="s">
        <v>2099</v>
      </c>
      <c r="P1629" s="314">
        <v>76.78</v>
      </c>
      <c r="Q1629" s="252" t="str">
        <f>J1629</f>
        <v>NO.</v>
      </c>
      <c r="R1629" s="252">
        <f t="shared" si="222"/>
        <v>76.78</v>
      </c>
      <c r="W1629" s="253"/>
      <c r="AE1629" s="370">
        <f t="shared" si="220"/>
        <v>0</v>
      </c>
    </row>
    <row r="1630" spans="6:31" ht="24" customHeight="1">
      <c r="F1630" s="252">
        <v>1</v>
      </c>
      <c r="G1630" s="252" t="s">
        <v>868</v>
      </c>
      <c r="H1630" s="296" t="s">
        <v>2102</v>
      </c>
      <c r="I1630" s="252">
        <f>(C696)</f>
        <v>32.1</v>
      </c>
      <c r="J1630" s="296" t="s">
        <v>868</v>
      </c>
      <c r="K1630" s="252">
        <f t="shared" si="221"/>
        <v>32.1</v>
      </c>
      <c r="M1630" s="252">
        <v>1</v>
      </c>
      <c r="N1630" s="252" t="s">
        <v>868</v>
      </c>
      <c r="O1630" s="296" t="s">
        <v>2100</v>
      </c>
      <c r="P1630" s="252">
        <f>I1628</f>
        <v>83.4</v>
      </c>
      <c r="Q1630" s="252" t="str">
        <f>J1630</f>
        <v>NO.</v>
      </c>
      <c r="R1630" s="252">
        <f t="shared" si="222"/>
        <v>83.4</v>
      </c>
      <c r="W1630" s="253"/>
      <c r="AE1630" s="370">
        <f t="shared" si="220"/>
        <v>0</v>
      </c>
    </row>
    <row r="1631" spans="6:31" ht="24" customHeight="1">
      <c r="F1631" s="252">
        <v>0.5</v>
      </c>
      <c r="G1631" s="252" t="s">
        <v>868</v>
      </c>
      <c r="H1631" s="296" t="s">
        <v>2103</v>
      </c>
      <c r="I1631" s="252">
        <f>(C15)</f>
        <v>866</v>
      </c>
      <c r="J1631" s="296" t="s">
        <v>868</v>
      </c>
      <c r="K1631" s="252">
        <f t="shared" si="221"/>
        <v>433</v>
      </c>
      <c r="M1631" s="274">
        <v>2</v>
      </c>
      <c r="N1631" s="274" t="s">
        <v>1030</v>
      </c>
      <c r="O1631" s="506" t="s">
        <v>4230</v>
      </c>
      <c r="P1631" s="314">
        <v>12</v>
      </c>
      <c r="Q1631" s="252" t="str">
        <f>J1631</f>
        <v>NO.</v>
      </c>
      <c r="R1631" s="252">
        <f t="shared" si="222"/>
        <v>24</v>
      </c>
      <c r="W1631" s="253"/>
      <c r="AE1631" s="370">
        <f t="shared" si="220"/>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2"/>
        <v>32.1</v>
      </c>
      <c r="W1632" s="253"/>
      <c r="AE1632" s="370">
        <f t="shared" si="220"/>
        <v>0</v>
      </c>
    </row>
    <row r="1633" spans="6:31" ht="24" customHeight="1">
      <c r="H1633" s="296" t="s">
        <v>20</v>
      </c>
      <c r="M1633" s="252">
        <v>0.5</v>
      </c>
      <c r="N1633" s="252" t="s">
        <v>1030</v>
      </c>
      <c r="O1633" s="296" t="s">
        <v>2103</v>
      </c>
      <c r="P1633" s="252">
        <f>I1631</f>
        <v>866</v>
      </c>
      <c r="R1633" s="252">
        <f t="shared" si="222"/>
        <v>433</v>
      </c>
      <c r="W1633" s="253"/>
      <c r="AE1633" s="370">
        <f t="shared" si="220"/>
        <v>0</v>
      </c>
    </row>
    <row r="1634" spans="6:31" ht="24" customHeight="1">
      <c r="K1634" s="358" t="s">
        <v>1586</v>
      </c>
      <c r="N1634" s="252" t="s">
        <v>1030</v>
      </c>
      <c r="O1634" s="296" t="s">
        <v>605</v>
      </c>
      <c r="P1634" s="252">
        <f>I1634</f>
        <v>0</v>
      </c>
      <c r="W1634" s="253"/>
      <c r="AE1634" s="370">
        <f t="shared" si="220"/>
        <v>0</v>
      </c>
    </row>
    <row r="1635" spans="6:31" ht="24" customHeight="1">
      <c r="H1635" s="296" t="s">
        <v>1317</v>
      </c>
      <c r="K1635" s="252">
        <f>SUM(K1626:K1632)</f>
        <v>1029.32</v>
      </c>
      <c r="O1635" s="296" t="s">
        <v>20</v>
      </c>
      <c r="R1635" s="252">
        <f>26.98+4.7</f>
        <v>31.68</v>
      </c>
      <c r="W1635" s="253"/>
      <c r="AE1635" s="370">
        <f t="shared" si="220"/>
        <v>0</v>
      </c>
    </row>
    <row r="1636" spans="6:31" ht="24" customHeight="1">
      <c r="F1636" s="296" t="s">
        <v>975</v>
      </c>
      <c r="W1636" s="253"/>
      <c r="AE1636" s="370">
        <f t="shared" si="220"/>
        <v>0</v>
      </c>
    </row>
    <row r="1637" spans="6:31" ht="24" customHeight="1">
      <c r="K1637" s="358" t="s">
        <v>1586</v>
      </c>
      <c r="O1637" s="296" t="s">
        <v>1317</v>
      </c>
      <c r="R1637" s="274">
        <f>SUM(R1628:R1636)</f>
        <v>1042.58</v>
      </c>
      <c r="W1637" s="253"/>
      <c r="AE1637" s="370">
        <f t="shared" si="220"/>
        <v>0</v>
      </c>
    </row>
    <row r="1638" spans="6:31" ht="24" customHeight="1">
      <c r="H1638" s="255" t="s">
        <v>1545</v>
      </c>
      <c r="I1638" s="274"/>
      <c r="J1638" s="276"/>
      <c r="K1638" s="274">
        <f>(K1635/3)</f>
        <v>343.11</v>
      </c>
      <c r="W1638" s="253"/>
      <c r="AE1638" s="370">
        <f t="shared" si="220"/>
        <v>0</v>
      </c>
    </row>
    <row r="1639" spans="6:31" ht="24" customHeight="1">
      <c r="H1639" s="296"/>
      <c r="K1639" s="358" t="s">
        <v>2055</v>
      </c>
      <c r="Q1639" s="296"/>
      <c r="R1639" s="358" t="s">
        <v>1586</v>
      </c>
      <c r="W1639" s="253"/>
      <c r="AE1639" s="370">
        <f t="shared" si="220"/>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0"/>
        <v>0</v>
      </c>
    </row>
    <row r="1641" spans="6:31" ht="24" customHeight="1">
      <c r="H1641" s="296" t="s">
        <v>15</v>
      </c>
      <c r="O1641" s="296"/>
      <c r="Q1641" s="296"/>
      <c r="R1641" s="358" t="s">
        <v>2055</v>
      </c>
      <c r="W1641" s="253"/>
      <c r="AE1641" s="370">
        <f t="shared" si="220"/>
        <v>0</v>
      </c>
    </row>
    <row r="1642" spans="6:31" ht="24" customHeight="1">
      <c r="H1642" s="296" t="s">
        <v>2036</v>
      </c>
      <c r="W1642" s="253"/>
      <c r="AE1642" s="370">
        <f t="shared" si="220"/>
        <v>0</v>
      </c>
    </row>
    <row r="1643" spans="6:31" ht="24" customHeight="1">
      <c r="H1643" s="358" t="s">
        <v>1586</v>
      </c>
      <c r="W1643" s="253"/>
      <c r="AE1643" s="370">
        <f t="shared" si="220"/>
        <v>0</v>
      </c>
    </row>
    <row r="1644" spans="6:31" ht="24" customHeight="1">
      <c r="F1644" s="252">
        <v>0.15</v>
      </c>
      <c r="G1644" s="252" t="s">
        <v>869</v>
      </c>
      <c r="H1644" s="296" t="s">
        <v>2037</v>
      </c>
      <c r="I1644" s="252">
        <f>(C70)</f>
        <v>969.85</v>
      </c>
      <c r="J1644" s="296" t="s">
        <v>869</v>
      </c>
      <c r="K1644" s="252">
        <f>(F1644*I1644)</f>
        <v>145.47999999999999</v>
      </c>
      <c r="W1644" s="253"/>
      <c r="AE1644" s="370">
        <f t="shared" si="220"/>
        <v>0</v>
      </c>
    </row>
    <row r="1645" spans="6:31" ht="24" customHeight="1">
      <c r="F1645" s="316">
        <v>8.6499999999999994E-2</v>
      </c>
      <c r="G1645" s="252" t="s">
        <v>861</v>
      </c>
      <c r="H1645" s="296" t="s">
        <v>862</v>
      </c>
      <c r="I1645" s="252">
        <f>(C67)</f>
        <v>6040</v>
      </c>
      <c r="J1645" s="296" t="s">
        <v>861</v>
      </c>
      <c r="K1645" s="252">
        <f>(F1645*I1645)</f>
        <v>522.46</v>
      </c>
      <c r="W1645" s="253"/>
      <c r="AE1645" s="370">
        <f t="shared" si="220"/>
        <v>0</v>
      </c>
    </row>
    <row r="1646" spans="6:31" ht="24" customHeight="1">
      <c r="F1646" s="252">
        <v>1.6</v>
      </c>
      <c r="G1646" s="252" t="s">
        <v>769</v>
      </c>
      <c r="H1646" s="296" t="s">
        <v>2009</v>
      </c>
      <c r="I1646" s="252">
        <f>(C10)</f>
        <v>999</v>
      </c>
      <c r="J1646" s="296" t="s">
        <v>769</v>
      </c>
      <c r="K1646" s="252">
        <f>(F1646*I1646)</f>
        <v>1598.4</v>
      </c>
      <c r="W1646" s="253"/>
      <c r="AE1646" s="370">
        <f t="shared" si="220"/>
        <v>0</v>
      </c>
    </row>
    <row r="1647" spans="6:31" ht="24" customHeight="1">
      <c r="F1647" s="252">
        <v>0.5</v>
      </c>
      <c r="G1647" s="252" t="s">
        <v>769</v>
      </c>
      <c r="H1647" s="296" t="s">
        <v>1902</v>
      </c>
      <c r="I1647" s="252">
        <f>(C12)</f>
        <v>651</v>
      </c>
      <c r="J1647" s="296" t="s">
        <v>769</v>
      </c>
      <c r="K1647" s="252">
        <f>(F1647*I1647)</f>
        <v>325.5</v>
      </c>
      <c r="W1647" s="253"/>
      <c r="AE1647" s="370">
        <f t="shared" si="220"/>
        <v>0</v>
      </c>
    </row>
    <row r="1648" spans="6:31" ht="24" customHeight="1">
      <c r="F1648" s="252">
        <v>1.1000000000000001</v>
      </c>
      <c r="G1648" s="252" t="s">
        <v>769</v>
      </c>
      <c r="H1648" s="296" t="s">
        <v>320</v>
      </c>
      <c r="I1648" s="252">
        <f>(C13)</f>
        <v>534</v>
      </c>
      <c r="J1648" s="296" t="s">
        <v>769</v>
      </c>
      <c r="K1648" s="252">
        <f>(F1648*I1648)</f>
        <v>587.4</v>
      </c>
      <c r="W1648" s="253"/>
      <c r="AE1648" s="370">
        <f t="shared" si="220"/>
        <v>0</v>
      </c>
    </row>
    <row r="1649" spans="6:31" ht="24" customHeight="1">
      <c r="G1649" s="252" t="s">
        <v>449</v>
      </c>
      <c r="H1649" s="296" t="s">
        <v>450</v>
      </c>
      <c r="I1649" s="296" t="s">
        <v>975</v>
      </c>
      <c r="J1649" s="296" t="s">
        <v>449</v>
      </c>
      <c r="K1649" s="252">
        <v>0</v>
      </c>
      <c r="W1649" s="253"/>
      <c r="AE1649" s="370">
        <f t="shared" si="220"/>
        <v>0</v>
      </c>
    </row>
    <row r="1650" spans="6:31" ht="24" customHeight="1">
      <c r="K1650" s="358" t="s">
        <v>1586</v>
      </c>
      <c r="W1650" s="253"/>
      <c r="AE1650" s="370">
        <f t="shared" si="220"/>
        <v>0</v>
      </c>
    </row>
    <row r="1651" spans="6:31" ht="24" customHeight="1">
      <c r="H1651" s="296" t="s">
        <v>441</v>
      </c>
      <c r="K1651" s="252">
        <f>SUM(K1644:K1649)</f>
        <v>3179.24</v>
      </c>
      <c r="W1651" s="253"/>
      <c r="AE1651" s="370">
        <f t="shared" si="220"/>
        <v>0</v>
      </c>
    </row>
    <row r="1652" spans="6:31" ht="24" customHeight="1">
      <c r="K1652" s="358" t="s">
        <v>1586</v>
      </c>
      <c r="W1652" s="253"/>
      <c r="AE1652" s="370">
        <f t="shared" si="220"/>
        <v>0</v>
      </c>
    </row>
    <row r="1653" spans="6:31" ht="24" customHeight="1">
      <c r="H1653" s="255" t="s">
        <v>552</v>
      </c>
      <c r="I1653" s="274"/>
      <c r="J1653" s="276"/>
      <c r="K1653" s="274">
        <f>(K1651/10)</f>
        <v>317.92</v>
      </c>
      <c r="W1653" s="253"/>
      <c r="AE1653" s="370">
        <f t="shared" si="220"/>
        <v>0</v>
      </c>
    </row>
    <row r="1654" spans="6:31" ht="24" customHeight="1">
      <c r="K1654" s="358" t="s">
        <v>2055</v>
      </c>
      <c r="W1654" s="253"/>
      <c r="AE1654" s="370">
        <f t="shared" si="220"/>
        <v>0</v>
      </c>
    </row>
    <row r="1655" spans="6:31" ht="24" customHeight="1">
      <c r="F1655" s="253" t="s">
        <v>2038</v>
      </c>
      <c r="G1655" s="252" t="s">
        <v>2251</v>
      </c>
      <c r="H1655" s="296" t="s">
        <v>2039</v>
      </c>
      <c r="W1655" s="253"/>
      <c r="AE1655" s="370">
        <f t="shared" si="220"/>
        <v>0</v>
      </c>
    </row>
    <row r="1656" spans="6:31" ht="24" customHeight="1">
      <c r="H1656" s="296" t="s">
        <v>1211</v>
      </c>
      <c r="W1656" s="253"/>
      <c r="AE1656" s="370">
        <f t="shared" si="220"/>
        <v>0</v>
      </c>
    </row>
    <row r="1657" spans="6:31" ht="24" customHeight="1">
      <c r="H1657" s="296" t="s">
        <v>1212</v>
      </c>
      <c r="J1657" s="296" t="s">
        <v>975</v>
      </c>
      <c r="W1657" s="253"/>
      <c r="AE1657" s="370">
        <f t="shared" si="220"/>
        <v>0</v>
      </c>
    </row>
    <row r="1658" spans="6:31" ht="24" customHeight="1">
      <c r="H1658" s="296" t="s">
        <v>1107</v>
      </c>
      <c r="W1658" s="253"/>
      <c r="AE1658" s="370">
        <f t="shared" si="220"/>
        <v>0</v>
      </c>
    </row>
    <row r="1659" spans="6:31" ht="24" customHeight="1">
      <c r="H1659" s="296" t="s">
        <v>1026</v>
      </c>
      <c r="W1659" s="253"/>
      <c r="AE1659" s="370">
        <f t="shared" si="220"/>
        <v>0</v>
      </c>
    </row>
    <row r="1660" spans="6:31" ht="24" customHeight="1">
      <c r="H1660" s="296" t="s">
        <v>1812</v>
      </c>
      <c r="W1660" s="253"/>
      <c r="AE1660" s="370">
        <f t="shared" si="220"/>
        <v>0</v>
      </c>
    </row>
    <row r="1661" spans="6:31" ht="24" customHeight="1">
      <c r="H1661" s="296" t="s">
        <v>278</v>
      </c>
      <c r="W1661" s="253"/>
      <c r="AE1661" s="370">
        <f t="shared" si="220"/>
        <v>0</v>
      </c>
    </row>
    <row r="1662" spans="6:31" ht="24" customHeight="1">
      <c r="H1662" s="296" t="s">
        <v>279</v>
      </c>
      <c r="W1662" s="253"/>
      <c r="AE1662" s="370">
        <f t="shared" ref="AE1662:AE1695" si="223">AG1662</f>
        <v>0</v>
      </c>
    </row>
    <row r="1663" spans="6:31" ht="24" customHeight="1">
      <c r="H1663" s="296" t="s">
        <v>280</v>
      </c>
      <c r="W1663" s="253"/>
      <c r="AE1663" s="370">
        <f t="shared" si="223"/>
        <v>0</v>
      </c>
    </row>
    <row r="1664" spans="6:31" ht="24" customHeight="1">
      <c r="H1664" s="358" t="s">
        <v>2055</v>
      </c>
      <c r="W1664" s="253"/>
      <c r="AE1664" s="370">
        <f t="shared" si="223"/>
        <v>0</v>
      </c>
    </row>
    <row r="1665" spans="6:31" ht="24" customHeight="1">
      <c r="W1665" s="253"/>
      <c r="AE1665" s="370">
        <f t="shared" si="223"/>
        <v>0</v>
      </c>
    </row>
    <row r="1666" spans="6:31" ht="24" customHeight="1">
      <c r="F1666" s="252">
        <v>1</v>
      </c>
      <c r="G1666" s="252" t="s">
        <v>826</v>
      </c>
      <c r="H1666" s="296" t="s">
        <v>3506</v>
      </c>
      <c r="I1666" s="434">
        <v>45.72</v>
      </c>
      <c r="J1666" s="296" t="s">
        <v>826</v>
      </c>
      <c r="K1666" s="252">
        <f>(F1666*I1666)</f>
        <v>45.72</v>
      </c>
      <c r="W1666" s="253"/>
      <c r="AE1666" s="370">
        <f t="shared" si="223"/>
        <v>0</v>
      </c>
    </row>
    <row r="1667" spans="6:31" ht="24" customHeight="1">
      <c r="F1667" s="252">
        <v>1</v>
      </c>
      <c r="G1667" s="252" t="s">
        <v>282</v>
      </c>
      <c r="H1667" s="296" t="s">
        <v>1155</v>
      </c>
      <c r="I1667" s="434">
        <v>5</v>
      </c>
      <c r="J1667" s="296" t="s">
        <v>282</v>
      </c>
      <c r="K1667" s="252">
        <f>(F1667*I1667)</f>
        <v>5</v>
      </c>
      <c r="W1667" s="253"/>
      <c r="AE1667" s="370">
        <f t="shared" si="223"/>
        <v>0</v>
      </c>
    </row>
    <row r="1668" spans="6:31" ht="24" customHeight="1">
      <c r="G1668" s="252" t="s">
        <v>449</v>
      </c>
      <c r="H1668" s="296" t="s">
        <v>507</v>
      </c>
      <c r="J1668" s="296" t="s">
        <v>449</v>
      </c>
      <c r="K1668" s="252">
        <v>7.28</v>
      </c>
      <c r="W1668" s="253"/>
      <c r="AE1668" s="370">
        <f t="shared" si="223"/>
        <v>0</v>
      </c>
    </row>
    <row r="1669" spans="6:31" ht="24" customHeight="1">
      <c r="K1669" s="358" t="s">
        <v>1586</v>
      </c>
      <c r="W1669" s="253"/>
      <c r="AE1669" s="370">
        <f t="shared" si="223"/>
        <v>0</v>
      </c>
    </row>
    <row r="1670" spans="6:31" ht="24" customHeight="1">
      <c r="H1670" s="253" t="s">
        <v>1639</v>
      </c>
      <c r="K1670" s="252">
        <f>SUM(K1666:K1668)</f>
        <v>58</v>
      </c>
      <c r="W1670" s="253"/>
      <c r="AE1670" s="370">
        <f t="shared" si="223"/>
        <v>0</v>
      </c>
    </row>
    <row r="1671" spans="6:31" ht="24" customHeight="1">
      <c r="K1671" s="358" t="s">
        <v>2055</v>
      </c>
      <c r="W1671" s="253"/>
      <c r="AE1671" s="370">
        <f t="shared" si="223"/>
        <v>0</v>
      </c>
    </row>
    <row r="1672" spans="6:31" ht="24" customHeight="1">
      <c r="F1672" s="253" t="s">
        <v>1640</v>
      </c>
      <c r="G1672" s="252" t="s">
        <v>2251</v>
      </c>
      <c r="H1672" s="296" t="s">
        <v>6144</v>
      </c>
      <c r="W1672" s="253"/>
      <c r="AE1672" s="370">
        <f t="shared" si="223"/>
        <v>0</v>
      </c>
    </row>
    <row r="1673" spans="6:31" ht="24" customHeight="1">
      <c r="H1673" s="296" t="s">
        <v>402</v>
      </c>
      <c r="W1673" s="253"/>
      <c r="AE1673" s="370">
        <f t="shared" si="223"/>
        <v>0</v>
      </c>
    </row>
    <row r="1674" spans="6:31" ht="24" customHeight="1">
      <c r="H1674" s="296" t="s">
        <v>403</v>
      </c>
      <c r="W1674" s="253"/>
      <c r="AE1674" s="370">
        <f t="shared" si="223"/>
        <v>0</v>
      </c>
    </row>
    <row r="1675" spans="6:31" ht="24" customHeight="1">
      <c r="H1675" s="296" t="s">
        <v>400</v>
      </c>
      <c r="W1675" s="253"/>
      <c r="AE1675" s="370">
        <f t="shared" si="223"/>
        <v>0</v>
      </c>
    </row>
    <row r="1676" spans="6:31" ht="24" customHeight="1">
      <c r="H1676" s="296" t="s">
        <v>1759</v>
      </c>
      <c r="W1676" s="253"/>
      <c r="AE1676" s="370">
        <f t="shared" si="223"/>
        <v>0</v>
      </c>
    </row>
    <row r="1677" spans="6:31" ht="24" customHeight="1">
      <c r="H1677" s="358" t="s">
        <v>1586</v>
      </c>
      <c r="I1677" s="358" t="s">
        <v>1586</v>
      </c>
      <c r="W1677" s="253"/>
      <c r="AE1677" s="370">
        <f t="shared" si="223"/>
        <v>0</v>
      </c>
    </row>
    <row r="1678" spans="6:31" ht="24" customHeight="1">
      <c r="F1678" s="252">
        <v>1</v>
      </c>
      <c r="G1678" s="252" t="s">
        <v>1760</v>
      </c>
      <c r="H1678" s="296" t="s">
        <v>1552</v>
      </c>
      <c r="I1678" s="434">
        <v>85</v>
      </c>
      <c r="J1678" s="296" t="s">
        <v>1398</v>
      </c>
      <c r="K1678" s="252">
        <f>(F1678*I1678)</f>
        <v>85</v>
      </c>
      <c r="W1678" s="253"/>
      <c r="AE1678" s="370">
        <f t="shared" si="223"/>
        <v>0</v>
      </c>
    </row>
    <row r="1679" spans="6:31" ht="24" customHeight="1">
      <c r="G1679" s="252" t="s">
        <v>449</v>
      </c>
      <c r="H1679" s="296" t="s">
        <v>1553</v>
      </c>
      <c r="J1679" s="296" t="s">
        <v>449</v>
      </c>
      <c r="K1679" s="252">
        <v>7.5</v>
      </c>
      <c r="W1679" s="253"/>
      <c r="AE1679" s="370">
        <f t="shared" si="223"/>
        <v>0</v>
      </c>
    </row>
    <row r="1680" spans="6:31" ht="24" customHeight="1">
      <c r="G1680" s="252" t="s">
        <v>449</v>
      </c>
      <c r="H1680" s="296" t="s">
        <v>623</v>
      </c>
      <c r="J1680" s="296" t="s">
        <v>449</v>
      </c>
      <c r="K1680" s="252">
        <f>1.75+0.75</f>
        <v>2.5</v>
      </c>
      <c r="W1680" s="253"/>
      <c r="AE1680" s="370">
        <f t="shared" si="223"/>
        <v>0</v>
      </c>
    </row>
    <row r="1681" spans="6:31" ht="24" customHeight="1">
      <c r="H1681" s="296" t="s">
        <v>624</v>
      </c>
      <c r="K1681" s="358" t="s">
        <v>1586</v>
      </c>
      <c r="W1681" s="253"/>
      <c r="AE1681" s="370">
        <f t="shared" si="223"/>
        <v>0</v>
      </c>
    </row>
    <row r="1682" spans="6:31" ht="24" customHeight="1">
      <c r="H1682" s="253" t="s">
        <v>1639</v>
      </c>
      <c r="K1682" s="252">
        <f>SUM(K1678:K1680)</f>
        <v>95</v>
      </c>
      <c r="W1682" s="253"/>
      <c r="AE1682" s="370">
        <f t="shared" si="223"/>
        <v>0</v>
      </c>
    </row>
    <row r="1683" spans="6:31" ht="24" customHeight="1">
      <c r="K1683" s="358" t="s">
        <v>2055</v>
      </c>
      <c r="W1683" s="253"/>
      <c r="AE1683" s="370">
        <f t="shared" si="223"/>
        <v>0</v>
      </c>
    </row>
    <row r="1684" spans="6:31" ht="24" customHeight="1">
      <c r="F1684" s="253" t="s">
        <v>625</v>
      </c>
      <c r="G1684" s="252" t="s">
        <v>2251</v>
      </c>
      <c r="H1684" s="296" t="s">
        <v>6145</v>
      </c>
      <c r="W1684" s="253"/>
      <c r="AE1684" s="370">
        <f t="shared" si="223"/>
        <v>0</v>
      </c>
    </row>
    <row r="1685" spans="6:31" ht="24" customHeight="1">
      <c r="H1685" s="296" t="s">
        <v>626</v>
      </c>
      <c r="K1685" s="296" t="s">
        <v>975</v>
      </c>
      <c r="W1685" s="253"/>
      <c r="AE1685" s="370">
        <f t="shared" si="223"/>
        <v>0</v>
      </c>
    </row>
    <row r="1686" spans="6:31" ht="24" customHeight="1">
      <c r="H1686" s="358" t="s">
        <v>1586</v>
      </c>
      <c r="W1686" s="253"/>
      <c r="AE1686" s="370">
        <f t="shared" si="223"/>
        <v>0</v>
      </c>
    </row>
    <row r="1687" spans="6:31" ht="24" customHeight="1">
      <c r="F1687" s="252">
        <v>1</v>
      </c>
      <c r="G1687" s="252" t="s">
        <v>1760</v>
      </c>
      <c r="H1687" s="296" t="s">
        <v>627</v>
      </c>
      <c r="I1687" s="434">
        <v>50</v>
      </c>
      <c r="J1687" s="296" t="s">
        <v>1398</v>
      </c>
      <c r="K1687" s="252">
        <f>(F1687*I1687)</f>
        <v>50</v>
      </c>
      <c r="W1687" s="253"/>
      <c r="AE1687" s="370">
        <f t="shared" si="223"/>
        <v>0</v>
      </c>
    </row>
    <row r="1688" spans="6:31" ht="24" customHeight="1">
      <c r="G1688" s="252" t="s">
        <v>449</v>
      </c>
      <c r="H1688" s="296" t="s">
        <v>628</v>
      </c>
      <c r="J1688" s="296" t="s">
        <v>449</v>
      </c>
      <c r="K1688" s="252">
        <v>5</v>
      </c>
      <c r="W1688" s="253"/>
      <c r="AE1688" s="370">
        <f t="shared" si="223"/>
        <v>0</v>
      </c>
    </row>
    <row r="1689" spans="6:31" ht="24" customHeight="1">
      <c r="K1689" s="358" t="s">
        <v>1586</v>
      </c>
      <c r="W1689" s="253"/>
      <c r="AE1689" s="370">
        <f t="shared" si="223"/>
        <v>0</v>
      </c>
    </row>
    <row r="1690" spans="6:31" ht="24" customHeight="1">
      <c r="H1690" s="253" t="s">
        <v>629</v>
      </c>
      <c r="K1690" s="252">
        <f>SUM(K1686:K1688)</f>
        <v>55</v>
      </c>
      <c r="W1690" s="253"/>
      <c r="AE1690" s="370">
        <f t="shared" si="223"/>
        <v>0</v>
      </c>
    </row>
    <row r="1691" spans="6:31" ht="24" customHeight="1">
      <c r="K1691" s="358" t="s">
        <v>2055</v>
      </c>
      <c r="W1691" s="253"/>
      <c r="AE1691" s="370">
        <f t="shared" si="223"/>
        <v>0</v>
      </c>
    </row>
    <row r="1692" spans="6:31" ht="24" customHeight="1">
      <c r="F1692" s="253" t="s">
        <v>2148</v>
      </c>
      <c r="G1692" s="252" t="s">
        <v>2251</v>
      </c>
      <c r="H1692" s="296" t="s">
        <v>6146</v>
      </c>
      <c r="W1692" s="253"/>
      <c r="AE1692" s="370">
        <f t="shared" si="223"/>
        <v>0</v>
      </c>
    </row>
    <row r="1693" spans="6:31" ht="24" customHeight="1">
      <c r="H1693" s="358" t="s">
        <v>1586</v>
      </c>
      <c r="I1693" s="358" t="s">
        <v>1586</v>
      </c>
      <c r="W1693" s="253"/>
      <c r="AE1693" s="370">
        <f t="shared" si="223"/>
        <v>0</v>
      </c>
    </row>
    <row r="1694" spans="6:31" ht="24" customHeight="1">
      <c r="F1694" s="252">
        <v>1</v>
      </c>
      <c r="G1694" s="252" t="s">
        <v>1760</v>
      </c>
      <c r="H1694" s="296" t="s">
        <v>2149</v>
      </c>
      <c r="I1694" s="434">
        <v>1.2</v>
      </c>
      <c r="J1694" s="296" t="s">
        <v>1398</v>
      </c>
      <c r="K1694" s="252">
        <f>(F1694*I1694)</f>
        <v>1.2</v>
      </c>
      <c r="W1694" s="253"/>
      <c r="AE1694" s="370">
        <f t="shared" si="223"/>
        <v>0</v>
      </c>
    </row>
    <row r="1695" spans="6:31" ht="24" customHeight="1">
      <c r="G1695" s="252" t="s">
        <v>449</v>
      </c>
      <c r="H1695" s="296" t="s">
        <v>628</v>
      </c>
      <c r="J1695" s="296" t="s">
        <v>449</v>
      </c>
      <c r="K1695" s="252">
        <f>K1694*0.25</f>
        <v>0.3</v>
      </c>
      <c r="W1695" s="253"/>
      <c r="AE1695" s="370">
        <f t="shared" si="223"/>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1685.18</v>
      </c>
      <c r="J1705" s="296" t="s">
        <v>2151</v>
      </c>
      <c r="K1705" s="252">
        <f>(F1705*I1705)</f>
        <v>15166.62</v>
      </c>
      <c r="W1705" s="253"/>
    </row>
    <row r="1706" spans="6:23" ht="24" customHeight="1">
      <c r="F1706" s="252">
        <v>4.5</v>
      </c>
      <c r="G1706" s="252" t="s">
        <v>2151</v>
      </c>
      <c r="H1706" s="296" t="s">
        <v>1575</v>
      </c>
      <c r="I1706" s="252">
        <f>K32</f>
        <v>4479.66</v>
      </c>
      <c r="J1706" s="296" t="s">
        <v>2151</v>
      </c>
      <c r="K1706" s="252">
        <f>(F1706*I1706)</f>
        <v>20158.47</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56054.79</v>
      </c>
      <c r="W1711" s="253"/>
    </row>
    <row r="1712" spans="6:23" ht="24" customHeight="1">
      <c r="K1712" s="358" t="s">
        <v>1586</v>
      </c>
      <c r="W1712" s="253"/>
    </row>
    <row r="1713" spans="6:23" ht="24" customHeight="1">
      <c r="H1713" s="253" t="s">
        <v>1578</v>
      </c>
      <c r="K1713" s="274">
        <f>(K1711/10)</f>
        <v>5605.48</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6147</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5605.48</v>
      </c>
      <c r="J1720" s="296" t="s">
        <v>2151</v>
      </c>
      <c r="K1720" s="252">
        <f>(F1720*I1720)</f>
        <v>1760.12</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2567.7800000000002</v>
      </c>
      <c r="W1725" s="253"/>
    </row>
    <row r="1726" spans="6:23" ht="24" customHeight="1">
      <c r="K1726" s="358" t="s">
        <v>1586</v>
      </c>
      <c r="W1726" s="253"/>
    </row>
    <row r="1727" spans="6:23" ht="24" customHeight="1">
      <c r="H1727" s="253" t="s">
        <v>1950</v>
      </c>
      <c r="K1727" s="274">
        <f>(K1725/6.28)</f>
        <v>408.88</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5605.48</v>
      </c>
      <c r="J1731" s="296" t="s">
        <v>2151</v>
      </c>
      <c r="K1731" s="252">
        <f>ROUND(F1731*I1731,2)</f>
        <v>56.05</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57.25</v>
      </c>
      <c r="W1734" s="253"/>
    </row>
    <row r="1735" spans="6:23" ht="24" customHeight="1">
      <c r="K1735" s="358" t="s">
        <v>1586</v>
      </c>
      <c r="W1735" s="253"/>
    </row>
    <row r="1736" spans="6:23" ht="24" customHeight="1">
      <c r="H1736" s="253" t="s">
        <v>2175</v>
      </c>
      <c r="K1736" s="252">
        <f>K1734/0.01</f>
        <v>5725</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6148</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5725</v>
      </c>
      <c r="J1741" s="296" t="s">
        <v>2151</v>
      </c>
      <c r="K1741" s="252">
        <f>(F1741*I1741)</f>
        <v>2318.63</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2318.63</v>
      </c>
      <c r="W1744" s="253"/>
    </row>
    <row r="1745" spans="6:23" ht="24" customHeight="1">
      <c r="K1745" s="358" t="s">
        <v>1586</v>
      </c>
      <c r="W1745" s="253"/>
    </row>
    <row r="1746" spans="6:23" ht="24" customHeight="1">
      <c r="H1746" s="253" t="s">
        <v>1650</v>
      </c>
      <c r="K1746" s="274">
        <f>K1744/9</f>
        <v>257.63</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24">(F1750*I1750)</f>
        <v>484.06</v>
      </c>
      <c r="W1750" s="253"/>
    </row>
    <row r="1751" spans="6:23" ht="24" customHeight="1">
      <c r="F1751" s="252">
        <v>1.44</v>
      </c>
      <c r="G1751" s="252" t="s">
        <v>869</v>
      </c>
      <c r="H1751" s="296" t="s">
        <v>470</v>
      </c>
      <c r="I1751" s="434">
        <v>69.099999999999994</v>
      </c>
      <c r="J1751" s="296" t="s">
        <v>869</v>
      </c>
      <c r="K1751" s="252">
        <f t="shared" si="224"/>
        <v>99.5</v>
      </c>
      <c r="W1751" s="253"/>
    </row>
    <row r="1752" spans="6:23" ht="24" customHeight="1">
      <c r="F1752" s="252">
        <v>1.44</v>
      </c>
      <c r="G1752" s="252" t="s">
        <v>869</v>
      </c>
      <c r="H1752" s="296" t="s">
        <v>471</v>
      </c>
      <c r="I1752" s="252">
        <f>C35</f>
        <v>222.7</v>
      </c>
      <c r="J1752" s="296" t="s">
        <v>869</v>
      </c>
      <c r="K1752" s="252">
        <f t="shared" si="224"/>
        <v>320.69</v>
      </c>
      <c r="W1752" s="253"/>
    </row>
    <row r="1753" spans="6:23" ht="24" customHeight="1">
      <c r="F1753" s="252">
        <v>1.44</v>
      </c>
      <c r="G1753" s="252" t="s">
        <v>869</v>
      </c>
      <c r="H1753" s="296" t="s">
        <v>472</v>
      </c>
      <c r="I1753" s="252">
        <f>C78</f>
        <v>1464.46</v>
      </c>
      <c r="J1753" s="296" t="s">
        <v>869</v>
      </c>
      <c r="K1753" s="252">
        <f t="shared" si="224"/>
        <v>2108.8200000000002</v>
      </c>
      <c r="W1753" s="253"/>
    </row>
    <row r="1754" spans="6:23" ht="24" customHeight="1">
      <c r="F1754" s="252">
        <v>2.88</v>
      </c>
      <c r="G1754" s="252" t="s">
        <v>869</v>
      </c>
      <c r="H1754" s="296" t="s">
        <v>473</v>
      </c>
      <c r="I1754" s="420">
        <v>10</v>
      </c>
      <c r="J1754" s="296" t="s">
        <v>869</v>
      </c>
      <c r="K1754" s="252">
        <f t="shared" si="224"/>
        <v>28.8</v>
      </c>
      <c r="W1754" s="253"/>
    </row>
    <row r="1755" spans="6:23" ht="24" customHeight="1">
      <c r="F1755" s="252">
        <v>20</v>
      </c>
      <c r="G1755" s="252" t="s">
        <v>258</v>
      </c>
      <c r="H1755" s="296" t="s">
        <v>1624</v>
      </c>
      <c r="I1755" s="434">
        <v>46.1</v>
      </c>
      <c r="J1755" s="296" t="s">
        <v>258</v>
      </c>
      <c r="K1755" s="252">
        <f t="shared" si="224"/>
        <v>922</v>
      </c>
      <c r="W1755" s="253"/>
    </row>
    <row r="1756" spans="6:23" ht="24" customHeight="1">
      <c r="F1756" s="252">
        <v>42</v>
      </c>
      <c r="G1756" s="252" t="s">
        <v>2196</v>
      </c>
      <c r="H1756" s="296" t="s">
        <v>5332</v>
      </c>
      <c r="I1756" s="370">
        <v>17.5</v>
      </c>
      <c r="J1756" s="296" t="s">
        <v>2196</v>
      </c>
      <c r="K1756" s="252">
        <f t="shared" si="224"/>
        <v>735</v>
      </c>
      <c r="W1756" s="253"/>
    </row>
    <row r="1757" spans="6:23" ht="24" customHeight="1">
      <c r="F1757" s="252">
        <v>4.32</v>
      </c>
      <c r="G1757" s="252" t="s">
        <v>869</v>
      </c>
      <c r="H1757" s="296" t="s">
        <v>1616</v>
      </c>
      <c r="I1757" s="252">
        <f>C26</f>
        <v>38.950000000000003</v>
      </c>
      <c r="J1757" s="296" t="s">
        <v>869</v>
      </c>
      <c r="K1757" s="252">
        <f t="shared" si="224"/>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6867.13</v>
      </c>
      <c r="W1760" s="253"/>
    </row>
    <row r="1761" spans="6:23" ht="24" customHeight="1">
      <c r="K1761" s="358" t="s">
        <v>1586</v>
      </c>
      <c r="W1761" s="253"/>
    </row>
    <row r="1762" spans="6:23" ht="24" customHeight="1">
      <c r="H1762" s="296" t="s">
        <v>1401</v>
      </c>
      <c r="K1762" s="274">
        <f>K1760/20</f>
        <v>343.36</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25">(F1767*I1767)</f>
        <v>22.41</v>
      </c>
      <c r="W1767" s="253"/>
    </row>
    <row r="1768" spans="6:23" ht="24" customHeight="1">
      <c r="F1768" s="252">
        <v>6.3</v>
      </c>
      <c r="G1768" s="252" t="s">
        <v>2196</v>
      </c>
      <c r="H1768" s="296" t="s">
        <v>5886</v>
      </c>
      <c r="I1768" s="370">
        <v>34.6</v>
      </c>
      <c r="J1768" s="296" t="s">
        <v>2196</v>
      </c>
      <c r="K1768" s="252">
        <f t="shared" si="225"/>
        <v>217.98</v>
      </c>
      <c r="W1768" s="253"/>
    </row>
    <row r="1769" spans="6:23" ht="24" customHeight="1">
      <c r="F1769" s="252">
        <v>6.3</v>
      </c>
      <c r="G1769" s="252" t="s">
        <v>2196</v>
      </c>
      <c r="H1769" s="296" t="s">
        <v>1138</v>
      </c>
      <c r="I1769" s="252">
        <f>I1756</f>
        <v>17.5</v>
      </c>
      <c r="J1769" s="296" t="s">
        <v>2196</v>
      </c>
      <c r="K1769" s="252">
        <f t="shared" si="225"/>
        <v>110.25</v>
      </c>
      <c r="W1769" s="253"/>
    </row>
    <row r="1770" spans="6:23" ht="24" customHeight="1">
      <c r="F1770" s="252">
        <v>3.15</v>
      </c>
      <c r="G1770" s="252" t="s">
        <v>233</v>
      </c>
      <c r="H1770" s="296" t="s">
        <v>636</v>
      </c>
      <c r="I1770" s="252">
        <f>C198</f>
        <v>40.65</v>
      </c>
      <c r="J1770" s="296" t="s">
        <v>233</v>
      </c>
      <c r="K1770" s="252">
        <f t="shared" si="225"/>
        <v>128.05000000000001</v>
      </c>
      <c r="L1770" s="252" t="s">
        <v>183</v>
      </c>
      <c r="W1770" s="253"/>
    </row>
    <row r="1771" spans="6:23" ht="24" customHeight="1">
      <c r="F1771" s="252">
        <v>0.25</v>
      </c>
      <c r="G1771" s="252" t="s">
        <v>1760</v>
      </c>
      <c r="H1771" s="296" t="s">
        <v>637</v>
      </c>
      <c r="I1771" s="252">
        <f>D16</f>
        <v>932</v>
      </c>
      <c r="J1771" s="296" t="s">
        <v>1760</v>
      </c>
      <c r="K1771" s="252">
        <f t="shared" si="225"/>
        <v>233</v>
      </c>
      <c r="W1771" s="253"/>
    </row>
    <row r="1772" spans="6:23" ht="24" customHeight="1">
      <c r="F1772" s="252">
        <v>0.2</v>
      </c>
      <c r="G1772" s="252" t="s">
        <v>1760</v>
      </c>
      <c r="H1772" s="296" t="s">
        <v>638</v>
      </c>
      <c r="I1772" s="252">
        <f>AE38</f>
        <v>866</v>
      </c>
      <c r="J1772" s="296" t="s">
        <v>1760</v>
      </c>
      <c r="K1772" s="252">
        <f t="shared" si="225"/>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26">(F1780*I1780)</f>
        <v>54.46</v>
      </c>
      <c r="W1780" s="253"/>
    </row>
    <row r="1781" spans="6:23" ht="24" customHeight="1">
      <c r="F1781" s="316">
        <v>0.48599999999999999</v>
      </c>
      <c r="G1781" s="252" t="s">
        <v>1341</v>
      </c>
      <c r="H1781" s="296" t="s">
        <v>358</v>
      </c>
      <c r="I1781" s="252">
        <f>K204</f>
        <v>4706.34</v>
      </c>
      <c r="J1781" s="296" t="s">
        <v>1341</v>
      </c>
      <c r="K1781" s="252">
        <f t="shared" si="226"/>
        <v>2287.2800000000002</v>
      </c>
      <c r="W1781" s="253"/>
    </row>
    <row r="1782" spans="6:23" ht="24" customHeight="1">
      <c r="F1782" s="252">
        <v>81.75</v>
      </c>
      <c r="G1782" s="252" t="s">
        <v>359</v>
      </c>
      <c r="H1782" s="296" t="s">
        <v>360</v>
      </c>
      <c r="I1782" s="252">
        <f>I745</f>
        <v>53</v>
      </c>
      <c r="J1782" s="296" t="s">
        <v>359</v>
      </c>
      <c r="K1782" s="252">
        <f t="shared" si="226"/>
        <v>4332.75</v>
      </c>
      <c r="W1782" s="253"/>
    </row>
    <row r="1783" spans="6:23" ht="24" customHeight="1">
      <c r="F1783" s="252">
        <v>7.2</v>
      </c>
      <c r="G1783" s="252" t="s">
        <v>359</v>
      </c>
      <c r="H1783" s="296" t="s">
        <v>361</v>
      </c>
      <c r="I1783" s="252">
        <f>I745</f>
        <v>53</v>
      </c>
      <c r="J1783" s="296" t="s">
        <v>359</v>
      </c>
      <c r="K1783" s="252">
        <f t="shared" si="226"/>
        <v>381.6</v>
      </c>
      <c r="W1783" s="253"/>
    </row>
    <row r="1784" spans="6:23" ht="24" customHeight="1">
      <c r="F1784" s="252">
        <v>43.68</v>
      </c>
      <c r="G1784" s="252" t="s">
        <v>359</v>
      </c>
      <c r="H1784" s="296" t="s">
        <v>1556</v>
      </c>
      <c r="I1784" s="252">
        <f>I743</f>
        <v>53</v>
      </c>
      <c r="J1784" s="296" t="s">
        <v>359</v>
      </c>
      <c r="K1784" s="252">
        <f t="shared" si="226"/>
        <v>2315.04</v>
      </c>
      <c r="W1784" s="253"/>
    </row>
    <row r="1785" spans="6:23" ht="24" customHeight="1">
      <c r="F1785" s="252">
        <v>132.63</v>
      </c>
      <c r="G1785" s="252" t="s">
        <v>359</v>
      </c>
      <c r="H1785" s="296" t="s">
        <v>1557</v>
      </c>
      <c r="I1785" s="252">
        <f>C37</f>
        <v>55.35</v>
      </c>
      <c r="J1785" s="296" t="s">
        <v>359</v>
      </c>
      <c r="K1785" s="252">
        <f t="shared" si="226"/>
        <v>7341.07</v>
      </c>
      <c r="W1785" s="253"/>
    </row>
    <row r="1786" spans="6:23" ht="24" customHeight="1">
      <c r="F1786" s="252">
        <v>2.2000000000000002</v>
      </c>
      <c r="G1786" s="252" t="s">
        <v>233</v>
      </c>
      <c r="H1786" s="296" t="s">
        <v>6149</v>
      </c>
      <c r="I1786" s="420">
        <v>970</v>
      </c>
      <c r="J1786" s="296" t="s">
        <v>233</v>
      </c>
      <c r="K1786" s="252">
        <f t="shared" si="226"/>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19116.669999999998</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7">(F1806*I1806)</f>
        <v>71.2</v>
      </c>
      <c r="W1806" s="253"/>
    </row>
    <row r="1807" spans="6:23" ht="18.95" customHeight="1">
      <c r="F1807" s="252">
        <v>8</v>
      </c>
      <c r="G1807" s="252" t="s">
        <v>868</v>
      </c>
      <c r="H1807" s="296" t="s">
        <v>467</v>
      </c>
      <c r="I1807" s="252">
        <f>(C672)</f>
        <v>12.65</v>
      </c>
      <c r="J1807" s="296" t="s">
        <v>868</v>
      </c>
      <c r="K1807" s="252">
        <f t="shared" si="227"/>
        <v>101.2</v>
      </c>
      <c r="W1807" s="253"/>
    </row>
    <row r="1808" spans="6:23" ht="18.95" customHeight="1">
      <c r="F1808" s="252">
        <v>3</v>
      </c>
      <c r="G1808" s="252" t="s">
        <v>868</v>
      </c>
      <c r="H1808" s="296" t="s">
        <v>1845</v>
      </c>
      <c r="I1808" s="252">
        <f>(C41)</f>
        <v>738</v>
      </c>
      <c r="J1808" s="296" t="s">
        <v>868</v>
      </c>
      <c r="K1808" s="252">
        <f t="shared" si="227"/>
        <v>2214</v>
      </c>
      <c r="W1808" s="253"/>
    </row>
    <row r="1809" spans="6:23" ht="18.95" customHeight="1">
      <c r="F1809" s="252">
        <v>1</v>
      </c>
      <c r="G1809" s="252" t="s">
        <v>868</v>
      </c>
      <c r="H1809" s="296" t="s">
        <v>1380</v>
      </c>
      <c r="I1809" s="252">
        <f>(C10)</f>
        <v>999</v>
      </c>
      <c r="J1809" s="296" t="s">
        <v>868</v>
      </c>
      <c r="K1809" s="252">
        <f t="shared" si="227"/>
        <v>999</v>
      </c>
      <c r="W1809" s="253"/>
    </row>
    <row r="1810" spans="6:23" ht="18.95" customHeight="1">
      <c r="F1810" s="252">
        <v>2</v>
      </c>
      <c r="G1810" s="252" t="s">
        <v>868</v>
      </c>
      <c r="H1810" s="296" t="s">
        <v>1902</v>
      </c>
      <c r="I1810" s="252">
        <f>(C12)</f>
        <v>651</v>
      </c>
      <c r="J1810" s="296" t="s">
        <v>868</v>
      </c>
      <c r="K1810" s="252">
        <f t="shared" si="227"/>
        <v>1302</v>
      </c>
      <c r="W1810" s="253"/>
    </row>
    <row r="1811" spans="6:23" ht="18.95" customHeight="1">
      <c r="F1811" s="252">
        <v>1</v>
      </c>
      <c r="G1811" s="252" t="s">
        <v>868</v>
      </c>
      <c r="H1811" s="296" t="s">
        <v>320</v>
      </c>
      <c r="I1811" s="252">
        <f>(C13)</f>
        <v>534</v>
      </c>
      <c r="J1811" s="296" t="s">
        <v>868</v>
      </c>
      <c r="K1811" s="252">
        <f t="shared" si="227"/>
        <v>534</v>
      </c>
      <c r="W1811" s="253"/>
    </row>
    <row r="1812" spans="6:23" ht="18.95" customHeight="1">
      <c r="F1812" s="252">
        <v>1</v>
      </c>
      <c r="G1812" s="252" t="s">
        <v>868</v>
      </c>
      <c r="H1812" s="296" t="s">
        <v>1381</v>
      </c>
      <c r="I1812" s="407">
        <v>5</v>
      </c>
      <c r="J1812" s="296" t="s">
        <v>1398</v>
      </c>
      <c r="K1812" s="252">
        <f t="shared" si="227"/>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28">(F1824*I1824)</f>
        <v>71.2</v>
      </c>
      <c r="W1824" s="253"/>
    </row>
    <row r="1825" spans="6:23" ht="18.95" customHeight="1">
      <c r="F1825" s="252">
        <v>8</v>
      </c>
      <c r="G1825" s="252" t="s">
        <v>868</v>
      </c>
      <c r="H1825" s="296" t="s">
        <v>467</v>
      </c>
      <c r="I1825" s="252">
        <f>D672</f>
        <v>12.85</v>
      </c>
      <c r="J1825" s="296" t="s">
        <v>868</v>
      </c>
      <c r="K1825" s="252">
        <f t="shared" si="228"/>
        <v>102.8</v>
      </c>
      <c r="W1825" s="253"/>
    </row>
    <row r="1826" spans="6:23" ht="18.95" customHeight="1">
      <c r="F1826" s="252">
        <v>3</v>
      </c>
      <c r="G1826" s="252" t="s">
        <v>868</v>
      </c>
      <c r="H1826" s="296" t="s">
        <v>1845</v>
      </c>
      <c r="I1826" s="252">
        <f>(C41)</f>
        <v>738</v>
      </c>
      <c r="J1826" s="296" t="s">
        <v>868</v>
      </c>
      <c r="K1826" s="252">
        <f t="shared" si="228"/>
        <v>2214</v>
      </c>
      <c r="W1826" s="253"/>
    </row>
    <row r="1827" spans="6:23" ht="18.95" customHeight="1">
      <c r="F1827" s="252">
        <v>1</v>
      </c>
      <c r="G1827" s="252" t="s">
        <v>868</v>
      </c>
      <c r="H1827" s="296" t="s">
        <v>1380</v>
      </c>
      <c r="I1827" s="252">
        <f>(C10)</f>
        <v>999</v>
      </c>
      <c r="J1827" s="296" t="s">
        <v>868</v>
      </c>
      <c r="K1827" s="252">
        <f t="shared" si="228"/>
        <v>999</v>
      </c>
      <c r="W1827" s="253"/>
    </row>
    <row r="1828" spans="6:23" ht="18.95" customHeight="1">
      <c r="F1828" s="252">
        <v>2</v>
      </c>
      <c r="G1828" s="252" t="s">
        <v>868</v>
      </c>
      <c r="H1828" s="296" t="s">
        <v>1902</v>
      </c>
      <c r="I1828" s="252">
        <f>(C12)</f>
        <v>651</v>
      </c>
      <c r="J1828" s="296" t="s">
        <v>868</v>
      </c>
      <c r="K1828" s="252">
        <f t="shared" si="228"/>
        <v>1302</v>
      </c>
      <c r="W1828" s="253"/>
    </row>
    <row r="1829" spans="6:23" ht="18.95" customHeight="1">
      <c r="F1829" s="252">
        <v>1</v>
      </c>
      <c r="G1829" s="252" t="s">
        <v>868</v>
      </c>
      <c r="H1829" s="296" t="s">
        <v>320</v>
      </c>
      <c r="I1829" s="252">
        <f>(C13)</f>
        <v>534</v>
      </c>
      <c r="J1829" s="296" t="s">
        <v>868</v>
      </c>
      <c r="K1829" s="252">
        <f t="shared" si="228"/>
        <v>534</v>
      </c>
      <c r="W1829" s="253"/>
    </row>
    <row r="1830" spans="6:23" ht="18.95" customHeight="1">
      <c r="F1830" s="252">
        <v>1</v>
      </c>
      <c r="G1830" s="252" t="s">
        <v>868</v>
      </c>
      <c r="H1830" s="296" t="s">
        <v>1381</v>
      </c>
      <c r="I1830" s="407">
        <v>3</v>
      </c>
      <c r="J1830" s="296" t="s">
        <v>868</v>
      </c>
      <c r="K1830" s="252">
        <f t="shared" si="228"/>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29">(F1842*I1842)</f>
        <v>85.2</v>
      </c>
      <c r="W1842" s="253"/>
    </row>
    <row r="1843" spans="6:23" ht="18.95" customHeight="1">
      <c r="F1843" s="252">
        <v>8</v>
      </c>
      <c r="G1843" s="252" t="s">
        <v>868</v>
      </c>
      <c r="H1843" s="296" t="s">
        <v>467</v>
      </c>
      <c r="I1843" s="252">
        <f>C677</f>
        <v>26.6</v>
      </c>
      <c r="J1843" s="296" t="s">
        <v>868</v>
      </c>
      <c r="K1843" s="252">
        <f t="shared" si="229"/>
        <v>212.8</v>
      </c>
      <c r="W1843" s="253"/>
    </row>
    <row r="1844" spans="6:23" ht="18.95" customHeight="1">
      <c r="F1844" s="252">
        <v>3</v>
      </c>
      <c r="G1844" s="252" t="s">
        <v>868</v>
      </c>
      <c r="H1844" s="296" t="s">
        <v>1845</v>
      </c>
      <c r="I1844" s="252">
        <f>(C41)</f>
        <v>738</v>
      </c>
      <c r="J1844" s="296" t="s">
        <v>868</v>
      </c>
      <c r="K1844" s="252">
        <f t="shared" si="229"/>
        <v>2214</v>
      </c>
      <c r="W1844" s="253"/>
    </row>
    <row r="1845" spans="6:23" ht="18.95" customHeight="1">
      <c r="F1845" s="252">
        <v>1</v>
      </c>
      <c r="G1845" s="252" t="s">
        <v>868</v>
      </c>
      <c r="H1845" s="296" t="s">
        <v>1380</v>
      </c>
      <c r="I1845" s="252">
        <f>(C10)</f>
        <v>999</v>
      </c>
      <c r="J1845" s="296" t="s">
        <v>868</v>
      </c>
      <c r="K1845" s="252">
        <f t="shared" si="229"/>
        <v>999</v>
      </c>
      <c r="W1845" s="253"/>
    </row>
    <row r="1846" spans="6:23" ht="18.95" customHeight="1">
      <c r="F1846" s="252">
        <v>2</v>
      </c>
      <c r="G1846" s="252" t="s">
        <v>868</v>
      </c>
      <c r="H1846" s="296" t="s">
        <v>1902</v>
      </c>
      <c r="I1846" s="252">
        <f>(C12)</f>
        <v>651</v>
      </c>
      <c r="J1846" s="296" t="s">
        <v>868</v>
      </c>
      <c r="K1846" s="252">
        <f t="shared" si="229"/>
        <v>1302</v>
      </c>
      <c r="W1846" s="253"/>
    </row>
    <row r="1847" spans="6:23" ht="18.95" customHeight="1">
      <c r="F1847" s="252">
        <v>1</v>
      </c>
      <c r="G1847" s="252" t="s">
        <v>868</v>
      </c>
      <c r="H1847" s="296" t="s">
        <v>320</v>
      </c>
      <c r="I1847" s="252">
        <f>(C13)</f>
        <v>534</v>
      </c>
      <c r="J1847" s="296" t="s">
        <v>868</v>
      </c>
      <c r="K1847" s="252">
        <f t="shared" si="229"/>
        <v>534</v>
      </c>
      <c r="W1847" s="253"/>
    </row>
    <row r="1848" spans="6:23" ht="18.95" customHeight="1">
      <c r="F1848" s="252">
        <v>1</v>
      </c>
      <c r="G1848" s="252" t="s">
        <v>868</v>
      </c>
      <c r="H1848" s="296" t="s">
        <v>1381</v>
      </c>
      <c r="I1848" s="407">
        <v>5.26</v>
      </c>
      <c r="J1848" s="296" t="s">
        <v>868</v>
      </c>
      <c r="K1848" s="252">
        <f t="shared" si="229"/>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296" t="s">
        <v>99</v>
      </c>
      <c r="M1857" s="296" t="s">
        <v>975</v>
      </c>
      <c r="O1857" s="296" t="s">
        <v>1667</v>
      </c>
      <c r="P1857" s="252" t="str">
        <f t="shared" ref="P1857:P1866" si="230">I1841</f>
        <v/>
      </c>
      <c r="Q1857" s="296"/>
      <c r="R1857" s="296" t="s">
        <v>975</v>
      </c>
      <c r="W1857" s="253"/>
    </row>
    <row r="1858" spans="6:23" ht="24" customHeight="1">
      <c r="H1858" s="296" t="s">
        <v>2169</v>
      </c>
      <c r="M1858" s="252">
        <v>8</v>
      </c>
      <c r="N1858" s="252" t="s">
        <v>868</v>
      </c>
      <c r="O1858" s="393" t="s">
        <v>5887</v>
      </c>
      <c r="P1858" s="252">
        <f>C46</f>
        <v>13.55</v>
      </c>
      <c r="Q1858" s="296" t="s">
        <v>868</v>
      </c>
      <c r="R1858" s="252">
        <f t="shared" ref="R1858:R1863" si="231">(M1858*P1858)</f>
        <v>108.4</v>
      </c>
      <c r="W1858" s="253"/>
    </row>
    <row r="1859" spans="6:23" ht="24" customHeight="1">
      <c r="H1859" s="296" t="s">
        <v>2170</v>
      </c>
      <c r="M1859" s="252">
        <v>8</v>
      </c>
      <c r="N1859" s="252" t="s">
        <v>868</v>
      </c>
      <c r="O1859" s="393" t="s">
        <v>5888</v>
      </c>
      <c r="P1859" s="252">
        <f>C53</f>
        <v>37.85</v>
      </c>
      <c r="Q1859" s="296" t="s">
        <v>868</v>
      </c>
      <c r="R1859" s="252">
        <f t="shared" si="231"/>
        <v>302.8</v>
      </c>
      <c r="W1859" s="253"/>
    </row>
    <row r="1860" spans="6:23" ht="24" customHeight="1">
      <c r="H1860" s="296" t="s">
        <v>1406</v>
      </c>
      <c r="M1860" s="252">
        <v>3</v>
      </c>
      <c r="N1860" s="252" t="s">
        <v>868</v>
      </c>
      <c r="O1860" s="296" t="s">
        <v>1845</v>
      </c>
      <c r="P1860" s="252">
        <f t="shared" si="230"/>
        <v>738</v>
      </c>
      <c r="Q1860" s="296" t="s">
        <v>868</v>
      </c>
      <c r="R1860" s="252">
        <f t="shared" si="231"/>
        <v>2214</v>
      </c>
      <c r="W1860" s="253"/>
    </row>
    <row r="1861" spans="6:23" ht="24" customHeight="1">
      <c r="H1861" s="296" t="s">
        <v>1407</v>
      </c>
      <c r="M1861" s="252">
        <v>1</v>
      </c>
      <c r="N1861" s="252" t="s">
        <v>868</v>
      </c>
      <c r="O1861" s="296" t="s">
        <v>1380</v>
      </c>
      <c r="P1861" s="252">
        <f t="shared" si="230"/>
        <v>999</v>
      </c>
      <c r="Q1861" s="296" t="s">
        <v>868</v>
      </c>
      <c r="R1861" s="252">
        <f t="shared" si="231"/>
        <v>999</v>
      </c>
      <c r="W1861" s="253"/>
    </row>
    <row r="1862" spans="6:23" ht="24" customHeight="1">
      <c r="H1862" s="296" t="s">
        <v>1351</v>
      </c>
      <c r="M1862" s="252">
        <v>2</v>
      </c>
      <c r="N1862" s="252" t="s">
        <v>868</v>
      </c>
      <c r="O1862" s="296" t="s">
        <v>1902</v>
      </c>
      <c r="P1862" s="252">
        <f t="shared" si="230"/>
        <v>651</v>
      </c>
      <c r="Q1862" s="296" t="s">
        <v>868</v>
      </c>
      <c r="R1862" s="252">
        <f t="shared" si="231"/>
        <v>1302</v>
      </c>
      <c r="W1862" s="253"/>
    </row>
    <row r="1863" spans="6:23" ht="24" customHeight="1">
      <c r="H1863" s="296" t="s">
        <v>1352</v>
      </c>
      <c r="M1863" s="252">
        <v>1</v>
      </c>
      <c r="N1863" s="252" t="s">
        <v>868</v>
      </c>
      <c r="O1863" s="296" t="s">
        <v>320</v>
      </c>
      <c r="P1863" s="252">
        <f t="shared" si="230"/>
        <v>534</v>
      </c>
      <c r="Q1863" s="296" t="s">
        <v>868</v>
      </c>
      <c r="R1863" s="252">
        <f t="shared" si="231"/>
        <v>534</v>
      </c>
      <c r="W1863" s="253"/>
    </row>
    <row r="1864" spans="6:23" ht="24" customHeight="1">
      <c r="H1864" s="296" t="s">
        <v>710</v>
      </c>
      <c r="N1864" s="252" t="s">
        <v>449</v>
      </c>
      <c r="O1864" s="296" t="s">
        <v>1381</v>
      </c>
      <c r="P1864" s="252">
        <f t="shared" si="230"/>
        <v>5.26</v>
      </c>
      <c r="Q1864" s="296" t="s">
        <v>449</v>
      </c>
      <c r="R1864" s="252">
        <v>5</v>
      </c>
      <c r="W1864" s="253"/>
    </row>
    <row r="1865" spans="6:23" ht="24" customHeight="1">
      <c r="H1865" s="358" t="s">
        <v>2055</v>
      </c>
      <c r="I1865" s="358" t="s">
        <v>2055</v>
      </c>
      <c r="O1865" s="296" t="s">
        <v>932</v>
      </c>
      <c r="P1865" s="252" t="str">
        <f t="shared" si="230"/>
        <v/>
      </c>
      <c r="Q1865" s="296"/>
      <c r="R1865" s="296" t="s">
        <v>975</v>
      </c>
      <c r="W1865" s="253"/>
    </row>
    <row r="1866" spans="6:23" ht="24" customHeight="1">
      <c r="G1866" s="252" t="s">
        <v>2251</v>
      </c>
      <c r="H1866" s="296" t="s">
        <v>918</v>
      </c>
      <c r="N1866" s="252" t="s">
        <v>449</v>
      </c>
      <c r="O1866" s="296" t="s">
        <v>450</v>
      </c>
      <c r="P1866" s="252">
        <f t="shared" si="230"/>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6027</v>
      </c>
      <c r="P1888" s="252" t="str">
        <f t="shared" ref="P1888:P1896" si="232">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3">(M1889*P1889)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33"/>
        <v>342.4</v>
      </c>
      <c r="W1890" s="253"/>
    </row>
    <row r="1891" spans="6:23" ht="36.75" customHeight="1">
      <c r="I1891" s="296" t="s">
        <v>975</v>
      </c>
      <c r="K1891" s="358" t="s">
        <v>2055</v>
      </c>
      <c r="M1891" s="252">
        <v>3</v>
      </c>
      <c r="N1891" s="252" t="s">
        <v>868</v>
      </c>
      <c r="O1891" s="296" t="s">
        <v>1845</v>
      </c>
      <c r="P1891" s="252">
        <f t="shared" si="232"/>
        <v>738</v>
      </c>
      <c r="Q1891" s="296" t="s">
        <v>868</v>
      </c>
      <c r="R1891" s="252">
        <f t="shared" si="233"/>
        <v>2214</v>
      </c>
      <c r="W1891" s="253"/>
    </row>
    <row r="1892" spans="6:23" ht="24" customHeight="1">
      <c r="I1892" s="296"/>
      <c r="K1892" s="358"/>
      <c r="M1892" s="252">
        <v>1</v>
      </c>
      <c r="N1892" s="252" t="s">
        <v>868</v>
      </c>
      <c r="O1892" s="296" t="s">
        <v>1380</v>
      </c>
      <c r="P1892" s="252">
        <f t="shared" si="232"/>
        <v>999</v>
      </c>
      <c r="Q1892" s="296" t="s">
        <v>868</v>
      </c>
      <c r="R1892" s="252">
        <f t="shared" si="233"/>
        <v>999</v>
      </c>
      <c r="W1892" s="253"/>
    </row>
    <row r="1893" spans="6:23" ht="24" customHeight="1">
      <c r="G1893" s="252" t="s">
        <v>1907</v>
      </c>
      <c r="H1893" s="296" t="s">
        <v>3590</v>
      </c>
      <c r="M1893" s="252">
        <v>2</v>
      </c>
      <c r="N1893" s="252" t="s">
        <v>868</v>
      </c>
      <c r="O1893" s="296" t="s">
        <v>1902</v>
      </c>
      <c r="P1893" s="252">
        <f t="shared" si="232"/>
        <v>651</v>
      </c>
      <c r="Q1893" s="296" t="s">
        <v>868</v>
      </c>
      <c r="R1893" s="252">
        <f t="shared" si="233"/>
        <v>1302</v>
      </c>
      <c r="W1893" s="253"/>
    </row>
    <row r="1894" spans="6:23" ht="24" customHeight="1">
      <c r="H1894" s="358" t="s">
        <v>1586</v>
      </c>
      <c r="M1894" s="252">
        <v>1</v>
      </c>
      <c r="N1894" s="252" t="s">
        <v>868</v>
      </c>
      <c r="O1894" s="296" t="s">
        <v>320</v>
      </c>
      <c r="P1894" s="252">
        <f t="shared" si="232"/>
        <v>534</v>
      </c>
      <c r="Q1894" s="296" t="s">
        <v>868</v>
      </c>
      <c r="R1894" s="252">
        <f t="shared" si="233"/>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2"/>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2"/>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4">(F1908*I1908)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4"/>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34"/>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34"/>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34"/>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34"/>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6150</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5889</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5890</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5">(F1968*I1968)</f>
        <v>1201</v>
      </c>
      <c r="M1968" s="252">
        <v>1</v>
      </c>
      <c r="N1968" s="252" t="s">
        <v>868</v>
      </c>
      <c r="O1968" s="296" t="s">
        <v>712</v>
      </c>
      <c r="P1968" s="252">
        <f>I1968</f>
        <v>1201</v>
      </c>
      <c r="Q1968" s="296" t="s">
        <v>868</v>
      </c>
      <c r="R1968" s="252">
        <f t="shared" ref="R1968:R1974" si="236">(M1968*P1968)</f>
        <v>1201</v>
      </c>
      <c r="W1968" s="253"/>
    </row>
    <row r="1969" spans="6:23" ht="24" customHeight="1">
      <c r="F1969" s="252">
        <v>0.65</v>
      </c>
      <c r="G1969" s="252" t="s">
        <v>869</v>
      </c>
      <c r="H1969" s="296" t="s">
        <v>250</v>
      </c>
      <c r="I1969" s="252">
        <f>(C61*2)</f>
        <v>224.1</v>
      </c>
      <c r="J1969" s="296" t="s">
        <v>869</v>
      </c>
      <c r="K1969" s="252">
        <f t="shared" si="235"/>
        <v>145.66999999999999</v>
      </c>
      <c r="M1969" s="252">
        <v>0.65</v>
      </c>
      <c r="N1969" s="252" t="s">
        <v>869</v>
      </c>
      <c r="O1969" s="296" t="s">
        <v>250</v>
      </c>
      <c r="P1969" s="252">
        <f t="shared" ref="P1969:P1975" si="237">I1969</f>
        <v>224.1</v>
      </c>
      <c r="Q1969" s="296" t="s">
        <v>869</v>
      </c>
      <c r="R1969" s="252">
        <f t="shared" si="236"/>
        <v>145.66999999999999</v>
      </c>
      <c r="W1969" s="253"/>
    </row>
    <row r="1970" spans="6:23" ht="24" customHeight="1">
      <c r="F1970" s="252">
        <v>0.56999999999999995</v>
      </c>
      <c r="G1970" s="252" t="s">
        <v>869</v>
      </c>
      <c r="H1970" s="296" t="s">
        <v>251</v>
      </c>
      <c r="I1970" s="252">
        <f>(C26)</f>
        <v>38.950000000000003</v>
      </c>
      <c r="J1970" s="296" t="s">
        <v>869</v>
      </c>
      <c r="K1970" s="252">
        <f t="shared" si="235"/>
        <v>22.2</v>
      </c>
      <c r="M1970" s="252">
        <v>0.56999999999999995</v>
      </c>
      <c r="N1970" s="252" t="s">
        <v>869</v>
      </c>
      <c r="O1970" s="296" t="s">
        <v>251</v>
      </c>
      <c r="P1970" s="252">
        <f t="shared" si="237"/>
        <v>38.950000000000003</v>
      </c>
      <c r="Q1970" s="296" t="s">
        <v>869</v>
      </c>
      <c r="R1970" s="252">
        <f t="shared" si="236"/>
        <v>22.2</v>
      </c>
      <c r="W1970" s="253"/>
    </row>
    <row r="1971" spans="6:23" ht="24" customHeight="1">
      <c r="F1971" s="356">
        <v>8.1000000000000003E-2</v>
      </c>
      <c r="G1971" s="252" t="s">
        <v>869</v>
      </c>
      <c r="H1971" s="296" t="s">
        <v>252</v>
      </c>
      <c r="I1971" s="252">
        <f>(R60)</f>
        <v>4035.23</v>
      </c>
      <c r="J1971" s="296" t="s">
        <v>869</v>
      </c>
      <c r="K1971" s="252">
        <f t="shared" si="235"/>
        <v>326.85000000000002</v>
      </c>
      <c r="M1971" s="356">
        <v>8.1000000000000003E-2</v>
      </c>
      <c r="N1971" s="252" t="s">
        <v>869</v>
      </c>
      <c r="O1971" s="296" t="s">
        <v>252</v>
      </c>
      <c r="P1971" s="252">
        <f t="shared" si="237"/>
        <v>4035.23</v>
      </c>
      <c r="Q1971" s="296" t="s">
        <v>869</v>
      </c>
      <c r="R1971" s="252">
        <f t="shared" si="236"/>
        <v>326.85000000000002</v>
      </c>
      <c r="W1971" s="253"/>
    </row>
    <row r="1972" spans="6:23" ht="24" customHeight="1">
      <c r="F1972" s="252">
        <v>1</v>
      </c>
      <c r="G1972" s="252" t="s">
        <v>868</v>
      </c>
      <c r="H1972" s="296" t="s">
        <v>2103</v>
      </c>
      <c r="I1972" s="252">
        <f>(C15)</f>
        <v>866</v>
      </c>
      <c r="J1972" s="296" t="s">
        <v>868</v>
      </c>
      <c r="K1972" s="252">
        <f t="shared" si="235"/>
        <v>866</v>
      </c>
      <c r="M1972" s="252">
        <v>1</v>
      </c>
      <c r="N1972" s="252" t="s">
        <v>868</v>
      </c>
      <c r="O1972" s="296" t="s">
        <v>2103</v>
      </c>
      <c r="P1972" s="252">
        <f t="shared" si="237"/>
        <v>866</v>
      </c>
      <c r="Q1972" s="296" t="s">
        <v>868</v>
      </c>
      <c r="R1972" s="252">
        <f t="shared" si="236"/>
        <v>866</v>
      </c>
      <c r="W1972" s="253"/>
    </row>
    <row r="1973" spans="6:23" ht="24" customHeight="1">
      <c r="F1973" s="252">
        <v>0.5</v>
      </c>
      <c r="G1973" s="252" t="s">
        <v>868</v>
      </c>
      <c r="H1973" s="296" t="s">
        <v>1712</v>
      </c>
      <c r="I1973" s="252">
        <f>(C11)</f>
        <v>932</v>
      </c>
      <c r="J1973" s="296" t="s">
        <v>868</v>
      </c>
      <c r="K1973" s="252">
        <f t="shared" si="235"/>
        <v>466</v>
      </c>
      <c r="M1973" s="252">
        <v>0.5</v>
      </c>
      <c r="N1973" s="252" t="s">
        <v>868</v>
      </c>
      <c r="O1973" s="296" t="s">
        <v>1712</v>
      </c>
      <c r="P1973" s="252">
        <f t="shared" si="237"/>
        <v>932</v>
      </c>
      <c r="Q1973" s="296" t="s">
        <v>868</v>
      </c>
      <c r="R1973" s="252">
        <f t="shared" si="236"/>
        <v>466</v>
      </c>
      <c r="W1973" s="253"/>
    </row>
    <row r="1974" spans="6:23" ht="24" customHeight="1">
      <c r="F1974" s="252">
        <v>0.5</v>
      </c>
      <c r="G1974" s="252" t="s">
        <v>868</v>
      </c>
      <c r="H1974" s="296" t="s">
        <v>1902</v>
      </c>
      <c r="I1974" s="252">
        <f>(C12)</f>
        <v>651</v>
      </c>
      <c r="J1974" s="296" t="s">
        <v>868</v>
      </c>
      <c r="K1974" s="252">
        <f t="shared" si="235"/>
        <v>325.5</v>
      </c>
      <c r="M1974" s="252">
        <v>0.5</v>
      </c>
      <c r="N1974" s="252" t="s">
        <v>868</v>
      </c>
      <c r="O1974" s="296" t="s">
        <v>1902</v>
      </c>
      <c r="P1974" s="252">
        <f t="shared" si="237"/>
        <v>651</v>
      </c>
      <c r="Q1974" s="296" t="s">
        <v>868</v>
      </c>
      <c r="R1974" s="252">
        <f t="shared" si="236"/>
        <v>325.5</v>
      </c>
      <c r="W1974" s="253"/>
    </row>
    <row r="1975" spans="6:23" ht="24" customHeight="1">
      <c r="G1975" s="252" t="s">
        <v>449</v>
      </c>
      <c r="H1975" s="296" t="s">
        <v>450</v>
      </c>
      <c r="I1975" s="296" t="s">
        <v>975</v>
      </c>
      <c r="J1975" s="296" t="s">
        <v>449</v>
      </c>
      <c r="K1975" s="252">
        <v>1.25</v>
      </c>
      <c r="O1975" s="276" t="s">
        <v>4236</v>
      </c>
      <c r="P1975" s="252" t="str">
        <f t="shared" si="237"/>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3354.47</v>
      </c>
      <c r="N1977" s="252" t="s">
        <v>657</v>
      </c>
      <c r="O1977" s="276" t="s">
        <v>2271</v>
      </c>
      <c r="Q1977" s="296"/>
      <c r="R1977" s="252">
        <v>0.32</v>
      </c>
      <c r="W1977" s="253"/>
    </row>
    <row r="1978" spans="6:23" ht="24" customHeight="1" thickTop="1">
      <c r="K1978" s="358" t="s">
        <v>2055</v>
      </c>
      <c r="O1978" s="296" t="s">
        <v>1751</v>
      </c>
      <c r="Q1978" s="296"/>
      <c r="R1978" s="519">
        <f>SUM(R1968:R1977)</f>
        <v>3323.64</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3768.68</v>
      </c>
      <c r="J1987" s="296" t="s">
        <v>869</v>
      </c>
      <c r="K1987" s="252">
        <f>(F1987*I1987)</f>
        <v>1526.32</v>
      </c>
      <c r="M1987" s="356">
        <v>0.40500000000000003</v>
      </c>
      <c r="N1987" s="252" t="s">
        <v>869</v>
      </c>
      <c r="O1987" s="296" t="s">
        <v>2216</v>
      </c>
      <c r="P1987" s="252">
        <f t="shared" ref="P1987:P1996" si="238">I1987</f>
        <v>3768.68</v>
      </c>
      <c r="Q1987" s="296" t="s">
        <v>869</v>
      </c>
      <c r="R1987" s="252">
        <f>(M1987*P1987)</f>
        <v>1526.32</v>
      </c>
      <c r="W1987" s="253"/>
    </row>
    <row r="1988" spans="6:23" ht="24" customHeight="1">
      <c r="H1988" s="296" t="s">
        <v>1097</v>
      </c>
      <c r="I1988" s="296" t="s">
        <v>975</v>
      </c>
      <c r="K1988" s="296" t="s">
        <v>975</v>
      </c>
      <c r="O1988" s="296" t="s">
        <v>1097</v>
      </c>
      <c r="P1988" s="252" t="str">
        <f t="shared" si="238"/>
        <v/>
      </c>
      <c r="Q1988" s="296"/>
      <c r="R1988" s="296" t="s">
        <v>975</v>
      </c>
      <c r="W1988" s="253"/>
    </row>
    <row r="1989" spans="6:23" ht="24" customHeight="1">
      <c r="F1989" s="252">
        <v>1.89</v>
      </c>
      <c r="G1989" s="252" t="s">
        <v>609</v>
      </c>
      <c r="H1989" s="296" t="s">
        <v>264</v>
      </c>
      <c r="I1989" s="252">
        <f>(K1442)</f>
        <v>272.94</v>
      </c>
      <c r="J1989" s="296" t="s">
        <v>609</v>
      </c>
      <c r="K1989" s="252">
        <f>(F1989*I1989)</f>
        <v>515.86</v>
      </c>
      <c r="M1989" s="252">
        <v>1.89</v>
      </c>
      <c r="N1989" s="252" t="s">
        <v>609</v>
      </c>
      <c r="O1989" s="296" t="s">
        <v>264</v>
      </c>
      <c r="P1989" s="252">
        <f t="shared" si="238"/>
        <v>272.94</v>
      </c>
      <c r="Q1989" s="296" t="s">
        <v>609</v>
      </c>
      <c r="R1989" s="252">
        <f>(M1989*P1989)</f>
        <v>515.86</v>
      </c>
      <c r="W1989" s="253"/>
    </row>
    <row r="1990" spans="6:23" ht="24" customHeight="1">
      <c r="H1990" s="296" t="s">
        <v>265</v>
      </c>
      <c r="I1990" s="296" t="s">
        <v>975</v>
      </c>
      <c r="K1990" s="296" t="s">
        <v>975</v>
      </c>
      <c r="O1990" s="296" t="s">
        <v>265</v>
      </c>
      <c r="P1990" s="252" t="str">
        <f t="shared" si="238"/>
        <v/>
      </c>
      <c r="Q1990" s="296"/>
      <c r="R1990" s="296" t="s">
        <v>975</v>
      </c>
      <c r="W1990" s="253"/>
    </row>
    <row r="1991" spans="6:23" ht="24" customHeight="1">
      <c r="F1991" s="356">
        <v>8.1000000000000003E-2</v>
      </c>
      <c r="G1991" s="252" t="s">
        <v>869</v>
      </c>
      <c r="H1991" s="296" t="s">
        <v>266</v>
      </c>
      <c r="I1991" s="252">
        <f>(R60)</f>
        <v>4035.23</v>
      </c>
      <c r="J1991" s="296" t="s">
        <v>869</v>
      </c>
      <c r="K1991" s="252">
        <f>(F1991*I1991)</f>
        <v>326.85000000000002</v>
      </c>
      <c r="M1991" s="356">
        <v>8.1000000000000003E-2</v>
      </c>
      <c r="N1991" s="252" t="s">
        <v>869</v>
      </c>
      <c r="O1991" s="296" t="s">
        <v>266</v>
      </c>
      <c r="P1991" s="252">
        <f t="shared" si="238"/>
        <v>4035.23</v>
      </c>
      <c r="Q1991" s="296" t="s">
        <v>869</v>
      </c>
      <c r="R1991" s="252">
        <f>(M1991*P1991)</f>
        <v>326.85000000000002</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38"/>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38"/>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38"/>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38"/>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5228.5600000000004</v>
      </c>
      <c r="N1998" s="252" t="s">
        <v>657</v>
      </c>
      <c r="O1998" s="276" t="s">
        <v>2271</v>
      </c>
      <c r="Q1998" s="296"/>
      <c r="R1998" s="518">
        <v>0.47</v>
      </c>
      <c r="W1998" s="253"/>
    </row>
    <row r="1999" spans="6:23" ht="24" customHeight="1" thickTop="1">
      <c r="K1999" s="358" t="s">
        <v>2055</v>
      </c>
      <c r="O1999" s="296" t="s">
        <v>1751</v>
      </c>
      <c r="Q1999" s="296"/>
      <c r="R1999" s="519">
        <f>SUM(R1986:R1998)</f>
        <v>5198.1000000000004</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6151</v>
      </c>
      <c r="W2001" s="253"/>
    </row>
    <row r="2002" spans="6:23" ht="24" customHeight="1">
      <c r="H2002" s="296" t="s">
        <v>201</v>
      </c>
      <c r="M2002" s="369">
        <v>57</v>
      </c>
      <c r="N2002" s="252" t="s">
        <v>2251</v>
      </c>
      <c r="O2002" s="296" t="s">
        <v>6151</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39">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39"/>
        <v>866</v>
      </c>
      <c r="Q2009" s="296" t="s">
        <v>868</v>
      </c>
      <c r="R2009" s="252">
        <f>(M2009*P2009)</f>
        <v>1732</v>
      </c>
      <c r="S2009" s="252"/>
      <c r="W2009" s="253"/>
    </row>
    <row r="2010" spans="6:23" ht="24" customHeight="1">
      <c r="H2010" s="276" t="s">
        <v>713</v>
      </c>
      <c r="M2010" s="252">
        <v>1</v>
      </c>
      <c r="N2010" s="252" t="s">
        <v>868</v>
      </c>
      <c r="O2010" s="296" t="s">
        <v>320</v>
      </c>
      <c r="P2010" s="252">
        <f t="shared" si="239"/>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39"/>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39"/>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6152</v>
      </c>
      <c r="M2020" s="369">
        <v>57</v>
      </c>
      <c r="N2020" s="252" t="s">
        <v>2251</v>
      </c>
      <c r="O2020" s="296" t="s">
        <v>6152</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6153</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0">(F2049*I2049)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0"/>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0"/>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0"/>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0"/>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0"/>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0"/>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6154</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1">(F2073*I2073)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1"/>
        <v>45</v>
      </c>
      <c r="M2074" s="529">
        <f>P2051</f>
        <v>9.6000000000000002E-2</v>
      </c>
      <c r="N2074" s="522" t="s">
        <v>869</v>
      </c>
      <c r="O2074" s="523" t="s">
        <v>692</v>
      </c>
      <c r="P2074" s="522">
        <f>I3100</f>
        <v>111600</v>
      </c>
      <c r="Q2074" s="523" t="s">
        <v>869</v>
      </c>
      <c r="R2074" s="522">
        <f t="shared" ref="R2074:R2083" si="242">(M2074*P2074)</f>
        <v>10713.6</v>
      </c>
      <c r="W2074" s="253"/>
    </row>
    <row r="2075" spans="6:23" ht="24" customHeight="1">
      <c r="F2075" s="252">
        <v>1</v>
      </c>
      <c r="G2075" s="252" t="s">
        <v>769</v>
      </c>
      <c r="H2075" s="296" t="s">
        <v>1005</v>
      </c>
      <c r="I2075" s="252">
        <f>C649</f>
        <v>55.5</v>
      </c>
      <c r="J2075" s="296" t="s">
        <v>1716</v>
      </c>
      <c r="K2075" s="252">
        <f t="shared" si="241"/>
        <v>55.5</v>
      </c>
      <c r="M2075" s="529">
        <f>P2061</f>
        <v>0.17599999999999999</v>
      </c>
      <c r="N2075" s="522" t="s">
        <v>869</v>
      </c>
      <c r="O2075" s="523" t="s">
        <v>693</v>
      </c>
      <c r="P2075" s="522">
        <f t="shared" ref="P2075:P2083" si="243">I3101</f>
        <v>99400</v>
      </c>
      <c r="Q2075" s="523" t="s">
        <v>869</v>
      </c>
      <c r="R2075" s="522">
        <f t="shared" si="242"/>
        <v>17494.400000000001</v>
      </c>
      <c r="W2075" s="253"/>
    </row>
    <row r="2076" spans="6:23" ht="24" customHeight="1">
      <c r="F2076" s="252">
        <v>1</v>
      </c>
      <c r="G2076" s="252" t="s">
        <v>769</v>
      </c>
      <c r="H2076" s="296" t="s">
        <v>84</v>
      </c>
      <c r="I2076" s="252">
        <f>C646</f>
        <v>125.2</v>
      </c>
      <c r="J2076" s="296" t="s">
        <v>1716</v>
      </c>
      <c r="K2076" s="252">
        <f t="shared" si="241"/>
        <v>125.2</v>
      </c>
      <c r="M2076" s="529">
        <f>SUM(M2074:M2075)</f>
        <v>0.27200000000000002</v>
      </c>
      <c r="N2076" s="522" t="s">
        <v>869</v>
      </c>
      <c r="O2076" s="523" t="s">
        <v>886</v>
      </c>
      <c r="P2076" s="522">
        <f t="shared" si="243"/>
        <v>13690</v>
      </c>
      <c r="Q2076" s="523" t="s">
        <v>869</v>
      </c>
      <c r="R2076" s="522">
        <f t="shared" si="242"/>
        <v>3723.68</v>
      </c>
      <c r="W2076" s="253"/>
    </row>
    <row r="2077" spans="6:23" ht="24" customHeight="1">
      <c r="F2077" s="252">
        <v>0.5</v>
      </c>
      <c r="G2077" s="252" t="s">
        <v>868</v>
      </c>
      <c r="H2077" s="296" t="s">
        <v>2103</v>
      </c>
      <c r="I2077" s="252">
        <f>(C15)</f>
        <v>866</v>
      </c>
      <c r="J2077" s="296" t="s">
        <v>1716</v>
      </c>
      <c r="K2077" s="252">
        <f t="shared" si="241"/>
        <v>433</v>
      </c>
      <c r="M2077" s="529">
        <f>P2065</f>
        <v>6.02</v>
      </c>
      <c r="N2077" s="522" t="s">
        <v>609</v>
      </c>
      <c r="O2077" s="523" t="s">
        <v>5189</v>
      </c>
      <c r="P2077" s="522">
        <f t="shared" si="243"/>
        <v>387.4</v>
      </c>
      <c r="Q2077" s="523" t="s">
        <v>609</v>
      </c>
      <c r="R2077" s="522">
        <f t="shared" si="242"/>
        <v>2332.15</v>
      </c>
      <c r="W2077" s="253"/>
    </row>
    <row r="2078" spans="6:23" ht="24" customHeight="1">
      <c r="F2078" s="252">
        <v>0.5</v>
      </c>
      <c r="G2078" s="252" t="s">
        <v>868</v>
      </c>
      <c r="H2078" s="296" t="s">
        <v>1712</v>
      </c>
      <c r="I2078" s="252">
        <f>(C11)</f>
        <v>932</v>
      </c>
      <c r="J2078" s="296" t="s">
        <v>1716</v>
      </c>
      <c r="K2078" s="252">
        <f t="shared" si="241"/>
        <v>466</v>
      </c>
      <c r="M2078" s="529">
        <f>P2067</f>
        <v>7.37</v>
      </c>
      <c r="N2078" s="522" t="s">
        <v>609</v>
      </c>
      <c r="O2078" s="523" t="s">
        <v>1506</v>
      </c>
      <c r="P2078" s="522">
        <f t="shared" si="243"/>
        <v>1281</v>
      </c>
      <c r="Q2078" s="523" t="s">
        <v>609</v>
      </c>
      <c r="R2078" s="522">
        <f t="shared" si="242"/>
        <v>9440.9699999999993</v>
      </c>
      <c r="W2078" s="253"/>
    </row>
    <row r="2079" spans="6:23" ht="24" customHeight="1">
      <c r="F2079" s="252">
        <v>0.5</v>
      </c>
      <c r="G2079" s="252" t="s">
        <v>868</v>
      </c>
      <c r="H2079" s="296" t="s">
        <v>1902</v>
      </c>
      <c r="I2079" s="252">
        <f>(C12)</f>
        <v>651</v>
      </c>
      <c r="J2079" s="296" t="s">
        <v>1716</v>
      </c>
      <c r="K2079" s="252">
        <f t="shared" si="241"/>
        <v>325.5</v>
      </c>
      <c r="M2079" s="522">
        <f>P2069</f>
        <v>36</v>
      </c>
      <c r="N2079" s="522" t="s">
        <v>868</v>
      </c>
      <c r="O2079" s="523" t="s">
        <v>1343</v>
      </c>
      <c r="P2079" s="522">
        <f t="shared" si="243"/>
        <v>57</v>
      </c>
      <c r="Q2079" s="523" t="s">
        <v>868</v>
      </c>
      <c r="R2079" s="522">
        <f t="shared" si="242"/>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3"/>
        <v>49.35</v>
      </c>
      <c r="Q2080" s="523" t="s">
        <v>868</v>
      </c>
      <c r="R2080" s="522">
        <f t="shared" si="242"/>
        <v>888.3</v>
      </c>
      <c r="W2080" s="253"/>
    </row>
    <row r="2081" spans="6:23" ht="24" customHeight="1">
      <c r="H2081" s="296" t="s">
        <v>83</v>
      </c>
      <c r="M2081" s="522">
        <f>P2071</f>
        <v>18</v>
      </c>
      <c r="N2081" s="522" t="s">
        <v>868</v>
      </c>
      <c r="O2081" s="522" t="s">
        <v>5190</v>
      </c>
      <c r="P2081" s="522">
        <f t="shared" si="243"/>
        <v>60.9</v>
      </c>
      <c r="Q2081" s="523" t="s">
        <v>868</v>
      </c>
      <c r="R2081" s="522">
        <f t="shared" si="242"/>
        <v>1096.2</v>
      </c>
      <c r="W2081" s="253"/>
    </row>
    <row r="2082" spans="6:23" ht="24" customHeight="1">
      <c r="H2082" s="296" t="s">
        <v>190</v>
      </c>
      <c r="M2082" s="522">
        <f>P2072</f>
        <v>21.46</v>
      </c>
      <c r="N2082" s="522" t="s">
        <v>609</v>
      </c>
      <c r="O2082" s="523" t="s">
        <v>5191</v>
      </c>
      <c r="P2082" s="522">
        <f t="shared" si="243"/>
        <v>63.2</v>
      </c>
      <c r="Q2082" s="523" t="s">
        <v>609</v>
      </c>
      <c r="R2082" s="522">
        <f t="shared" si="242"/>
        <v>1356.27</v>
      </c>
      <c r="W2082" s="253"/>
    </row>
    <row r="2083" spans="6:23" ht="24" customHeight="1">
      <c r="H2083" s="296" t="s">
        <v>734</v>
      </c>
      <c r="J2083" s="296" t="s">
        <v>449</v>
      </c>
      <c r="K2083" s="252">
        <v>0.27</v>
      </c>
      <c r="M2083" s="522">
        <v>50</v>
      </c>
      <c r="N2083" s="522" t="s">
        <v>1432</v>
      </c>
      <c r="O2083" s="523" t="s">
        <v>1414</v>
      </c>
      <c r="P2083" s="522">
        <f t="shared" si="243"/>
        <v>233.74</v>
      </c>
      <c r="Q2083" s="523" t="s">
        <v>868</v>
      </c>
      <c r="R2083" s="522">
        <f t="shared" si="242"/>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7681.28</v>
      </c>
      <c r="Q2093" s="268" t="s">
        <v>1398</v>
      </c>
      <c r="R2093" s="268">
        <f>M2093*P2093</f>
        <v>652.91</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1408.31</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7681.28</v>
      </c>
      <c r="Q2099" s="268" t="s">
        <v>1398</v>
      </c>
      <c r="R2099" s="268">
        <f>M2099*P2099</f>
        <v>345.66</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745.58</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4035.23</v>
      </c>
      <c r="J2105" s="296" t="s">
        <v>869</v>
      </c>
      <c r="K2105" s="252">
        <f>(F2105*I2105)</f>
        <v>201.76</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7681.28</v>
      </c>
      <c r="Q2106" s="268" t="s">
        <v>1398</v>
      </c>
      <c r="R2106" s="268">
        <f>M2106*P2106</f>
        <v>652.91</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1408.31</v>
      </c>
      <c r="W2109" s="253"/>
    </row>
    <row r="2110" spans="6:23" ht="24" customHeight="1">
      <c r="H2110" s="296" t="s">
        <v>975</v>
      </c>
      <c r="K2110" s="358" t="s">
        <v>1586</v>
      </c>
      <c r="W2110" s="253"/>
    </row>
    <row r="2111" spans="6:23" ht="24" customHeight="1">
      <c r="H2111" s="296" t="s">
        <v>1751</v>
      </c>
      <c r="K2111" s="252">
        <f>SUM(K2104:K2109)</f>
        <v>1990.65</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4">(F2124*I2124)</f>
        <v>3170</v>
      </c>
      <c r="W2124" s="253"/>
    </row>
    <row r="2125" spans="6:23" ht="24" customHeight="1">
      <c r="F2125" s="252">
        <v>21.6</v>
      </c>
      <c r="G2125" s="252" t="s">
        <v>869</v>
      </c>
      <c r="H2125" s="296" t="s">
        <v>791</v>
      </c>
      <c r="I2125" s="252">
        <f>(C61*2)</f>
        <v>224.1</v>
      </c>
      <c r="J2125" s="296" t="s">
        <v>869</v>
      </c>
      <c r="K2125" s="252">
        <f t="shared" si="244"/>
        <v>4840.5600000000004</v>
      </c>
      <c r="W2125" s="253"/>
    </row>
    <row r="2126" spans="6:23" ht="59.25" customHeight="1">
      <c r="F2126" s="252">
        <v>21.6</v>
      </c>
      <c r="G2126" s="252" t="s">
        <v>869</v>
      </c>
      <c r="H2126" s="296" t="s">
        <v>251</v>
      </c>
      <c r="I2126" s="252">
        <f>(C26)</f>
        <v>38.950000000000003</v>
      </c>
      <c r="J2126" s="296" t="s">
        <v>869</v>
      </c>
      <c r="K2126" s="252">
        <f t="shared" si="244"/>
        <v>841.32</v>
      </c>
      <c r="W2126" s="253"/>
    </row>
    <row r="2127" spans="6:23" ht="24" customHeight="1">
      <c r="F2127" s="252">
        <v>45</v>
      </c>
      <c r="G2127" s="252" t="s">
        <v>1645</v>
      </c>
      <c r="H2127" s="296" t="s">
        <v>862</v>
      </c>
      <c r="I2127" s="252">
        <f>(C67/1000)</f>
        <v>6.04</v>
      </c>
      <c r="J2127" s="296" t="s">
        <v>1645</v>
      </c>
      <c r="K2127" s="252">
        <f t="shared" si="244"/>
        <v>271.8</v>
      </c>
      <c r="W2127" s="253"/>
    </row>
    <row r="2128" spans="6:23" ht="24" customHeight="1">
      <c r="F2128" s="252">
        <v>0.04</v>
      </c>
      <c r="G2128" s="252" t="s">
        <v>869</v>
      </c>
      <c r="H2128" s="296" t="s">
        <v>870</v>
      </c>
      <c r="I2128" s="252">
        <f>(C78)</f>
        <v>1464.46</v>
      </c>
      <c r="J2128" s="296" t="s">
        <v>869</v>
      </c>
      <c r="K2128" s="252">
        <f t="shared" si="244"/>
        <v>58.58</v>
      </c>
      <c r="W2128" s="253"/>
    </row>
    <row r="2129" spans="6:23" ht="24" customHeight="1">
      <c r="F2129" s="252">
        <v>3.63</v>
      </c>
      <c r="G2129" s="252" t="s">
        <v>1645</v>
      </c>
      <c r="H2129" s="296" t="s">
        <v>792</v>
      </c>
      <c r="I2129" s="252">
        <f>(C607)</f>
        <v>11.8</v>
      </c>
      <c r="J2129" s="296" t="s">
        <v>1645</v>
      </c>
      <c r="K2129" s="252">
        <f t="shared" si="244"/>
        <v>42.83</v>
      </c>
      <c r="W2129" s="253"/>
    </row>
    <row r="2130" spans="6:23" ht="24" customHeight="1">
      <c r="F2130" s="252">
        <v>2</v>
      </c>
      <c r="G2130" s="252" t="s">
        <v>868</v>
      </c>
      <c r="H2130" s="296" t="s">
        <v>2009</v>
      </c>
      <c r="I2130" s="252">
        <f>(C10)</f>
        <v>999</v>
      </c>
      <c r="J2130" s="296" t="s">
        <v>868</v>
      </c>
      <c r="K2130" s="252">
        <f t="shared" si="244"/>
        <v>1998</v>
      </c>
      <c r="W2130" s="253"/>
    </row>
    <row r="2131" spans="6:23" ht="24" customHeight="1">
      <c r="F2131" s="252">
        <v>1</v>
      </c>
      <c r="G2131" s="252" t="s">
        <v>868</v>
      </c>
      <c r="H2131" s="296" t="s">
        <v>793</v>
      </c>
      <c r="I2131" s="252">
        <f>AE37</f>
        <v>839</v>
      </c>
      <c r="J2131" s="296" t="s">
        <v>868</v>
      </c>
      <c r="K2131" s="252">
        <f t="shared" si="244"/>
        <v>839</v>
      </c>
      <c r="W2131" s="253"/>
    </row>
    <row r="2132" spans="6:23" ht="24" customHeight="1">
      <c r="F2132" s="252">
        <v>5</v>
      </c>
      <c r="G2132" s="252" t="s">
        <v>868</v>
      </c>
      <c r="H2132" s="296" t="s">
        <v>1902</v>
      </c>
      <c r="I2132" s="252">
        <f>(C12)</f>
        <v>651</v>
      </c>
      <c r="J2132" s="296" t="s">
        <v>868</v>
      </c>
      <c r="K2132" s="252">
        <f t="shared" si="244"/>
        <v>3255</v>
      </c>
      <c r="W2132" s="253"/>
    </row>
    <row r="2133" spans="6:23" ht="24" customHeight="1">
      <c r="F2133" s="252">
        <v>2</v>
      </c>
      <c r="G2133" s="252" t="s">
        <v>868</v>
      </c>
      <c r="H2133" s="296" t="s">
        <v>320</v>
      </c>
      <c r="I2133" s="252">
        <f>(C13)</f>
        <v>534</v>
      </c>
      <c r="J2133" s="296" t="s">
        <v>868</v>
      </c>
      <c r="K2133" s="252">
        <f t="shared" si="244"/>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17108.59</v>
      </c>
      <c r="W2136" s="253"/>
    </row>
    <row r="2137" spans="6:23" ht="24" customHeight="1">
      <c r="K2137" s="358" t="s">
        <v>1586</v>
      </c>
      <c r="W2137" s="253"/>
    </row>
    <row r="2138" spans="6:23" ht="24" customHeight="1">
      <c r="H2138" s="296" t="s">
        <v>1123</v>
      </c>
      <c r="K2138" s="252">
        <f>(K2136/30)</f>
        <v>570.29</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5">(F2144*I2144)</f>
        <v>5100</v>
      </c>
      <c r="W2144" s="253"/>
    </row>
    <row r="2145" spans="6:23" ht="24" customHeight="1">
      <c r="F2145" s="252">
        <v>21.6</v>
      </c>
      <c r="G2145" s="252" t="s">
        <v>869</v>
      </c>
      <c r="H2145" s="296" t="s">
        <v>791</v>
      </c>
      <c r="I2145" s="252">
        <f>(C61*2)</f>
        <v>224.1</v>
      </c>
      <c r="J2145" s="296" t="s">
        <v>869</v>
      </c>
      <c r="K2145" s="252">
        <f t="shared" si="245"/>
        <v>4840.5600000000004</v>
      </c>
      <c r="W2145" s="253"/>
    </row>
    <row r="2146" spans="6:23" ht="24" customHeight="1">
      <c r="F2146" s="252">
        <v>21.6</v>
      </c>
      <c r="G2146" s="252" t="s">
        <v>869</v>
      </c>
      <c r="H2146" s="296" t="s">
        <v>251</v>
      </c>
      <c r="I2146" s="252">
        <f>(C26)</f>
        <v>38.950000000000003</v>
      </c>
      <c r="J2146" s="296" t="s">
        <v>869</v>
      </c>
      <c r="K2146" s="252">
        <f t="shared" si="245"/>
        <v>841.32</v>
      </c>
      <c r="W2146" s="253"/>
    </row>
    <row r="2147" spans="6:23" ht="24" customHeight="1">
      <c r="F2147" s="252">
        <v>68</v>
      </c>
      <c r="G2147" s="252" t="s">
        <v>1645</v>
      </c>
      <c r="H2147" s="296" t="s">
        <v>862</v>
      </c>
      <c r="I2147" s="252">
        <f>(C67/1000)</f>
        <v>6.04</v>
      </c>
      <c r="J2147" s="296" t="s">
        <v>1645</v>
      </c>
      <c r="K2147" s="252">
        <f t="shared" si="245"/>
        <v>410.72</v>
      </c>
      <c r="W2147" s="253"/>
    </row>
    <row r="2148" spans="6:23" ht="24" customHeight="1">
      <c r="F2148" s="252">
        <v>7.0000000000000007E-2</v>
      </c>
      <c r="G2148" s="252" t="s">
        <v>869</v>
      </c>
      <c r="H2148" s="296" t="s">
        <v>870</v>
      </c>
      <c r="I2148" s="252">
        <f>(C78)</f>
        <v>1464.46</v>
      </c>
      <c r="J2148" s="296" t="s">
        <v>869</v>
      </c>
      <c r="K2148" s="252">
        <f t="shared" si="245"/>
        <v>102.51</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5"/>
        <v>64.31</v>
      </c>
      <c r="O2149" s="296" t="s">
        <v>52</v>
      </c>
      <c r="Q2149" s="296"/>
      <c r="W2149" s="253"/>
    </row>
    <row r="2150" spans="6:23" ht="24" customHeight="1">
      <c r="F2150" s="252">
        <v>3</v>
      </c>
      <c r="G2150" s="252" t="s">
        <v>868</v>
      </c>
      <c r="H2150" s="296" t="s">
        <v>2009</v>
      </c>
      <c r="I2150" s="252">
        <f>(C10)</f>
        <v>999</v>
      </c>
      <c r="J2150" s="296" t="s">
        <v>868</v>
      </c>
      <c r="K2150" s="252">
        <f t="shared" si="245"/>
        <v>2997</v>
      </c>
      <c r="O2150" s="358" t="s">
        <v>1586</v>
      </c>
      <c r="Q2150" s="296"/>
      <c r="W2150" s="253"/>
    </row>
    <row r="2151" spans="6:23" ht="39" customHeight="1">
      <c r="F2151" s="252">
        <v>2</v>
      </c>
      <c r="G2151" s="252" t="s">
        <v>868</v>
      </c>
      <c r="H2151" s="296" t="s">
        <v>793</v>
      </c>
      <c r="I2151" s="252">
        <f>AE37</f>
        <v>839</v>
      </c>
      <c r="J2151" s="296" t="s">
        <v>868</v>
      </c>
      <c r="K2151" s="252">
        <f t="shared" si="245"/>
        <v>1678</v>
      </c>
      <c r="M2151" s="252">
        <v>50</v>
      </c>
      <c r="N2151" s="252" t="s">
        <v>868</v>
      </c>
      <c r="O2151" s="389" t="s">
        <v>6155</v>
      </c>
      <c r="P2151" s="495">
        <v>455</v>
      </c>
      <c r="Q2151" s="296" t="s">
        <v>868</v>
      </c>
      <c r="R2151" s="252">
        <f t="shared" ref="R2151:R2160" si="246">(M2151*P2151)</f>
        <v>22750</v>
      </c>
      <c r="W2151" s="253"/>
    </row>
    <row r="2152" spans="6:23" ht="24" customHeight="1">
      <c r="F2152" s="252">
        <v>6</v>
      </c>
      <c r="G2152" s="252" t="s">
        <v>868</v>
      </c>
      <c r="H2152" s="296" t="s">
        <v>1902</v>
      </c>
      <c r="I2152" s="252">
        <f>(C12)</f>
        <v>651</v>
      </c>
      <c r="J2152" s="296" t="s">
        <v>868</v>
      </c>
      <c r="K2152" s="252">
        <f t="shared" si="245"/>
        <v>3906</v>
      </c>
      <c r="M2152" s="252">
        <v>21.6</v>
      </c>
      <c r="N2152" s="252" t="s">
        <v>869</v>
      </c>
      <c r="O2152" s="296" t="s">
        <v>791</v>
      </c>
      <c r="P2152" s="252">
        <f>I2145</f>
        <v>224.1</v>
      </c>
      <c r="Q2152" s="296" t="s">
        <v>869</v>
      </c>
      <c r="R2152" s="252">
        <f t="shared" si="246"/>
        <v>4840.5600000000004</v>
      </c>
      <c r="W2152" s="253"/>
    </row>
    <row r="2153" spans="6:23" ht="24" customHeight="1">
      <c r="F2153" s="252">
        <v>3</v>
      </c>
      <c r="G2153" s="252" t="s">
        <v>868</v>
      </c>
      <c r="H2153" s="296" t="s">
        <v>320</v>
      </c>
      <c r="I2153" s="252">
        <f>(C13)</f>
        <v>534</v>
      </c>
      <c r="J2153" s="296" t="s">
        <v>868</v>
      </c>
      <c r="K2153" s="252">
        <f t="shared" si="245"/>
        <v>1602</v>
      </c>
      <c r="M2153" s="252">
        <v>21.6</v>
      </c>
      <c r="N2153" s="252" t="s">
        <v>869</v>
      </c>
      <c r="O2153" s="296" t="s">
        <v>251</v>
      </c>
      <c r="P2153" s="252">
        <f t="shared" ref="P2153:P2160" si="247">I2146</f>
        <v>38.950000000000003</v>
      </c>
      <c r="Q2153" s="296" t="s">
        <v>869</v>
      </c>
      <c r="R2153" s="252">
        <f t="shared" si="246"/>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47"/>
        <v>6.04</v>
      </c>
      <c r="Q2154" s="296" t="s">
        <v>1645</v>
      </c>
      <c r="R2154" s="252">
        <f t="shared" si="246"/>
        <v>694.6</v>
      </c>
      <c r="W2154" s="253"/>
    </row>
    <row r="2155" spans="6:23" ht="24" customHeight="1">
      <c r="K2155" s="358" t="s">
        <v>1586</v>
      </c>
      <c r="M2155" s="252">
        <v>0.11</v>
      </c>
      <c r="N2155" s="252" t="s">
        <v>869</v>
      </c>
      <c r="O2155" s="296" t="s">
        <v>870</v>
      </c>
      <c r="P2155" s="252">
        <f t="shared" si="247"/>
        <v>1464.46</v>
      </c>
      <c r="Q2155" s="296" t="s">
        <v>869</v>
      </c>
      <c r="R2155" s="252">
        <f t="shared" si="246"/>
        <v>161.09</v>
      </c>
      <c r="W2155" s="253"/>
    </row>
    <row r="2156" spans="6:23" ht="24" customHeight="1">
      <c r="H2156" s="296" t="s">
        <v>2137</v>
      </c>
      <c r="K2156" s="252">
        <f>SUM(K2144:K2154)</f>
        <v>22565.52</v>
      </c>
      <c r="M2156" s="252">
        <v>8.35</v>
      </c>
      <c r="N2156" s="252" t="s">
        <v>1645</v>
      </c>
      <c r="O2156" s="296" t="s">
        <v>792</v>
      </c>
      <c r="P2156" s="252">
        <f t="shared" si="247"/>
        <v>11.8</v>
      </c>
      <c r="Q2156" s="296" t="s">
        <v>1645</v>
      </c>
      <c r="R2156" s="252">
        <f t="shared" si="246"/>
        <v>98.53</v>
      </c>
      <c r="W2156" s="253"/>
    </row>
    <row r="2157" spans="6:23" ht="24" customHeight="1">
      <c r="K2157" s="358" t="s">
        <v>1586</v>
      </c>
      <c r="M2157" s="252">
        <v>5</v>
      </c>
      <c r="N2157" s="252" t="s">
        <v>868</v>
      </c>
      <c r="O2157" s="296" t="s">
        <v>2009</v>
      </c>
      <c r="P2157" s="252">
        <f t="shared" si="247"/>
        <v>999</v>
      </c>
      <c r="Q2157" s="296" t="s">
        <v>868</v>
      </c>
      <c r="R2157" s="252">
        <f t="shared" si="246"/>
        <v>4995</v>
      </c>
      <c r="W2157" s="253"/>
    </row>
    <row r="2158" spans="6:23" ht="24" customHeight="1">
      <c r="H2158" s="296" t="s">
        <v>1123</v>
      </c>
      <c r="K2158" s="252">
        <f>(K2156/30)</f>
        <v>752.18</v>
      </c>
      <c r="M2158" s="252">
        <v>3</v>
      </c>
      <c r="N2158" s="252" t="s">
        <v>868</v>
      </c>
      <c r="O2158" s="296" t="s">
        <v>793</v>
      </c>
      <c r="P2158" s="252">
        <f t="shared" si="247"/>
        <v>839</v>
      </c>
      <c r="Q2158" s="296" t="s">
        <v>868</v>
      </c>
      <c r="R2158" s="252">
        <f t="shared" si="246"/>
        <v>2517</v>
      </c>
      <c r="W2158" s="253"/>
    </row>
    <row r="2159" spans="6:23" ht="24" customHeight="1">
      <c r="K2159" s="358" t="s">
        <v>2055</v>
      </c>
      <c r="M2159" s="252">
        <v>7</v>
      </c>
      <c r="N2159" s="252" t="s">
        <v>868</v>
      </c>
      <c r="O2159" s="296" t="s">
        <v>1902</v>
      </c>
      <c r="P2159" s="252">
        <f t="shared" si="247"/>
        <v>651</v>
      </c>
      <c r="Q2159" s="296" t="s">
        <v>868</v>
      </c>
      <c r="R2159" s="252">
        <f t="shared" si="246"/>
        <v>4557</v>
      </c>
      <c r="W2159" s="253"/>
    </row>
    <row r="2160" spans="6:23" ht="24" customHeight="1">
      <c r="F2160" s="253" t="s">
        <v>569</v>
      </c>
      <c r="G2160" s="252" t="s">
        <v>2251</v>
      </c>
      <c r="H2160" s="296" t="s">
        <v>51</v>
      </c>
      <c r="M2160" s="252">
        <v>5</v>
      </c>
      <c r="N2160" s="252" t="s">
        <v>868</v>
      </c>
      <c r="O2160" s="296" t="s">
        <v>320</v>
      </c>
      <c r="P2160" s="252">
        <f t="shared" si="247"/>
        <v>534</v>
      </c>
      <c r="Q2160" s="296" t="s">
        <v>868</v>
      </c>
      <c r="R2160" s="252">
        <f t="shared" si="246"/>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44359.1</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1478.64</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48">F2242*I2242</f>
        <v>596.82000000000005</v>
      </c>
      <c r="W2242" s="253"/>
    </row>
    <row r="2243" spans="6:23" ht="24" customHeight="1">
      <c r="F2243" s="316">
        <v>2.93E-2</v>
      </c>
      <c r="G2243" s="252" t="s">
        <v>2151</v>
      </c>
      <c r="H2243" s="296" t="s">
        <v>1279</v>
      </c>
      <c r="I2243" s="252">
        <f>C87</f>
        <v>39400</v>
      </c>
      <c r="J2243" s="296" t="s">
        <v>2151</v>
      </c>
      <c r="K2243" s="252">
        <f t="shared" si="248"/>
        <v>1154.42</v>
      </c>
      <c r="W2243" s="253"/>
    </row>
    <row r="2244" spans="6:23" ht="24" customHeight="1">
      <c r="F2244" s="316">
        <v>1.093</v>
      </c>
      <c r="G2244" s="252" t="s">
        <v>2283</v>
      </c>
      <c r="H2244" s="296" t="s">
        <v>1280</v>
      </c>
      <c r="I2244" s="252">
        <f>C199</f>
        <v>379.9</v>
      </c>
      <c r="J2244" s="296" t="s">
        <v>2283</v>
      </c>
      <c r="K2244" s="252">
        <f t="shared" si="248"/>
        <v>415.23</v>
      </c>
      <c r="W2244" s="253"/>
    </row>
    <row r="2245" spans="6:23" ht="24" customHeight="1">
      <c r="F2245" s="252">
        <v>6</v>
      </c>
      <c r="G2245" s="252" t="s">
        <v>560</v>
      </c>
      <c r="H2245" s="296" t="s">
        <v>1145</v>
      </c>
      <c r="I2245" s="252">
        <f>C297</f>
        <v>7</v>
      </c>
      <c r="J2245" s="296" t="s">
        <v>1398</v>
      </c>
      <c r="K2245" s="252">
        <f t="shared" si="248"/>
        <v>42</v>
      </c>
      <c r="W2245" s="253"/>
    </row>
    <row r="2246" spans="6:23" ht="24" customHeight="1">
      <c r="F2246" s="252">
        <v>1</v>
      </c>
      <c r="G2246" s="252" t="s">
        <v>560</v>
      </c>
      <c r="H2246" s="296" t="s">
        <v>2217</v>
      </c>
      <c r="I2246" s="252">
        <f>C287</f>
        <v>101.6</v>
      </c>
      <c r="J2246" s="296" t="s">
        <v>1398</v>
      </c>
      <c r="K2246" s="252">
        <f t="shared" si="248"/>
        <v>101.6</v>
      </c>
      <c r="W2246" s="253"/>
    </row>
    <row r="2247" spans="6:23" ht="24" customHeight="1">
      <c r="F2247" s="252">
        <v>2</v>
      </c>
      <c r="G2247" s="252" t="s">
        <v>560</v>
      </c>
      <c r="H2247" s="296" t="s">
        <v>1749</v>
      </c>
      <c r="I2247" s="252">
        <f>C308</f>
        <v>3</v>
      </c>
      <c r="J2247" s="296" t="s">
        <v>1398</v>
      </c>
      <c r="K2247" s="252">
        <f t="shared" si="248"/>
        <v>6</v>
      </c>
      <c r="W2247" s="253"/>
    </row>
    <row r="2248" spans="6:23" ht="24" customHeight="1">
      <c r="F2248" s="252">
        <v>6</v>
      </c>
      <c r="G2248" s="252" t="s">
        <v>560</v>
      </c>
      <c r="H2248" s="296" t="s">
        <v>139</v>
      </c>
      <c r="I2248" s="534">
        <v>10.5</v>
      </c>
      <c r="J2248" s="296" t="s">
        <v>1398</v>
      </c>
      <c r="K2248" s="252">
        <f t="shared" si="248"/>
        <v>63</v>
      </c>
      <c r="W2248" s="253"/>
    </row>
    <row r="2249" spans="6:23" ht="24" customHeight="1">
      <c r="F2249" s="356">
        <v>1.62</v>
      </c>
      <c r="G2249" s="252" t="s">
        <v>2283</v>
      </c>
      <c r="H2249" s="296" t="s">
        <v>140</v>
      </c>
      <c r="I2249" s="252">
        <f>D33</f>
        <v>1072</v>
      </c>
      <c r="J2249" s="296" t="s">
        <v>2283</v>
      </c>
      <c r="K2249" s="252">
        <f t="shared" si="248"/>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49">I2309*F2309</f>
        <v>407.5</v>
      </c>
      <c r="W2309" s="253"/>
    </row>
    <row r="2310" spans="5:253" ht="24" customHeight="1">
      <c r="F2310" s="252">
        <v>20</v>
      </c>
      <c r="G2310" s="252" t="s">
        <v>359</v>
      </c>
      <c r="H2310" s="264" t="s">
        <v>5891</v>
      </c>
      <c r="I2310" s="305">
        <v>5</v>
      </c>
      <c r="J2310" s="296" t="s">
        <v>359</v>
      </c>
      <c r="K2310" s="252">
        <f t="shared" si="249"/>
        <v>100</v>
      </c>
      <c r="W2310" s="253"/>
    </row>
    <row r="2311" spans="5:253" ht="24" customHeight="1">
      <c r="F2311" s="252">
        <v>9</v>
      </c>
      <c r="G2311" s="252" t="s">
        <v>359</v>
      </c>
      <c r="H2311" s="362" t="s">
        <v>5892</v>
      </c>
      <c r="I2311" s="362">
        <v>3.7</v>
      </c>
      <c r="J2311" s="296" t="s">
        <v>359</v>
      </c>
      <c r="K2311" s="252">
        <f t="shared" si="249"/>
        <v>33.299999999999997</v>
      </c>
      <c r="W2311" s="253"/>
    </row>
    <row r="2312" spans="5:253" ht="51.75" customHeight="1">
      <c r="F2312" s="252">
        <v>0.5</v>
      </c>
      <c r="G2312" s="252" t="s">
        <v>359</v>
      </c>
      <c r="H2312" s="252" t="s">
        <v>5893</v>
      </c>
      <c r="I2312" s="537">
        <v>101.5</v>
      </c>
      <c r="J2312" s="296" t="s">
        <v>359</v>
      </c>
      <c r="K2312" s="252">
        <f t="shared" si="249"/>
        <v>50.75</v>
      </c>
      <c r="W2312" s="253"/>
    </row>
    <row r="2313" spans="5:253" ht="36.75" customHeight="1">
      <c r="E2313" s="356">
        <f>25.2/5</f>
        <v>5.04</v>
      </c>
      <c r="F2313" s="252">
        <v>0.5</v>
      </c>
      <c r="G2313" s="252" t="s">
        <v>769</v>
      </c>
      <c r="H2313" s="252" t="s">
        <v>1284</v>
      </c>
      <c r="I2313" s="252">
        <f>I2297</f>
        <v>826</v>
      </c>
      <c r="J2313" s="296" t="s">
        <v>769</v>
      </c>
      <c r="K2313" s="252">
        <f t="shared" si="249"/>
        <v>413</v>
      </c>
      <c r="W2313" s="253"/>
    </row>
    <row r="2314" spans="5:253" ht="24" customHeight="1">
      <c r="F2314" s="252">
        <v>1</v>
      </c>
      <c r="G2314" s="252" t="s">
        <v>769</v>
      </c>
      <c r="H2314" s="252" t="s">
        <v>1285</v>
      </c>
      <c r="I2314" s="252">
        <f>I2299</f>
        <v>644</v>
      </c>
      <c r="J2314" s="296" t="s">
        <v>769</v>
      </c>
      <c r="K2314" s="252">
        <f t="shared" si="249"/>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5894</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8225.5400000000009</v>
      </c>
      <c r="J2341" s="296" t="s">
        <v>368</v>
      </c>
      <c r="K2341" s="252">
        <f>I2341*F2341</f>
        <v>584.01</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982.53</v>
      </c>
      <c r="O2343" s="1087" t="s">
        <v>1166</v>
      </c>
      <c r="P2343" s="1088"/>
      <c r="Q2343" s="1088"/>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1265.98</v>
      </c>
      <c r="Q2346" s="296" t="s">
        <v>1398</v>
      </c>
      <c r="R2346" s="252">
        <f>P2346*M2346</f>
        <v>303.83999999999997</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1641.32</v>
      </c>
      <c r="Q2347" s="296" t="s">
        <v>449</v>
      </c>
      <c r="R2347" s="252">
        <f>P2347*M2347</f>
        <v>1296.6400000000001</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1464.46</v>
      </c>
      <c r="Q2348" s="296"/>
      <c r="R2348" s="252">
        <f>P2348*M2348</f>
        <v>351.47</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2057.2800000000002</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087" t="s">
        <v>1310</v>
      </c>
      <c r="P2353" s="1088"/>
      <c r="Q2353" s="1088"/>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1265.98</v>
      </c>
      <c r="Q2355" s="296" t="s">
        <v>1398</v>
      </c>
      <c r="R2355" s="252">
        <f>P2355*M2355</f>
        <v>89.88</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488.4</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0">F2364*I2364</f>
        <v>1956.73</v>
      </c>
      <c r="R2364" s="252" t="s">
        <v>1309</v>
      </c>
      <c r="W2364" s="253"/>
    </row>
    <row r="2365" spans="6:23" ht="24" customHeight="1">
      <c r="F2365" s="252">
        <v>2</v>
      </c>
      <c r="G2365" s="252" t="s">
        <v>1965</v>
      </c>
      <c r="H2365" s="422" t="s">
        <v>5344</v>
      </c>
      <c r="I2365" s="370">
        <v>196.45</v>
      </c>
      <c r="J2365" s="296" t="s">
        <v>1966</v>
      </c>
      <c r="K2365" s="252">
        <f t="shared" si="250"/>
        <v>392.9</v>
      </c>
      <c r="R2365" s="252">
        <f>R2363/2.44</f>
        <v>398.52</v>
      </c>
      <c r="W2365" s="253"/>
    </row>
    <row r="2366" spans="6:23" ht="24" customHeight="1">
      <c r="F2366" s="252">
        <v>20</v>
      </c>
      <c r="G2366" s="252" t="s">
        <v>145</v>
      </c>
      <c r="H2366" s="541" t="s">
        <v>5345</v>
      </c>
      <c r="I2366" s="370">
        <v>3.91</v>
      </c>
      <c r="J2366" s="296" t="s">
        <v>145</v>
      </c>
      <c r="K2366" s="252">
        <f t="shared" si="250"/>
        <v>78.2</v>
      </c>
      <c r="W2366" s="253"/>
    </row>
    <row r="2367" spans="6:23" ht="24" customHeight="1">
      <c r="F2367" s="252">
        <v>2.2000000000000002</v>
      </c>
      <c r="G2367" s="252" t="s">
        <v>1394</v>
      </c>
      <c r="H2367" s="252" t="s">
        <v>965</v>
      </c>
      <c r="I2367" s="252">
        <f>AE18</f>
        <v>856</v>
      </c>
      <c r="J2367" s="296" t="s">
        <v>1398</v>
      </c>
      <c r="K2367" s="252">
        <f t="shared" si="250"/>
        <v>1883.2</v>
      </c>
      <c r="W2367" s="253"/>
    </row>
    <row r="2368" spans="6:23" ht="24" customHeight="1">
      <c r="F2368" s="252">
        <v>1.1000000000000001</v>
      </c>
      <c r="G2368" s="252" t="s">
        <v>1394</v>
      </c>
      <c r="H2368" s="252" t="s">
        <v>143</v>
      </c>
      <c r="I2368" s="252">
        <f>C16</f>
        <v>976</v>
      </c>
      <c r="J2368" s="296" t="s">
        <v>1398</v>
      </c>
      <c r="K2368" s="252">
        <f t="shared" si="250"/>
        <v>1073.5999999999999</v>
      </c>
      <c r="W2368" s="253"/>
    </row>
    <row r="2369" spans="6:23" ht="24" customHeight="1">
      <c r="F2369" s="252">
        <v>3.2</v>
      </c>
      <c r="G2369" s="252" t="s">
        <v>1394</v>
      </c>
      <c r="H2369" s="252" t="s">
        <v>144</v>
      </c>
      <c r="I2369" s="252">
        <f>C12</f>
        <v>651</v>
      </c>
      <c r="J2369" s="296" t="s">
        <v>1398</v>
      </c>
      <c r="K2369" s="252">
        <f t="shared" si="250"/>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5605.48</v>
      </c>
      <c r="J2383" s="296" t="s">
        <v>869</v>
      </c>
      <c r="K2383" s="252">
        <f t="shared" ref="K2383:K2388" si="251">(F2383*I2383)</f>
        <v>10986.74</v>
      </c>
      <c r="W2383" s="253"/>
    </row>
    <row r="2384" spans="6:23" ht="24" customHeight="1">
      <c r="F2384" s="252">
        <v>2</v>
      </c>
      <c r="G2384" s="252" t="s">
        <v>1394</v>
      </c>
      <c r="H2384" s="252" t="s">
        <v>354</v>
      </c>
      <c r="I2384" s="252">
        <f>C10</f>
        <v>999</v>
      </c>
      <c r="J2384" s="296" t="s">
        <v>868</v>
      </c>
      <c r="K2384" s="252">
        <f t="shared" si="251"/>
        <v>1998</v>
      </c>
      <c r="W2384" s="253"/>
    </row>
    <row r="2385" spans="5:23" ht="24" customHeight="1">
      <c r="F2385" s="252">
        <v>2</v>
      </c>
      <c r="G2385" s="252" t="s">
        <v>1394</v>
      </c>
      <c r="H2385" s="252" t="s">
        <v>355</v>
      </c>
      <c r="I2385" s="252">
        <f>C13</f>
        <v>534</v>
      </c>
      <c r="J2385" s="296" t="s">
        <v>868</v>
      </c>
      <c r="K2385" s="252">
        <f t="shared" si="251"/>
        <v>1068</v>
      </c>
      <c r="N2385" s="252" t="s">
        <v>2251</v>
      </c>
      <c r="Q2385" s="296"/>
      <c r="W2385" s="253"/>
    </row>
    <row r="2386" spans="5:23" ht="24" customHeight="1">
      <c r="F2386" s="252">
        <v>0.28000000000000003</v>
      </c>
      <c r="G2386" s="252" t="s">
        <v>2283</v>
      </c>
      <c r="H2386" s="252" t="s">
        <v>356</v>
      </c>
      <c r="I2386" s="252">
        <f>I2354</f>
        <v>848.08</v>
      </c>
      <c r="J2386" s="296" t="s">
        <v>868</v>
      </c>
      <c r="K2386" s="252">
        <f t="shared" si="251"/>
        <v>237.46</v>
      </c>
      <c r="O2386" s="296" t="s">
        <v>6156</v>
      </c>
      <c r="Q2386" s="253"/>
      <c r="W2386" s="253"/>
    </row>
    <row r="2387" spans="5:23" ht="24" customHeight="1">
      <c r="F2387" s="252">
        <v>500</v>
      </c>
      <c r="G2387" s="252" t="s">
        <v>1394</v>
      </c>
      <c r="H2387" s="389" t="s">
        <v>2146</v>
      </c>
      <c r="I2387" s="252">
        <v>2</v>
      </c>
      <c r="J2387" s="296" t="s">
        <v>868</v>
      </c>
      <c r="K2387" s="252">
        <f t="shared" si="251"/>
        <v>1000</v>
      </c>
      <c r="O2387" s="296" t="s">
        <v>3664</v>
      </c>
      <c r="Q2387" s="253"/>
      <c r="W2387" s="253"/>
    </row>
    <row r="2388" spans="5:23" ht="24" customHeight="1">
      <c r="F2388" s="252">
        <v>8.5</v>
      </c>
      <c r="G2388" s="252" t="s">
        <v>2147</v>
      </c>
      <c r="H2388" s="368" t="s">
        <v>4232</v>
      </c>
      <c r="I2388" s="420">
        <v>43.6</v>
      </c>
      <c r="J2388" s="296" t="s">
        <v>2147</v>
      </c>
      <c r="K2388" s="252">
        <f t="shared" si="251"/>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15662.76</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399.56</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2">(M2394*P2394)</f>
        <v>132.30000000000001</v>
      </c>
      <c r="W2394" s="253"/>
    </row>
    <row r="2395" spans="5:23" ht="24" customHeight="1">
      <c r="M2395" s="252">
        <v>2.25</v>
      </c>
      <c r="N2395" s="252" t="s">
        <v>3670</v>
      </c>
      <c r="O2395" s="296" t="s">
        <v>3671</v>
      </c>
      <c r="P2395" s="314">
        <v>140.41</v>
      </c>
      <c r="Q2395" s="253" t="s">
        <v>3670</v>
      </c>
      <c r="R2395" s="252">
        <f t="shared" si="252"/>
        <v>315.92</v>
      </c>
      <c r="W2395" s="253"/>
    </row>
    <row r="2396" spans="5:23" ht="24" customHeight="1">
      <c r="H2396" s="274" t="s">
        <v>975</v>
      </c>
      <c r="M2396" s="252">
        <v>4.5</v>
      </c>
      <c r="N2396" s="252" t="s">
        <v>3670</v>
      </c>
      <c r="O2396" s="296" t="s">
        <v>3672</v>
      </c>
      <c r="P2396" s="314">
        <v>65</v>
      </c>
      <c r="Q2396" s="253" t="s">
        <v>3670</v>
      </c>
      <c r="R2396" s="252">
        <f t="shared" si="252"/>
        <v>292.5</v>
      </c>
      <c r="W2396" s="253"/>
    </row>
    <row r="2397" spans="5:23" ht="34.5" customHeight="1">
      <c r="F2397" s="252">
        <v>1</v>
      </c>
      <c r="G2397" s="252" t="s">
        <v>1394</v>
      </c>
      <c r="H2397" s="542" t="s">
        <v>5895</v>
      </c>
      <c r="I2397" s="370">
        <v>454.5</v>
      </c>
      <c r="J2397" s="296" t="s">
        <v>868</v>
      </c>
      <c r="K2397" s="252">
        <f>(F2397*I2397)</f>
        <v>454.5</v>
      </c>
      <c r="M2397" s="252">
        <v>6</v>
      </c>
      <c r="N2397" s="252" t="s">
        <v>1873</v>
      </c>
      <c r="O2397" s="296" t="s">
        <v>3673</v>
      </c>
      <c r="P2397" s="314">
        <v>8</v>
      </c>
      <c r="Q2397" s="253" t="s">
        <v>1398</v>
      </c>
      <c r="R2397" s="252">
        <f t="shared" si="252"/>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2"/>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2"/>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6157</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093" t="s">
        <v>344</v>
      </c>
      <c r="I2420" s="1093"/>
      <c r="J2420" s="1093"/>
      <c r="K2420" s="1093"/>
      <c r="W2420" s="253"/>
    </row>
    <row r="2421" spans="6:23" ht="24" customHeight="1">
      <c r="F2421" s="253"/>
      <c r="G2421" s="253"/>
      <c r="H2421" s="253"/>
      <c r="I2421" s="253"/>
      <c r="W2421" s="253"/>
    </row>
    <row r="2422" spans="6:23" ht="24" customHeight="1">
      <c r="F2422" s="252">
        <v>10.5</v>
      </c>
      <c r="G2422" s="252" t="s">
        <v>2283</v>
      </c>
      <c r="H2422" s="1092" t="s">
        <v>5346</v>
      </c>
      <c r="I2422" s="370">
        <v>318</v>
      </c>
      <c r="J2422" s="296" t="s">
        <v>2283</v>
      </c>
      <c r="K2422" s="252">
        <f>(F2422*I2422)</f>
        <v>3339</v>
      </c>
      <c r="W2422" s="253"/>
    </row>
    <row r="2423" spans="6:23" ht="24" customHeight="1">
      <c r="H2423" s="1092"/>
      <c r="I2423" s="296" t="s">
        <v>975</v>
      </c>
      <c r="K2423" s="296" t="s">
        <v>975</v>
      </c>
      <c r="W2423" s="253"/>
    </row>
    <row r="2424" spans="6:23" ht="24" customHeight="1">
      <c r="F2424" s="252">
        <v>0.22</v>
      </c>
      <c r="G2424" s="252" t="s">
        <v>869</v>
      </c>
      <c r="H2424" s="296" t="s">
        <v>1876</v>
      </c>
      <c r="I2424" s="252">
        <f>K32</f>
        <v>4479.66</v>
      </c>
      <c r="J2424" s="296" t="s">
        <v>869</v>
      </c>
      <c r="K2424" s="252">
        <f>(F2424*I2424)</f>
        <v>985.53</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089" t="s">
        <v>2790</v>
      </c>
      <c r="P2427" s="1089"/>
      <c r="Q2427" s="1089"/>
      <c r="R2427" s="1089"/>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090" t="s">
        <v>5347</v>
      </c>
      <c r="P2429" s="362">
        <v>484</v>
      </c>
      <c r="Q2429" s="296" t="s">
        <v>2283</v>
      </c>
      <c r="R2429" s="252">
        <f>(M2429*P2429)</f>
        <v>5082</v>
      </c>
      <c r="W2429" s="253"/>
    </row>
    <row r="2430" spans="6:23" ht="24" customHeight="1">
      <c r="H2430" s="296"/>
      <c r="J2430" s="296" t="s">
        <v>769</v>
      </c>
      <c r="K2430" s="252">
        <v>0</v>
      </c>
      <c r="O2430" s="1090"/>
      <c r="P2430" s="296" t="s">
        <v>975</v>
      </c>
      <c r="Q2430" s="296"/>
      <c r="R2430" s="296" t="s">
        <v>975</v>
      </c>
      <c r="W2430" s="253"/>
    </row>
    <row r="2431" spans="6:23" ht="24" customHeight="1">
      <c r="F2431" s="356"/>
      <c r="M2431" s="252">
        <v>0.22</v>
      </c>
      <c r="N2431" s="252" t="s">
        <v>869</v>
      </c>
      <c r="O2431" s="296" t="s">
        <v>1876</v>
      </c>
      <c r="P2431" s="252">
        <f t="shared" ref="P2431:P2436" si="253">I2424</f>
        <v>4479.66</v>
      </c>
      <c r="Q2431" s="296" t="s">
        <v>869</v>
      </c>
      <c r="R2431" s="252">
        <f>(M2431*P2431)</f>
        <v>985.53</v>
      </c>
      <c r="W2431" s="253"/>
    </row>
    <row r="2432" spans="6:23" ht="24" customHeight="1">
      <c r="H2432" s="276" t="s">
        <v>441</v>
      </c>
      <c r="K2432" s="543" t="s">
        <v>146</v>
      </c>
      <c r="M2432" s="252">
        <v>64</v>
      </c>
      <c r="N2432" s="252" t="s">
        <v>1645</v>
      </c>
      <c r="O2432" s="296" t="s">
        <v>345</v>
      </c>
      <c r="P2432" s="252">
        <f t="shared" si="253"/>
        <v>6040</v>
      </c>
      <c r="Q2432" s="296" t="s">
        <v>346</v>
      </c>
      <c r="R2432" s="252">
        <f>P2432*M2432/1000</f>
        <v>386.56</v>
      </c>
      <c r="W2432" s="253"/>
    </row>
    <row r="2433" spans="6:23" ht="24" customHeight="1">
      <c r="H2433" s="276"/>
      <c r="K2433" s="274">
        <f>SUM(K2422:K2430)</f>
        <v>14733.24</v>
      </c>
      <c r="M2433" s="252">
        <v>4.5</v>
      </c>
      <c r="N2433" s="252" t="s">
        <v>1645</v>
      </c>
      <c r="O2433" s="296" t="s">
        <v>2896</v>
      </c>
      <c r="P2433" s="252">
        <f t="shared" si="253"/>
        <v>24.93</v>
      </c>
      <c r="Q2433" s="296" t="s">
        <v>1645</v>
      </c>
      <c r="R2433" s="252">
        <f>M2433*P2433</f>
        <v>112.19</v>
      </c>
      <c r="W2433" s="253"/>
    </row>
    <row r="2434" spans="6:23" ht="24" customHeight="1">
      <c r="H2434" s="276"/>
      <c r="K2434" s="545" t="s">
        <v>1224</v>
      </c>
      <c r="M2434" s="252">
        <v>5.4</v>
      </c>
      <c r="N2434" s="252" t="s">
        <v>769</v>
      </c>
      <c r="O2434" s="296" t="s">
        <v>347</v>
      </c>
      <c r="P2434" s="252">
        <f t="shared" si="253"/>
        <v>932</v>
      </c>
      <c r="Q2434" s="296" t="s">
        <v>769</v>
      </c>
      <c r="R2434" s="252">
        <f>(M2434*P2434)</f>
        <v>5032.8</v>
      </c>
      <c r="W2434" s="253"/>
    </row>
    <row r="2435" spans="6:23" ht="24" customHeight="1">
      <c r="F2435" s="296"/>
      <c r="H2435" s="276" t="s">
        <v>552</v>
      </c>
      <c r="I2435" s="296"/>
      <c r="K2435" s="360">
        <f>K2433/10</f>
        <v>1473.32</v>
      </c>
      <c r="M2435" s="252">
        <v>2.16</v>
      </c>
      <c r="N2435" s="252" t="s">
        <v>769</v>
      </c>
      <c r="O2435" s="296" t="s">
        <v>348</v>
      </c>
      <c r="P2435" s="252">
        <f t="shared" si="253"/>
        <v>651</v>
      </c>
      <c r="Q2435" s="296" t="s">
        <v>769</v>
      </c>
      <c r="R2435" s="252">
        <f>(M2435*P2435)</f>
        <v>1406.16</v>
      </c>
      <c r="W2435" s="253"/>
    </row>
    <row r="2436" spans="6:23" ht="24" customHeight="1">
      <c r="K2436" s="377" t="s">
        <v>146</v>
      </c>
      <c r="M2436" s="252">
        <v>6.5</v>
      </c>
      <c r="N2436" s="252" t="s">
        <v>769</v>
      </c>
      <c r="O2436" s="296" t="s">
        <v>1223</v>
      </c>
      <c r="P2436" s="252">
        <f t="shared" si="253"/>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16476.240000000002</v>
      </c>
      <c r="W2440" s="253"/>
    </row>
    <row r="2441" spans="6:23" ht="24" customHeight="1">
      <c r="F2441" s="252">
        <v>10</v>
      </c>
      <c r="G2441" s="252" t="s">
        <v>2283</v>
      </c>
      <c r="H2441" s="296" t="s">
        <v>212</v>
      </c>
      <c r="I2441" s="252">
        <f>K1213</f>
        <v>506.32</v>
      </c>
      <c r="J2441" s="296" t="s">
        <v>2283</v>
      </c>
      <c r="K2441" s="252">
        <f>F2441*I2441</f>
        <v>5063.2</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1647.62</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7585.26</v>
      </c>
      <c r="M2446" s="356">
        <v>7.0999999999999994E-2</v>
      </c>
      <c r="N2446" s="252" t="s">
        <v>367</v>
      </c>
      <c r="O2446" s="252" t="s">
        <v>941</v>
      </c>
      <c r="P2446" s="252">
        <f>Z718</f>
        <v>7681.28</v>
      </c>
      <c r="Q2446" s="296" t="s">
        <v>368</v>
      </c>
      <c r="R2446" s="252">
        <f>P2446*M2446</f>
        <v>545.37</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758.53</v>
      </c>
      <c r="M2448" s="252" t="s">
        <v>975</v>
      </c>
      <c r="O2448" s="252" t="s">
        <v>369</v>
      </c>
      <c r="Q2448" s="296"/>
      <c r="R2448" s="274">
        <f>SUM(R2446:R2447)</f>
        <v>943.89</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274"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Y2601" s="316">
        <v>2.2690000000000001</v>
      </c>
      <c r="Z2601" s="252">
        <f>Y2601*336</f>
        <v>762.38</v>
      </c>
      <c r="AD2601" s="1082" t="s">
        <v>6158</v>
      </c>
      <c r="AE2601" s="1082"/>
      <c r="AF2601" s="1082"/>
      <c r="AG2601" s="1082"/>
    </row>
    <row r="2602" spans="6:33" ht="24" customHeight="1">
      <c r="F2602" s="252" t="s">
        <v>577</v>
      </c>
      <c r="I2602" s="252">
        <v>2.88</v>
      </c>
      <c r="S2602" s="316">
        <f>V2593</f>
        <v>4.2999999999999997E-2</v>
      </c>
      <c r="T2602" s="252" t="s">
        <v>869</v>
      </c>
      <c r="U2602" s="252" t="s">
        <v>2488</v>
      </c>
      <c r="V2602" s="252">
        <f t="shared" ref="V2602:V2610" si="254">I2634</f>
        <v>99400</v>
      </c>
      <c r="W2602" s="253" t="s">
        <v>869</v>
      </c>
      <c r="X2602" s="252">
        <f t="shared" ref="X2602:X2612" si="255">S2602*V2602</f>
        <v>4274.2</v>
      </c>
      <c r="Y2602" s="316">
        <v>3.4849999999999999</v>
      </c>
      <c r="Z2602" s="252">
        <f>Y2602*V2604</f>
        <v>5356.45</v>
      </c>
      <c r="AF2602" s="296"/>
    </row>
    <row r="2603" spans="6:33" ht="24" customHeight="1">
      <c r="I2603" s="377" t="s">
        <v>879</v>
      </c>
      <c r="S2603" s="316">
        <f>V2598</f>
        <v>4.0800000000000003E-2</v>
      </c>
      <c r="T2603" s="252" t="s">
        <v>869</v>
      </c>
      <c r="U2603" s="252" t="s">
        <v>937</v>
      </c>
      <c r="V2603" s="252">
        <f t="shared" si="254"/>
        <v>107000</v>
      </c>
      <c r="W2603" s="253" t="s">
        <v>869</v>
      </c>
      <c r="X2603" s="252">
        <f t="shared" si="255"/>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52" t="s">
        <v>883</v>
      </c>
      <c r="V2604" s="252">
        <f t="shared" si="254"/>
        <v>1537</v>
      </c>
      <c r="W2604" s="253" t="s">
        <v>609</v>
      </c>
      <c r="X2604" s="252">
        <f t="shared" si="255"/>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52" t="s">
        <v>2123</v>
      </c>
      <c r="V2605" s="252">
        <f t="shared" si="254"/>
        <v>254.5</v>
      </c>
      <c r="W2605" s="253" t="s">
        <v>1398</v>
      </c>
      <c r="X2605" s="252">
        <f t="shared" si="255"/>
        <v>509</v>
      </c>
      <c r="Y2605" s="316">
        <v>4</v>
      </c>
      <c r="Z2605" s="252">
        <f>Y2605*V2607</f>
        <v>1632</v>
      </c>
      <c r="AB2605" s="252" t="s">
        <v>2021</v>
      </c>
      <c r="AE2605" s="316">
        <f>2*3*0.95*0.15*0.0375</f>
        <v>3.2099999999999997E-2</v>
      </c>
      <c r="AF2605" s="296"/>
    </row>
    <row r="2606" spans="6:33" ht="24" customHeight="1">
      <c r="S2606" s="356">
        <v>6</v>
      </c>
      <c r="T2606" s="252" t="s">
        <v>1873</v>
      </c>
      <c r="U2606" s="252" t="s">
        <v>1098</v>
      </c>
      <c r="V2606" s="252">
        <f t="shared" si="254"/>
        <v>214.1</v>
      </c>
      <c r="W2606" s="253" t="s">
        <v>1398</v>
      </c>
      <c r="X2606" s="252">
        <f t="shared" si="255"/>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4"/>
        <v>408</v>
      </c>
      <c r="W2607" s="253" t="s">
        <v>1398</v>
      </c>
      <c r="X2607" s="252">
        <f t="shared" si="255"/>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4"/>
        <v>836</v>
      </c>
      <c r="W2608" s="253" t="s">
        <v>1398</v>
      </c>
      <c r="X2608" s="252">
        <f t="shared" si="255"/>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5"/>
        <v>15</v>
      </c>
      <c r="Y2609" s="316"/>
      <c r="Z2609" s="252">
        <v>20</v>
      </c>
      <c r="AF2609" s="296"/>
    </row>
    <row r="2610" spans="6:33" ht="24" customHeight="1">
      <c r="H2610" s="252" t="s">
        <v>123</v>
      </c>
      <c r="I2610" s="432">
        <v>266.81</v>
      </c>
      <c r="J2610" s="296" t="s">
        <v>449</v>
      </c>
      <c r="K2610" s="252">
        <f>I2610</f>
        <v>266.81</v>
      </c>
      <c r="S2610" s="356">
        <v>2</v>
      </c>
      <c r="T2610" s="252" t="s">
        <v>1873</v>
      </c>
      <c r="U2610" s="252" t="s">
        <v>1982</v>
      </c>
      <c r="V2610" s="252">
        <f t="shared" si="254"/>
        <v>49.55</v>
      </c>
      <c r="W2610" s="253" t="s">
        <v>1398</v>
      </c>
      <c r="X2610" s="252">
        <f t="shared" si="255"/>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52" t="s">
        <v>1141</v>
      </c>
      <c r="V2612" s="252">
        <f>I2643</f>
        <v>2.41</v>
      </c>
      <c r="W2612" s="253"/>
      <c r="X2612" s="252">
        <f t="shared" si="255"/>
        <v>24.1</v>
      </c>
      <c r="AE2612" s="548">
        <f>SUM(AE2610:AE2611)</f>
        <v>4.6399999999999997E-2</v>
      </c>
      <c r="AF2612" s="296"/>
    </row>
    <row r="2613" spans="6:33" ht="24" customHeight="1">
      <c r="H2613" s="252" t="s">
        <v>124</v>
      </c>
      <c r="I2613" s="432">
        <v>255</v>
      </c>
      <c r="J2613" s="296" t="s">
        <v>449</v>
      </c>
      <c r="K2613" s="252">
        <v>255</v>
      </c>
      <c r="T2613" s="274"/>
      <c r="U2613" s="274" t="s">
        <v>552</v>
      </c>
      <c r="W2613" s="253"/>
      <c r="X2613" s="274">
        <f>SUM(X2601:X2612)</f>
        <v>20875.2</v>
      </c>
      <c r="AD2613" s="274" t="s">
        <v>1622</v>
      </c>
      <c r="AF2613" s="296"/>
    </row>
    <row r="2614" spans="6:33" ht="24" customHeight="1">
      <c r="K2614" s="377" t="s">
        <v>146</v>
      </c>
      <c r="T2614" s="274"/>
      <c r="U2614" s="274"/>
      <c r="W2614" s="253"/>
      <c r="X2614" s="377" t="s">
        <v>146</v>
      </c>
      <c r="AF2614" s="296"/>
    </row>
    <row r="2615" spans="6:33" ht="24" customHeight="1">
      <c r="H2615" s="274" t="s">
        <v>125</v>
      </c>
      <c r="K2615" s="274">
        <f>SUM(K2612:K2613)</f>
        <v>6067.52</v>
      </c>
      <c r="M2615" s="252">
        <f>5227-K2615</f>
        <v>-840.52</v>
      </c>
      <c r="T2615" s="274"/>
      <c r="U2615" s="274"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56">V2602</f>
        <v>99400</v>
      </c>
      <c r="AF2616" s="296" t="s">
        <v>869</v>
      </c>
      <c r="AG2616" s="252">
        <f t="shared" ref="AG2616:AG2624" si="257">AB2616*AE2616</f>
        <v>4781.1400000000003</v>
      </c>
    </row>
    <row r="2617" spans="6:33" ht="24" customHeight="1">
      <c r="W2617" s="253"/>
      <c r="AB2617" s="400">
        <f>AE2612</f>
        <v>4.6399999999999997E-2</v>
      </c>
      <c r="AC2617" s="252" t="s">
        <v>869</v>
      </c>
      <c r="AD2617" s="252" t="s">
        <v>937</v>
      </c>
      <c r="AE2617" s="252">
        <f t="shared" si="256"/>
        <v>107000</v>
      </c>
      <c r="AF2617" s="296" t="s">
        <v>869</v>
      </c>
      <c r="AG2617" s="252">
        <f t="shared" si="257"/>
        <v>4964.8</v>
      </c>
    </row>
    <row r="2618" spans="6:33" ht="24" customHeight="1">
      <c r="W2618" s="253"/>
      <c r="AB2618" s="316">
        <f>AE2603</f>
        <v>3.8475000000000001</v>
      </c>
      <c r="AC2618" s="252" t="s">
        <v>609</v>
      </c>
      <c r="AD2618" s="252" t="s">
        <v>883</v>
      </c>
      <c r="AE2618" s="252">
        <f t="shared" si="256"/>
        <v>1537</v>
      </c>
      <c r="AF2618" s="296" t="s">
        <v>609</v>
      </c>
      <c r="AG2618" s="252">
        <f t="shared" si="257"/>
        <v>5913.61</v>
      </c>
    </row>
    <row r="2619" spans="6:33" ht="24" customHeight="1">
      <c r="H2619" s="274" t="s">
        <v>3951</v>
      </c>
      <c r="I2619" s="274"/>
      <c r="W2619" s="253"/>
      <c r="AB2619" s="252">
        <v>2</v>
      </c>
      <c r="AC2619" s="252" t="s">
        <v>1873</v>
      </c>
      <c r="AD2619" s="252" t="s">
        <v>2123</v>
      </c>
      <c r="AE2619" s="252">
        <f t="shared" si="256"/>
        <v>254.5</v>
      </c>
      <c r="AF2619" s="296" t="s">
        <v>1398</v>
      </c>
      <c r="AG2619" s="252">
        <f t="shared" si="257"/>
        <v>509</v>
      </c>
    </row>
    <row r="2620" spans="6:33" ht="24" customHeight="1">
      <c r="W2620" s="253"/>
      <c r="AB2620" s="252">
        <v>6</v>
      </c>
      <c r="AC2620" s="252" t="s">
        <v>1873</v>
      </c>
      <c r="AD2620" s="252" t="s">
        <v>1098</v>
      </c>
      <c r="AE2620" s="252">
        <f t="shared" si="256"/>
        <v>214.1</v>
      </c>
      <c r="AF2620" s="296" t="s">
        <v>1398</v>
      </c>
      <c r="AG2620" s="252">
        <f t="shared" si="257"/>
        <v>1284.5999999999999</v>
      </c>
    </row>
    <row r="2621" spans="6:33" ht="24" customHeight="1">
      <c r="F2621" s="252" t="s">
        <v>458</v>
      </c>
      <c r="W2621" s="253"/>
      <c r="AB2621" s="252">
        <v>4</v>
      </c>
      <c r="AC2621" s="252" t="s">
        <v>1873</v>
      </c>
      <c r="AD2621" s="252" t="s">
        <v>1348</v>
      </c>
      <c r="AE2621" s="252">
        <f t="shared" si="256"/>
        <v>408</v>
      </c>
      <c r="AF2621" s="296" t="s">
        <v>1398</v>
      </c>
      <c r="AG2621" s="252">
        <f t="shared" si="257"/>
        <v>1632</v>
      </c>
    </row>
    <row r="2622" spans="6:33" ht="24" customHeight="1">
      <c r="F2622" s="252" t="s">
        <v>1932</v>
      </c>
      <c r="I2622" s="547">
        <v>2.2800000000000001E-2</v>
      </c>
      <c r="W2622" s="253"/>
      <c r="AB2622" s="252">
        <v>1</v>
      </c>
      <c r="AC2622" s="252" t="s">
        <v>1873</v>
      </c>
      <c r="AD2622" s="252" t="s">
        <v>1349</v>
      </c>
      <c r="AE2622" s="252">
        <f t="shared" si="256"/>
        <v>836</v>
      </c>
      <c r="AF2622" s="296" t="s">
        <v>1398</v>
      </c>
      <c r="AG2622" s="252">
        <f t="shared" si="257"/>
        <v>836</v>
      </c>
    </row>
    <row r="2623" spans="6:33" ht="24" customHeight="1">
      <c r="F2623" s="252" t="s">
        <v>1933</v>
      </c>
      <c r="I2623" s="316">
        <v>2.3599999999999999E-2</v>
      </c>
      <c r="W2623" s="253"/>
      <c r="AB2623" s="252">
        <v>2</v>
      </c>
      <c r="AC2623" s="252" t="s">
        <v>1873</v>
      </c>
      <c r="AD2623" s="252" t="s">
        <v>1980</v>
      </c>
      <c r="AE2623" s="252">
        <f t="shared" si="256"/>
        <v>7.5</v>
      </c>
      <c r="AF2623" s="296" t="s">
        <v>1398</v>
      </c>
      <c r="AG2623" s="252">
        <f t="shared" si="257"/>
        <v>15</v>
      </c>
    </row>
    <row r="2624" spans="6:33" ht="24" customHeight="1">
      <c r="G2624" s="252" t="s">
        <v>2075</v>
      </c>
      <c r="I2624" s="316">
        <v>1.18E-2</v>
      </c>
      <c r="W2624" s="253"/>
      <c r="AB2624" s="252">
        <v>2</v>
      </c>
      <c r="AC2624" s="252" t="s">
        <v>1873</v>
      </c>
      <c r="AD2624" s="252" t="s">
        <v>1982</v>
      </c>
      <c r="AE2624" s="252">
        <f t="shared" si="256"/>
        <v>49.55</v>
      </c>
      <c r="AF2624" s="296" t="s">
        <v>1398</v>
      </c>
      <c r="AG2624" s="252">
        <f t="shared" si="257"/>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58">F2634*I2634</f>
        <v>3518.76</v>
      </c>
      <c r="Q2634" s="296"/>
      <c r="W2634" s="253"/>
    </row>
    <row r="2635" spans="6:33" ht="24" customHeight="1">
      <c r="F2635" s="400">
        <v>3.2300000000000002E-2</v>
      </c>
      <c r="G2635" s="252" t="s">
        <v>869</v>
      </c>
      <c r="H2635" s="252" t="s">
        <v>5348</v>
      </c>
      <c r="I2635" s="362">
        <v>107000</v>
      </c>
      <c r="J2635" s="296" t="s">
        <v>869</v>
      </c>
      <c r="K2635" s="252">
        <f t="shared" si="258"/>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58"/>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58"/>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59">I2819</f>
        <v>214.1</v>
      </c>
      <c r="J2638" s="296" t="s">
        <v>1398</v>
      </c>
      <c r="K2638" s="252">
        <f t="shared" si="258"/>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59"/>
        <v>408</v>
      </c>
      <c r="J2639" s="296" t="s">
        <v>1398</v>
      </c>
      <c r="K2639" s="252">
        <f t="shared" si="258"/>
        <v>1632</v>
      </c>
      <c r="Q2639" s="296"/>
      <c r="W2639" s="253"/>
      <c r="AB2639" s="356" t="s">
        <v>2483</v>
      </c>
      <c r="AE2639" s="316">
        <f>2*3*0.85*0.15*0.0375</f>
        <v>2.87E-2</v>
      </c>
      <c r="AF2639" s="296"/>
    </row>
    <row r="2640" spans="6:33" ht="24" customHeight="1">
      <c r="F2640" s="252">
        <v>1</v>
      </c>
      <c r="G2640" s="252" t="s">
        <v>1873</v>
      </c>
      <c r="H2640" s="252" t="s">
        <v>3739</v>
      </c>
      <c r="I2640" s="252">
        <f t="shared" si="259"/>
        <v>836</v>
      </c>
      <c r="J2640" s="296" t="s">
        <v>1398</v>
      </c>
      <c r="K2640" s="252">
        <f t="shared" si="258"/>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59"/>
        <v>7.3</v>
      </c>
      <c r="J2641" s="296" t="s">
        <v>1398</v>
      </c>
      <c r="K2641" s="252">
        <f t="shared" si="258"/>
        <v>14.6</v>
      </c>
      <c r="M2641" s="316">
        <f>P2632</f>
        <v>2.7900000000000001E-2</v>
      </c>
      <c r="N2641" s="252" t="s">
        <v>869</v>
      </c>
      <c r="O2641" s="252" t="s">
        <v>2488</v>
      </c>
      <c r="P2641" s="252">
        <f t="shared" ref="P2641:P2649" si="260">I2634</f>
        <v>99400</v>
      </c>
      <c r="Q2641" s="296" t="s">
        <v>869</v>
      </c>
      <c r="R2641" s="252">
        <f t="shared" ref="R2641:R2650" si="261">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59"/>
        <v>49.55</v>
      </c>
      <c r="J2642" s="296" t="s">
        <v>1398</v>
      </c>
      <c r="K2642" s="252">
        <f t="shared" si="258"/>
        <v>99.1</v>
      </c>
      <c r="M2642" s="400">
        <f>P2637</f>
        <v>2.3800000000000002E-2</v>
      </c>
      <c r="N2642" s="252" t="s">
        <v>869</v>
      </c>
      <c r="O2642" s="252" t="s">
        <v>3950</v>
      </c>
      <c r="P2642" s="252">
        <f t="shared" si="260"/>
        <v>107000</v>
      </c>
      <c r="Q2642" s="296" t="s">
        <v>869</v>
      </c>
      <c r="R2642" s="252">
        <f t="shared" si="261"/>
        <v>2546.6</v>
      </c>
      <c r="W2642" s="253"/>
      <c r="AA2642" s="356"/>
      <c r="AB2642" s="356"/>
      <c r="AF2642" s="296"/>
    </row>
    <row r="2643" spans="6:34" ht="24" customHeight="1">
      <c r="F2643" s="252">
        <v>118</v>
      </c>
      <c r="H2643" s="252" t="s">
        <v>1141</v>
      </c>
      <c r="I2643" s="252">
        <f t="shared" si="259"/>
        <v>2.41</v>
      </c>
      <c r="K2643" s="252">
        <f t="shared" si="258"/>
        <v>284.38</v>
      </c>
      <c r="M2643" s="356">
        <v>2.23</v>
      </c>
      <c r="N2643" s="252" t="s">
        <v>609</v>
      </c>
      <c r="O2643" s="252" t="s">
        <v>883</v>
      </c>
      <c r="P2643" s="252">
        <f t="shared" si="260"/>
        <v>1537</v>
      </c>
      <c r="Q2643" s="296" t="s">
        <v>609</v>
      </c>
      <c r="R2643" s="252">
        <f t="shared" si="261"/>
        <v>3427.51</v>
      </c>
      <c r="W2643" s="253"/>
      <c r="AA2643" s="356"/>
      <c r="AB2643" s="356"/>
      <c r="AF2643" s="296"/>
    </row>
    <row r="2644" spans="6:34" ht="24" customHeight="1">
      <c r="K2644" s="377"/>
      <c r="M2644" s="252">
        <v>2</v>
      </c>
      <c r="N2644" s="252" t="s">
        <v>1873</v>
      </c>
      <c r="O2644" s="274" t="s">
        <v>3736</v>
      </c>
      <c r="P2644" s="252">
        <f t="shared" si="260"/>
        <v>254.5</v>
      </c>
      <c r="Q2644" s="296" t="s">
        <v>1398</v>
      </c>
      <c r="R2644" s="252">
        <f t="shared" si="261"/>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0"/>
        <v>214.1</v>
      </c>
      <c r="Q2645" s="296" t="s">
        <v>1398</v>
      </c>
      <c r="R2645" s="252">
        <f t="shared" si="261"/>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0"/>
        <v>408</v>
      </c>
      <c r="Q2646" s="296" t="s">
        <v>1398</v>
      </c>
      <c r="R2646" s="252">
        <f t="shared" si="261"/>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0"/>
        <v>836</v>
      </c>
      <c r="Q2647" s="296" t="s">
        <v>1398</v>
      </c>
      <c r="R2647" s="252">
        <f t="shared" si="261"/>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0"/>
        <v>7.3</v>
      </c>
      <c r="Q2648" s="296" t="s">
        <v>1398</v>
      </c>
      <c r="R2648" s="252">
        <f t="shared" si="261"/>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0"/>
        <v>49.55</v>
      </c>
      <c r="Q2649" s="296" t="s">
        <v>1398</v>
      </c>
      <c r="R2649" s="252">
        <f t="shared" si="261"/>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1"/>
        <v>284.38</v>
      </c>
      <c r="W2650" s="253"/>
      <c r="AA2650" s="356"/>
      <c r="AB2650" s="316">
        <f>AE2641</f>
        <v>4.2999999999999997E-2</v>
      </c>
      <c r="AC2650" s="252" t="s">
        <v>869</v>
      </c>
      <c r="AD2650" s="252" t="s">
        <v>2488</v>
      </c>
      <c r="AE2650" s="252">
        <f t="shared" ref="AE2650:AE2660" si="262">V2602</f>
        <v>99400</v>
      </c>
      <c r="AF2650" s="296" t="s">
        <v>869</v>
      </c>
      <c r="AG2650" s="252">
        <f t="shared" ref="AG2650:AG2660" si="263">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2"/>
        <v>107000</v>
      </c>
      <c r="AF2651" s="296" t="s">
        <v>869</v>
      </c>
      <c r="AG2651" s="252">
        <f t="shared" si="263"/>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2"/>
        <v>1537</v>
      </c>
      <c r="AF2652" s="296" t="s">
        <v>609</v>
      </c>
      <c r="AG2652" s="252">
        <f t="shared" si="263"/>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63"/>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63"/>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63"/>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63"/>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63"/>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2"/>
        <v>49.55</v>
      </c>
      <c r="AF2658" s="296" t="s">
        <v>1398</v>
      </c>
      <c r="AG2658" s="252">
        <f t="shared" si="263"/>
        <v>99.1</v>
      </c>
    </row>
    <row r="2659" spans="6:34" ht="24" customHeight="1">
      <c r="F2659" s="550"/>
      <c r="G2659" s="550"/>
      <c r="H2659" s="367" t="s">
        <v>695</v>
      </c>
      <c r="I2659" s="550"/>
      <c r="J2659" s="554" t="s">
        <v>975</v>
      </c>
      <c r="K2659" s="554" t="s">
        <v>975</v>
      </c>
      <c r="O2659" s="252" t="s">
        <v>2000</v>
      </c>
      <c r="W2659" s="253"/>
      <c r="AA2659" s="356"/>
      <c r="AB2659" s="356"/>
      <c r="AE2659" s="252">
        <f t="shared" si="262"/>
        <v>0</v>
      </c>
      <c r="AF2659" s="296"/>
      <c r="AG2659" s="252">
        <f t="shared" si="263"/>
        <v>0</v>
      </c>
    </row>
    <row r="2660" spans="6:34" ht="24" customHeight="1">
      <c r="F2660" s="550"/>
      <c r="G2660" s="550"/>
      <c r="H2660" s="367" t="s">
        <v>1830</v>
      </c>
      <c r="I2660" s="550"/>
      <c r="J2660" s="367"/>
      <c r="K2660" s="554" t="s">
        <v>975</v>
      </c>
      <c r="W2660" s="253"/>
      <c r="AA2660" s="356"/>
      <c r="AB2660" s="356">
        <v>118</v>
      </c>
      <c r="AD2660" s="252" t="s">
        <v>1141</v>
      </c>
      <c r="AE2660" s="252">
        <f t="shared" si="262"/>
        <v>2.41</v>
      </c>
      <c r="AF2660" s="296"/>
      <c r="AG2660" s="252">
        <f t="shared" si="263"/>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64">(F2662*I2662)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64"/>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64"/>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64"/>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64"/>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64"/>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64"/>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64"/>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64"/>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64"/>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5">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65"/>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5"/>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65"/>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5"/>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5"/>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6">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6"/>
        <v>59.89</v>
      </c>
      <c r="N2682" s="252" t="s">
        <v>975</v>
      </c>
      <c r="R2682" s="252" t="s">
        <v>1586</v>
      </c>
      <c r="W2682" s="253"/>
    </row>
    <row r="2683" spans="6:23" ht="53.25" customHeight="1">
      <c r="F2683" s="563">
        <v>0.35</v>
      </c>
      <c r="G2683" s="252" t="s">
        <v>1645</v>
      </c>
      <c r="H2683" s="252" t="s">
        <v>820</v>
      </c>
      <c r="I2683" s="252">
        <f>I2682</f>
        <v>53</v>
      </c>
      <c r="J2683" s="296" t="s">
        <v>1645</v>
      </c>
      <c r="K2683" s="563">
        <f t="shared" si="266"/>
        <v>18.55</v>
      </c>
      <c r="O2683" s="252" t="s">
        <v>552</v>
      </c>
      <c r="R2683" s="252">
        <v>1809.15</v>
      </c>
      <c r="W2683" s="253"/>
    </row>
    <row r="2684" spans="6:23" ht="51" customHeight="1">
      <c r="F2684" s="563">
        <v>4</v>
      </c>
      <c r="G2684" s="252" t="s">
        <v>1645</v>
      </c>
      <c r="H2684" s="252" t="s">
        <v>106</v>
      </c>
      <c r="I2684" s="252">
        <f>C37</f>
        <v>55.35</v>
      </c>
      <c r="J2684" s="296" t="s">
        <v>1645</v>
      </c>
      <c r="K2684" s="563">
        <f t="shared" si="266"/>
        <v>221.4</v>
      </c>
      <c r="R2684" s="252" t="s">
        <v>2055</v>
      </c>
      <c r="W2684" s="253"/>
    </row>
    <row r="2685" spans="6:23" ht="24" customHeight="1">
      <c r="F2685" s="563">
        <v>6</v>
      </c>
      <c r="G2685" s="252" t="s">
        <v>1030</v>
      </c>
      <c r="H2685" s="252" t="s">
        <v>107</v>
      </c>
      <c r="I2685" s="314">
        <v>1</v>
      </c>
      <c r="J2685" s="296" t="s">
        <v>1398</v>
      </c>
      <c r="K2685" s="563">
        <f t="shared" si="266"/>
        <v>6</v>
      </c>
      <c r="W2685" s="253"/>
    </row>
    <row r="2686" spans="6:23" ht="24" customHeight="1">
      <c r="F2686" s="563">
        <v>0.5</v>
      </c>
      <c r="G2686" s="252" t="s">
        <v>1030</v>
      </c>
      <c r="H2686" s="252" t="s">
        <v>654</v>
      </c>
      <c r="I2686" s="252">
        <f>C12</f>
        <v>651</v>
      </c>
      <c r="J2686" s="296" t="s">
        <v>1398</v>
      </c>
      <c r="K2686" s="563">
        <f t="shared" si="266"/>
        <v>325.5</v>
      </c>
      <c r="W2686" s="253"/>
    </row>
    <row r="2687" spans="6:23" ht="24" customHeight="1">
      <c r="F2687" s="563">
        <v>0.5</v>
      </c>
      <c r="G2687" s="252" t="s">
        <v>1030</v>
      </c>
      <c r="H2687" s="252" t="s">
        <v>355</v>
      </c>
      <c r="I2687" s="252">
        <f>C13</f>
        <v>534</v>
      </c>
      <c r="J2687" s="296" t="s">
        <v>1398</v>
      </c>
      <c r="K2687" s="563">
        <f t="shared" si="266"/>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7">(F2735*I2735)</f>
        <v>71.2</v>
      </c>
      <c r="W2735" s="253"/>
    </row>
    <row r="2736" spans="6:23" ht="24" customHeight="1">
      <c r="F2736" s="252">
        <v>8</v>
      </c>
      <c r="G2736" s="252" t="s">
        <v>868</v>
      </c>
      <c r="H2736" s="296" t="s">
        <v>467</v>
      </c>
      <c r="I2736" s="252">
        <f>I1807</f>
        <v>12.65</v>
      </c>
      <c r="J2736" s="253" t="s">
        <v>868</v>
      </c>
      <c r="K2736" s="252">
        <f t="shared" si="267"/>
        <v>101.2</v>
      </c>
      <c r="L2736" s="480"/>
      <c r="W2736" s="253"/>
    </row>
    <row r="2737" spans="6:23" ht="24" customHeight="1">
      <c r="F2737" s="252">
        <v>3</v>
      </c>
      <c r="G2737" s="252" t="s">
        <v>868</v>
      </c>
      <c r="H2737" s="296" t="s">
        <v>1845</v>
      </c>
      <c r="I2737" s="252">
        <f>C41</f>
        <v>738</v>
      </c>
      <c r="J2737" s="253" t="s">
        <v>868</v>
      </c>
      <c r="K2737" s="252">
        <f t="shared" si="267"/>
        <v>2214</v>
      </c>
      <c r="L2737" s="483"/>
      <c r="W2737" s="253"/>
    </row>
    <row r="2738" spans="6:23" ht="24" customHeight="1">
      <c r="F2738" s="252">
        <v>1</v>
      </c>
      <c r="G2738" s="252" t="s">
        <v>868</v>
      </c>
      <c r="H2738" s="296" t="s">
        <v>1380</v>
      </c>
      <c r="I2738" s="252">
        <f>C10</f>
        <v>999</v>
      </c>
      <c r="J2738" s="253" t="s">
        <v>868</v>
      </c>
      <c r="K2738" s="252">
        <f t="shared" si="267"/>
        <v>999</v>
      </c>
      <c r="L2738" s="483"/>
      <c r="W2738" s="253"/>
    </row>
    <row r="2739" spans="6:23" ht="24" customHeight="1">
      <c r="F2739" s="252">
        <v>2</v>
      </c>
      <c r="G2739" s="252" t="s">
        <v>868</v>
      </c>
      <c r="H2739" s="296" t="s">
        <v>1902</v>
      </c>
      <c r="I2739" s="252">
        <f>C12</f>
        <v>651</v>
      </c>
      <c r="J2739" s="253" t="s">
        <v>868</v>
      </c>
      <c r="K2739" s="252">
        <f t="shared" si="267"/>
        <v>1302</v>
      </c>
      <c r="L2739" s="483"/>
      <c r="W2739" s="253"/>
    </row>
    <row r="2740" spans="6:23" ht="24" customHeight="1">
      <c r="F2740" s="252">
        <v>1</v>
      </c>
      <c r="G2740" s="252" t="s">
        <v>868</v>
      </c>
      <c r="H2740" s="296" t="s">
        <v>320</v>
      </c>
      <c r="I2740" s="252">
        <f>C13</f>
        <v>534</v>
      </c>
      <c r="J2740" s="253" t="s">
        <v>868</v>
      </c>
      <c r="K2740" s="252">
        <f t="shared" si="267"/>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296" t="s">
        <v>331</v>
      </c>
      <c r="W2768" s="253"/>
    </row>
    <row r="2769" spans="6:29" ht="24" customHeight="1">
      <c r="J2769" s="252"/>
      <c r="U2769" s="296" t="s">
        <v>256</v>
      </c>
      <c r="W2769" s="253"/>
    </row>
    <row r="2770" spans="6:29" ht="24" customHeight="1">
      <c r="F2770" s="566"/>
      <c r="G2770" s="492"/>
      <c r="H2770" s="492"/>
      <c r="I2770" s="492"/>
      <c r="J2770" s="492"/>
      <c r="K2770" s="492"/>
      <c r="U2770" s="296" t="s">
        <v>1470</v>
      </c>
      <c r="W2770" s="253"/>
    </row>
    <row r="2771" spans="6:29" ht="24" customHeight="1">
      <c r="F2771" s="567"/>
      <c r="G2771" s="274" t="s">
        <v>966</v>
      </c>
      <c r="J2771" s="253"/>
      <c r="U2771" s="358" t="s">
        <v>1586</v>
      </c>
      <c r="W2771" s="253"/>
    </row>
    <row r="2772" spans="6:29" ht="24" customHeight="1">
      <c r="F2772" s="494"/>
      <c r="J2772" s="253"/>
      <c r="U2772" s="296" t="s">
        <v>1882</v>
      </c>
      <c r="W2772" s="253"/>
    </row>
    <row r="2773" spans="6:29" ht="24" customHeight="1">
      <c r="F2773" s="494">
        <v>5</v>
      </c>
      <c r="G2773" s="252" t="s">
        <v>967</v>
      </c>
      <c r="H2773" s="368" t="s">
        <v>4262</v>
      </c>
      <c r="I2773" s="568">
        <v>160</v>
      </c>
      <c r="J2773" s="253" t="s">
        <v>968</v>
      </c>
      <c r="K2773" s="252">
        <f>I2773*F2773</f>
        <v>800</v>
      </c>
      <c r="U2773" s="296"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296" t="s">
        <v>1301</v>
      </c>
      <c r="W2775" s="253"/>
    </row>
    <row r="2776" spans="6:29" ht="24" customHeight="1">
      <c r="F2776" s="494"/>
      <c r="H2776" s="252" t="s">
        <v>2271</v>
      </c>
      <c r="I2776" s="407" t="s">
        <v>449</v>
      </c>
      <c r="J2776" s="253"/>
      <c r="K2776" s="252">
        <v>0.25</v>
      </c>
      <c r="U2776" s="296"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296" t="s">
        <v>1303</v>
      </c>
      <c r="W2778" s="569" t="s">
        <v>975</v>
      </c>
      <c r="X2778" s="400">
        <v>1.2840000000000001E-2</v>
      </c>
    </row>
    <row r="2779" spans="6:29" ht="24" customHeight="1">
      <c r="F2779" s="496"/>
      <c r="G2779" s="497"/>
      <c r="H2779" s="497"/>
      <c r="I2779" s="497"/>
      <c r="J2779" s="570"/>
      <c r="K2779" s="571" t="s">
        <v>2055</v>
      </c>
      <c r="U2779" s="296"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296" t="s">
        <v>332</v>
      </c>
      <c r="V2781" s="252">
        <f>C86</f>
        <v>34300</v>
      </c>
      <c r="W2781" s="253" t="s">
        <v>869</v>
      </c>
      <c r="X2781" s="252">
        <f>(S2781*V2781)</f>
        <v>651.70000000000005</v>
      </c>
    </row>
    <row r="2782" spans="6:29" ht="24" customHeight="1">
      <c r="J2782" s="253"/>
      <c r="S2782" s="356">
        <f t="shared" ref="S2782:S2792" si="268">F2814</f>
        <v>2.7E-2</v>
      </c>
      <c r="T2782" s="252" t="s">
        <v>869</v>
      </c>
      <c r="U2782" s="296" t="s">
        <v>332</v>
      </c>
      <c r="V2782" s="252">
        <f>V2781</f>
        <v>34300</v>
      </c>
      <c r="W2782" s="253" t="s">
        <v>869</v>
      </c>
      <c r="X2782" s="252">
        <f t="shared" ref="X2782:X2792" si="269">(S2782*V2782)</f>
        <v>926.1</v>
      </c>
    </row>
    <row r="2783" spans="6:29" ht="24" customHeight="1">
      <c r="F2783" s="252" t="s">
        <v>3042</v>
      </c>
      <c r="J2783" s="253"/>
      <c r="S2783" s="356">
        <f t="shared" si="268"/>
        <v>1.6E-2</v>
      </c>
      <c r="T2783" s="252" t="s">
        <v>869</v>
      </c>
      <c r="U2783" s="296" t="s">
        <v>333</v>
      </c>
      <c r="V2783" s="252">
        <f>C87</f>
        <v>39400</v>
      </c>
      <c r="W2783" s="253" t="s">
        <v>869</v>
      </c>
      <c r="X2783" s="252">
        <f t="shared" si="269"/>
        <v>630.4</v>
      </c>
      <c r="AC2783" s="274" t="s">
        <v>1744</v>
      </c>
    </row>
    <row r="2784" spans="6:29" ht="24" customHeight="1">
      <c r="J2784" s="253"/>
      <c r="U2784" s="296"/>
      <c r="V2784" s="252">
        <f>V958</f>
        <v>0</v>
      </c>
      <c r="W2784" s="253"/>
      <c r="X2784" s="252">
        <f t="shared" si="269"/>
        <v>0</v>
      </c>
      <c r="AC2784" s="274" t="s">
        <v>1745</v>
      </c>
    </row>
    <row r="2785" spans="6:33" ht="24" customHeight="1">
      <c r="G2785" s="356">
        <v>0.745</v>
      </c>
      <c r="H2785" s="252" t="s">
        <v>2151</v>
      </c>
      <c r="J2785" s="253"/>
      <c r="S2785" s="356">
        <f t="shared" si="268"/>
        <v>1.823</v>
      </c>
      <c r="T2785" s="252" t="s">
        <v>609</v>
      </c>
      <c r="U2785" s="296" t="s">
        <v>447</v>
      </c>
      <c r="V2785" s="252">
        <f>I2817</f>
        <v>1537</v>
      </c>
      <c r="W2785" s="253" t="s">
        <v>609</v>
      </c>
      <c r="X2785" s="252">
        <f t="shared" si="269"/>
        <v>2801.95</v>
      </c>
    </row>
    <row r="2786" spans="6:33" ht="24" customHeight="1">
      <c r="J2786" s="253"/>
      <c r="S2786" s="356">
        <f t="shared" si="268"/>
        <v>2</v>
      </c>
      <c r="T2786" s="252" t="s">
        <v>769</v>
      </c>
      <c r="U2786" s="296" t="s">
        <v>1463</v>
      </c>
      <c r="V2786" s="252">
        <f t="shared" ref="V2786:V2791" si="270">I2818</f>
        <v>254.5</v>
      </c>
      <c r="W2786" s="253" t="s">
        <v>868</v>
      </c>
      <c r="X2786" s="252">
        <f t="shared" si="269"/>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68"/>
        <v>3</v>
      </c>
      <c r="T2787" s="252" t="s">
        <v>868</v>
      </c>
      <c r="U2787" s="296" t="s">
        <v>1464</v>
      </c>
      <c r="V2787" s="252">
        <f t="shared" si="270"/>
        <v>214.1</v>
      </c>
      <c r="W2787" s="253" t="s">
        <v>868</v>
      </c>
      <c r="X2787" s="252">
        <f t="shared" si="269"/>
        <v>642.29999999999995</v>
      </c>
      <c r="AB2787" s="572">
        <v>4.7809999999999998E-2</v>
      </c>
      <c r="AC2787" s="274" t="s">
        <v>869</v>
      </c>
      <c r="AD2787" s="274" t="s">
        <v>2488</v>
      </c>
      <c r="AE2787" s="274">
        <f>I2814</f>
        <v>99400</v>
      </c>
      <c r="AF2787" s="276" t="s">
        <v>869</v>
      </c>
      <c r="AG2787" s="274">
        <f t="shared" ref="AG2787:AG2796" si="271">AE2787*AB2787</f>
        <v>4752.3100000000004</v>
      </c>
    </row>
    <row r="2788" spans="6:33" ht="24" customHeight="1">
      <c r="J2788" s="253"/>
      <c r="S2788" s="356">
        <f t="shared" si="268"/>
        <v>2</v>
      </c>
      <c r="T2788" s="252" t="s">
        <v>868</v>
      </c>
      <c r="U2788" s="296" t="s">
        <v>1465</v>
      </c>
      <c r="V2788" s="252">
        <f t="shared" si="270"/>
        <v>408</v>
      </c>
      <c r="W2788" s="253" t="s">
        <v>868</v>
      </c>
      <c r="X2788" s="252">
        <f t="shared" si="269"/>
        <v>816</v>
      </c>
      <c r="AB2788" s="573">
        <v>4.5879999999999997E-2</v>
      </c>
      <c r="AC2788" s="274" t="s">
        <v>869</v>
      </c>
      <c r="AD2788" s="274" t="s">
        <v>1746</v>
      </c>
      <c r="AE2788" s="274">
        <f>I3320</f>
        <v>107000</v>
      </c>
      <c r="AF2788" s="276" t="s">
        <v>869</v>
      </c>
      <c r="AG2788" s="274">
        <f t="shared" si="271"/>
        <v>4909.16</v>
      </c>
    </row>
    <row r="2789" spans="6:33" ht="24" customHeight="1">
      <c r="F2789" s="356">
        <v>0.37</v>
      </c>
      <c r="G2789" s="252" t="s">
        <v>2151</v>
      </c>
      <c r="H2789" s="252" t="s">
        <v>3045</v>
      </c>
      <c r="I2789" s="252">
        <f>X688</f>
        <v>8320.2099999999991</v>
      </c>
      <c r="J2789" s="407" t="s">
        <v>2151</v>
      </c>
      <c r="K2789" s="252">
        <f>F2789*I2789</f>
        <v>3078.48</v>
      </c>
      <c r="S2789" s="356">
        <f t="shared" si="268"/>
        <v>1</v>
      </c>
      <c r="T2789" s="252" t="s">
        <v>868</v>
      </c>
      <c r="U2789" s="296" t="s">
        <v>1466</v>
      </c>
      <c r="V2789" s="252">
        <f t="shared" si="270"/>
        <v>836</v>
      </c>
      <c r="W2789" s="253" t="s">
        <v>868</v>
      </c>
      <c r="X2789" s="252">
        <f t="shared" si="269"/>
        <v>836</v>
      </c>
      <c r="AB2789" s="573">
        <v>3.95</v>
      </c>
      <c r="AC2789" s="274" t="s">
        <v>609</v>
      </c>
      <c r="AD2789" s="274" t="s">
        <v>883</v>
      </c>
      <c r="AE2789" s="274">
        <f>I2817</f>
        <v>1537</v>
      </c>
      <c r="AF2789" s="276" t="s">
        <v>609</v>
      </c>
      <c r="AG2789" s="274">
        <f t="shared" si="271"/>
        <v>6071.15</v>
      </c>
    </row>
    <row r="2790" spans="6:33" ht="24" customHeight="1">
      <c r="F2790" s="252">
        <v>0.25</v>
      </c>
      <c r="G2790" s="252" t="s">
        <v>1394</v>
      </c>
      <c r="H2790" s="252" t="s">
        <v>465</v>
      </c>
      <c r="I2790" s="252">
        <f>C11</f>
        <v>932</v>
      </c>
      <c r="J2790" s="407" t="s">
        <v>1398</v>
      </c>
      <c r="K2790" s="252">
        <f>F2790*I2790</f>
        <v>233</v>
      </c>
      <c r="S2790" s="356">
        <f t="shared" si="268"/>
        <v>1</v>
      </c>
      <c r="T2790" s="252" t="s">
        <v>868</v>
      </c>
      <c r="U2790" s="296" t="s">
        <v>1467</v>
      </c>
      <c r="V2790" s="252">
        <f t="shared" si="270"/>
        <v>7.3</v>
      </c>
      <c r="W2790" s="253" t="s">
        <v>868</v>
      </c>
      <c r="X2790" s="252">
        <f t="shared" si="269"/>
        <v>7.3</v>
      </c>
      <c r="AB2790" s="274">
        <v>2</v>
      </c>
      <c r="AC2790" s="274" t="s">
        <v>1873</v>
      </c>
      <c r="AD2790" s="274" t="s">
        <v>2123</v>
      </c>
      <c r="AE2790" s="274">
        <f t="shared" ref="AE2790:AE2795" si="272">I2818</f>
        <v>254.5</v>
      </c>
      <c r="AF2790" s="276" t="s">
        <v>1398</v>
      </c>
      <c r="AG2790" s="274">
        <f t="shared" si="271"/>
        <v>509</v>
      </c>
    </row>
    <row r="2791" spans="6:33" ht="24" customHeight="1">
      <c r="F2791" s="252">
        <v>3.5</v>
      </c>
      <c r="G2791" s="252" t="s">
        <v>1432</v>
      </c>
      <c r="H2791" s="252" t="s">
        <v>348</v>
      </c>
      <c r="I2791" s="252">
        <f>C12</f>
        <v>651</v>
      </c>
      <c r="J2791" s="407" t="s">
        <v>1398</v>
      </c>
      <c r="K2791" s="252">
        <f>F2791*I2791</f>
        <v>2278.5</v>
      </c>
      <c r="S2791" s="356">
        <f t="shared" si="268"/>
        <v>1</v>
      </c>
      <c r="T2791" s="252" t="s">
        <v>868</v>
      </c>
      <c r="U2791" s="296" t="s">
        <v>1982</v>
      </c>
      <c r="V2791" s="252">
        <f t="shared" si="270"/>
        <v>49.55</v>
      </c>
      <c r="W2791" s="253" t="s">
        <v>868</v>
      </c>
      <c r="X2791" s="252">
        <f t="shared" si="269"/>
        <v>49.55</v>
      </c>
      <c r="AB2791" s="274">
        <v>6</v>
      </c>
      <c r="AC2791" s="274" t="s">
        <v>1873</v>
      </c>
      <c r="AD2791" s="274" t="s">
        <v>1098</v>
      </c>
      <c r="AE2791" s="274">
        <f t="shared" si="272"/>
        <v>214.1</v>
      </c>
      <c r="AF2791" s="276" t="s">
        <v>1398</v>
      </c>
      <c r="AG2791" s="274">
        <f t="shared" si="271"/>
        <v>1284.5999999999999</v>
      </c>
    </row>
    <row r="2792" spans="6:33" ht="24" customHeight="1">
      <c r="F2792" s="252">
        <v>12</v>
      </c>
      <c r="G2792" s="252" t="s">
        <v>913</v>
      </c>
      <c r="H2792" s="252" t="s">
        <v>3043</v>
      </c>
      <c r="J2792" s="407" t="s">
        <v>913</v>
      </c>
      <c r="K2792" s="252">
        <f>I2792*F2792</f>
        <v>0</v>
      </c>
      <c r="S2792" s="356">
        <f t="shared" si="268"/>
        <v>64</v>
      </c>
      <c r="U2792" s="252" t="s">
        <v>474</v>
      </c>
      <c r="V2792" s="252">
        <f>P2831</f>
        <v>2.41</v>
      </c>
      <c r="W2792" s="253"/>
      <c r="X2792" s="252">
        <f t="shared" si="269"/>
        <v>154.24</v>
      </c>
      <c r="AB2792" s="274">
        <v>4</v>
      </c>
      <c r="AC2792" s="274" t="s">
        <v>1873</v>
      </c>
      <c r="AD2792" s="274" t="s">
        <v>1348</v>
      </c>
      <c r="AE2792" s="274">
        <f t="shared" si="272"/>
        <v>408</v>
      </c>
      <c r="AF2792" s="276" t="s">
        <v>1398</v>
      </c>
      <c r="AG2792" s="274">
        <f t="shared" si="271"/>
        <v>1632</v>
      </c>
    </row>
    <row r="2793" spans="6:33" ht="24" customHeight="1">
      <c r="G2793" s="252" t="s">
        <v>466</v>
      </c>
      <c r="H2793" s="252" t="s">
        <v>950</v>
      </c>
      <c r="J2793" s="407" t="s">
        <v>67</v>
      </c>
      <c r="K2793" s="252">
        <f>L2759*10%</f>
        <v>251.15</v>
      </c>
      <c r="U2793" s="296" t="s">
        <v>988</v>
      </c>
      <c r="W2793" s="253"/>
      <c r="X2793" s="252">
        <f>SUM(X2781:X2792)</f>
        <v>8024.54</v>
      </c>
      <c r="AB2793" s="274">
        <v>1</v>
      </c>
      <c r="AC2793" s="274" t="s">
        <v>1873</v>
      </c>
      <c r="AD2793" s="274" t="s">
        <v>1349</v>
      </c>
      <c r="AE2793" s="274">
        <f t="shared" si="272"/>
        <v>836</v>
      </c>
      <c r="AF2793" s="276" t="s">
        <v>1398</v>
      </c>
      <c r="AG2793" s="274">
        <f t="shared" si="271"/>
        <v>836</v>
      </c>
    </row>
    <row r="2794" spans="6:33" ht="24" customHeight="1">
      <c r="J2794" s="253"/>
      <c r="K2794" s="252" t="s">
        <v>951</v>
      </c>
      <c r="W2794" s="253"/>
      <c r="X2794" s="358" t="s">
        <v>1586</v>
      </c>
      <c r="AB2794" s="274">
        <v>2</v>
      </c>
      <c r="AC2794" s="274" t="s">
        <v>1873</v>
      </c>
      <c r="AD2794" s="274" t="s">
        <v>1980</v>
      </c>
      <c r="AE2794" s="274">
        <f t="shared" si="272"/>
        <v>7.3</v>
      </c>
      <c r="AF2794" s="276" t="s">
        <v>1398</v>
      </c>
      <c r="AG2794" s="274">
        <f t="shared" si="271"/>
        <v>14.6</v>
      </c>
    </row>
    <row r="2795" spans="6:33" ht="24" customHeight="1">
      <c r="J2795" s="253"/>
      <c r="U2795" s="296" t="s">
        <v>552</v>
      </c>
      <c r="W2795" s="253"/>
      <c r="X2795" s="252">
        <f>X2793/1.8225</f>
        <v>4403.04</v>
      </c>
      <c r="AB2795" s="274">
        <v>2</v>
      </c>
      <c r="AC2795" s="274" t="s">
        <v>1873</v>
      </c>
      <c r="AD2795" s="274" t="s">
        <v>1982</v>
      </c>
      <c r="AE2795" s="274">
        <f t="shared" si="272"/>
        <v>49.55</v>
      </c>
      <c r="AF2795" s="276" t="s">
        <v>1398</v>
      </c>
      <c r="AG2795" s="274">
        <f t="shared" si="271"/>
        <v>99.1</v>
      </c>
    </row>
    <row r="2796" spans="6:33" ht="24" customHeight="1">
      <c r="I2796" s="252" t="s">
        <v>3044</v>
      </c>
      <c r="J2796" s="253"/>
      <c r="K2796" s="252">
        <f>SUM(K2789:K2793)</f>
        <v>5841.13</v>
      </c>
      <c r="W2796" s="253"/>
      <c r="AB2796" s="274">
        <v>10</v>
      </c>
      <c r="AC2796" s="274"/>
      <c r="AD2796" s="274" t="s">
        <v>1742</v>
      </c>
      <c r="AE2796" s="274">
        <f>V2792</f>
        <v>2.41</v>
      </c>
      <c r="AF2796" s="276"/>
      <c r="AG2796" s="274">
        <f t="shared" si="271"/>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1668.89</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73">(F2814*I2814)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73"/>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73"/>
        <v>2801.18</v>
      </c>
      <c r="O2817" s="296" t="s">
        <v>2209</v>
      </c>
      <c r="Q2817" s="569" t="s">
        <v>975</v>
      </c>
      <c r="R2817" s="400">
        <v>2.5499999999999998E-2</v>
      </c>
      <c r="W2817" s="253"/>
    </row>
    <row r="2818" spans="6:23" ht="24" customHeight="1">
      <c r="F2818" s="252">
        <v>2</v>
      </c>
      <c r="G2818" s="252" t="s">
        <v>769</v>
      </c>
      <c r="H2818" s="296" t="s">
        <v>5896</v>
      </c>
      <c r="I2818" s="362">
        <v>254.5</v>
      </c>
      <c r="J2818" s="253" t="s">
        <v>868</v>
      </c>
      <c r="K2818" s="252">
        <f t="shared" si="273"/>
        <v>509</v>
      </c>
      <c r="O2818" s="296"/>
      <c r="Q2818" s="253" t="s">
        <v>975</v>
      </c>
      <c r="R2818" s="400"/>
      <c r="W2818" s="253"/>
    </row>
    <row r="2819" spans="6:23" ht="24" customHeight="1">
      <c r="F2819" s="252">
        <v>3</v>
      </c>
      <c r="G2819" s="252" t="s">
        <v>868</v>
      </c>
      <c r="H2819" s="296" t="s">
        <v>5897</v>
      </c>
      <c r="I2819" s="362">
        <v>214.1</v>
      </c>
      <c r="J2819" s="253" t="s">
        <v>868</v>
      </c>
      <c r="K2819" s="252">
        <f t="shared" si="273"/>
        <v>642.29999999999995</v>
      </c>
      <c r="Q2819" s="253"/>
      <c r="R2819" s="358" t="s">
        <v>1586</v>
      </c>
      <c r="W2819" s="253"/>
    </row>
    <row r="2820" spans="6:23" ht="24" customHeight="1">
      <c r="F2820" s="252">
        <v>2</v>
      </c>
      <c r="G2820" s="252" t="s">
        <v>868</v>
      </c>
      <c r="H2820" s="296" t="s">
        <v>5898</v>
      </c>
      <c r="I2820" s="362">
        <v>408</v>
      </c>
      <c r="J2820" s="253" t="s">
        <v>868</v>
      </c>
      <c r="K2820" s="252">
        <f t="shared" si="273"/>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5899</v>
      </c>
      <c r="I2821" s="362">
        <v>836</v>
      </c>
      <c r="J2821" s="253" t="s">
        <v>868</v>
      </c>
      <c r="K2821" s="252">
        <f t="shared" si="273"/>
        <v>836</v>
      </c>
      <c r="M2821" s="400">
        <f>R2815</f>
        <v>2.784E-2</v>
      </c>
      <c r="N2821" s="252" t="s">
        <v>869</v>
      </c>
      <c r="O2821" s="296" t="s">
        <v>309</v>
      </c>
      <c r="P2821" s="252">
        <f t="shared" ref="P2821:P2830" si="274">I2814</f>
        <v>99400</v>
      </c>
      <c r="Q2821" s="253" t="s">
        <v>869</v>
      </c>
      <c r="R2821" s="252">
        <f t="shared" ref="R2821:R2830" si="275">(M2821*P2821)</f>
        <v>2767.3</v>
      </c>
      <c r="W2821" s="253"/>
    </row>
    <row r="2822" spans="6:23" ht="24" customHeight="1">
      <c r="F2822" s="252">
        <v>1</v>
      </c>
      <c r="G2822" s="252" t="s">
        <v>868</v>
      </c>
      <c r="H2822" s="296" t="s">
        <v>1467</v>
      </c>
      <c r="I2822" s="314">
        <v>7.3</v>
      </c>
      <c r="J2822" s="253" t="s">
        <v>868</v>
      </c>
      <c r="K2822" s="252">
        <f t="shared" si="273"/>
        <v>7.3</v>
      </c>
      <c r="M2822" s="400">
        <f>R2817</f>
        <v>2.5499999999999998E-2</v>
      </c>
      <c r="N2822" s="252" t="s">
        <v>869</v>
      </c>
      <c r="O2822" s="296" t="s">
        <v>310</v>
      </c>
      <c r="P2822" s="252">
        <f t="shared" si="274"/>
        <v>95000</v>
      </c>
      <c r="Q2822" s="253" t="s">
        <v>869</v>
      </c>
      <c r="R2822" s="252">
        <f t="shared" si="275"/>
        <v>2422.5</v>
      </c>
      <c r="W2822" s="253"/>
    </row>
    <row r="2823" spans="6:23" ht="24" customHeight="1">
      <c r="F2823" s="252">
        <v>1</v>
      </c>
      <c r="G2823" s="252" t="s">
        <v>868</v>
      </c>
      <c r="H2823" s="296" t="s">
        <v>5900</v>
      </c>
      <c r="I2823" s="362">
        <v>49.55</v>
      </c>
      <c r="J2823" s="253" t="s">
        <v>868</v>
      </c>
      <c r="K2823" s="252">
        <f t="shared" si="273"/>
        <v>49.55</v>
      </c>
      <c r="M2823" s="316"/>
      <c r="O2823" s="296" t="s">
        <v>2213</v>
      </c>
      <c r="Q2823" s="253"/>
      <c r="W2823" s="253"/>
    </row>
    <row r="2824" spans="6:23" ht="24" customHeight="1">
      <c r="F2824" s="252">
        <v>64</v>
      </c>
      <c r="H2824" s="252" t="s">
        <v>3663</v>
      </c>
      <c r="I2824" s="518">
        <f>P1121</f>
        <v>2.41</v>
      </c>
      <c r="J2824" s="253"/>
      <c r="K2824" s="252">
        <f t="shared" si="273"/>
        <v>154.24</v>
      </c>
      <c r="M2824" s="316">
        <v>2.2275</v>
      </c>
      <c r="N2824" s="252" t="s">
        <v>609</v>
      </c>
      <c r="O2824" s="296" t="s">
        <v>447</v>
      </c>
      <c r="P2824" s="252">
        <f t="shared" si="274"/>
        <v>1537</v>
      </c>
      <c r="Q2824" s="253" t="s">
        <v>609</v>
      </c>
      <c r="R2824" s="252">
        <f t="shared" si="275"/>
        <v>3423.67</v>
      </c>
      <c r="W2824" s="253"/>
    </row>
    <row r="2825" spans="6:23" ht="24" customHeight="1">
      <c r="H2825" s="296" t="s">
        <v>988</v>
      </c>
      <c r="J2825" s="253"/>
      <c r="K2825" s="252">
        <f>SUM(K2813:K2824)</f>
        <v>12187.38</v>
      </c>
      <c r="M2825" s="252">
        <v>1</v>
      </c>
      <c r="N2825" s="252" t="s">
        <v>769</v>
      </c>
      <c r="O2825" s="296" t="s">
        <v>1463</v>
      </c>
      <c r="P2825" s="252">
        <f t="shared" si="274"/>
        <v>254.5</v>
      </c>
      <c r="Q2825" s="253" t="s">
        <v>868</v>
      </c>
      <c r="R2825" s="252">
        <f t="shared" si="275"/>
        <v>254.5</v>
      </c>
      <c r="W2825" s="253"/>
    </row>
    <row r="2826" spans="6:23" ht="24" customHeight="1">
      <c r="J2826" s="253"/>
      <c r="K2826" s="358" t="s">
        <v>1586</v>
      </c>
      <c r="M2826" s="252">
        <v>3</v>
      </c>
      <c r="N2826" s="252" t="s">
        <v>868</v>
      </c>
      <c r="O2826" s="296" t="s">
        <v>1464</v>
      </c>
      <c r="P2826" s="252">
        <f t="shared" si="274"/>
        <v>214.1</v>
      </c>
      <c r="Q2826" s="253" t="s">
        <v>868</v>
      </c>
      <c r="R2826" s="252">
        <f t="shared" si="275"/>
        <v>642.29999999999995</v>
      </c>
      <c r="W2826" s="253"/>
    </row>
    <row r="2827" spans="6:23" ht="24" customHeight="1">
      <c r="H2827" s="296" t="s">
        <v>552</v>
      </c>
      <c r="J2827" s="253"/>
      <c r="K2827" s="274">
        <f>K2825/F2817</f>
        <v>6687.18</v>
      </c>
      <c r="M2827" s="252">
        <v>2</v>
      </c>
      <c r="N2827" s="252" t="s">
        <v>868</v>
      </c>
      <c r="O2827" s="296" t="s">
        <v>1465</v>
      </c>
      <c r="P2827" s="252">
        <f t="shared" si="274"/>
        <v>408</v>
      </c>
      <c r="Q2827" s="253" t="s">
        <v>868</v>
      </c>
      <c r="R2827" s="252">
        <f t="shared" si="275"/>
        <v>816</v>
      </c>
      <c r="W2827" s="253"/>
    </row>
    <row r="2828" spans="6:23" ht="24" customHeight="1">
      <c r="J2828" s="253"/>
      <c r="M2828" s="252">
        <v>1</v>
      </c>
      <c r="N2828" s="252" t="s">
        <v>868</v>
      </c>
      <c r="O2828" s="296" t="s">
        <v>1466</v>
      </c>
      <c r="P2828" s="252">
        <f t="shared" si="274"/>
        <v>836</v>
      </c>
      <c r="Q2828" s="253" t="s">
        <v>868</v>
      </c>
      <c r="R2828" s="252">
        <f t="shared" si="275"/>
        <v>836</v>
      </c>
      <c r="W2828" s="253"/>
    </row>
    <row r="2829" spans="6:23" ht="24" customHeight="1">
      <c r="F2829" s="253" t="s">
        <v>564</v>
      </c>
      <c r="G2829" s="252" t="s">
        <v>2251</v>
      </c>
      <c r="H2829" s="296" t="s">
        <v>1768</v>
      </c>
      <c r="J2829" s="253"/>
      <c r="M2829" s="252">
        <v>1</v>
      </c>
      <c r="N2829" s="252" t="s">
        <v>868</v>
      </c>
      <c r="O2829" s="296" t="s">
        <v>1467</v>
      </c>
      <c r="P2829" s="252">
        <f t="shared" si="274"/>
        <v>7.3</v>
      </c>
      <c r="Q2829" s="253" t="s">
        <v>868</v>
      </c>
      <c r="R2829" s="252">
        <f t="shared" si="275"/>
        <v>7.3</v>
      </c>
      <c r="W2829" s="253"/>
    </row>
    <row r="2830" spans="6:23" ht="24" customHeight="1">
      <c r="H2830" s="296" t="s">
        <v>256</v>
      </c>
      <c r="J2830" s="253"/>
      <c r="M2830" s="252">
        <v>1</v>
      </c>
      <c r="N2830" s="252" t="s">
        <v>868</v>
      </c>
      <c r="O2830" s="296" t="s">
        <v>1982</v>
      </c>
      <c r="P2830" s="252">
        <f t="shared" si="274"/>
        <v>49.55</v>
      </c>
      <c r="Q2830" s="253" t="s">
        <v>868</v>
      </c>
      <c r="R2830" s="252">
        <f t="shared" si="275"/>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5901</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76">(F2835*I2835)</f>
        <v>390.3</v>
      </c>
      <c r="W2835" s="253"/>
    </row>
    <row r="2836" spans="6:23" ht="24" customHeight="1">
      <c r="F2836" s="252">
        <v>2</v>
      </c>
      <c r="G2836" s="252" t="s">
        <v>769</v>
      </c>
      <c r="H2836" s="296" t="s">
        <v>1463</v>
      </c>
      <c r="I2836" s="252">
        <f t="shared" ref="I2836:I2841" si="277">I990</f>
        <v>57.65</v>
      </c>
      <c r="J2836" s="253" t="s">
        <v>868</v>
      </c>
      <c r="K2836" s="252">
        <f t="shared" si="276"/>
        <v>115.3</v>
      </c>
      <c r="W2836" s="253"/>
    </row>
    <row r="2837" spans="6:23" ht="24" customHeight="1">
      <c r="F2837" s="252">
        <v>3</v>
      </c>
      <c r="G2837" s="252" t="s">
        <v>868</v>
      </c>
      <c r="H2837" s="296" t="s">
        <v>1464</v>
      </c>
      <c r="I2837" s="252">
        <f t="shared" si="277"/>
        <v>89.6</v>
      </c>
      <c r="J2837" s="253" t="s">
        <v>868</v>
      </c>
      <c r="K2837" s="252">
        <f t="shared" si="276"/>
        <v>268.8</v>
      </c>
      <c r="W2837" s="253"/>
    </row>
    <row r="2838" spans="6:23" ht="24" customHeight="1">
      <c r="F2838" s="252">
        <v>2</v>
      </c>
      <c r="G2838" s="252" t="s">
        <v>868</v>
      </c>
      <c r="H2838" s="296" t="s">
        <v>1465</v>
      </c>
      <c r="I2838" s="252">
        <f t="shared" si="277"/>
        <v>64.8</v>
      </c>
      <c r="J2838" s="253" t="s">
        <v>868</v>
      </c>
      <c r="K2838" s="252">
        <f t="shared" si="276"/>
        <v>129.6</v>
      </c>
      <c r="W2838" s="253"/>
    </row>
    <row r="2839" spans="6:23" ht="24" customHeight="1">
      <c r="F2839" s="252">
        <v>1</v>
      </c>
      <c r="G2839" s="252" t="s">
        <v>868</v>
      </c>
      <c r="H2839" s="296" t="s">
        <v>1466</v>
      </c>
      <c r="I2839" s="252">
        <f t="shared" si="277"/>
        <v>181</v>
      </c>
      <c r="J2839" s="253" t="s">
        <v>868</v>
      </c>
      <c r="K2839" s="252">
        <f t="shared" si="276"/>
        <v>181</v>
      </c>
      <c r="W2839" s="253"/>
    </row>
    <row r="2840" spans="6:23" ht="24" customHeight="1">
      <c r="F2840" s="252">
        <v>1</v>
      </c>
      <c r="G2840" s="252" t="s">
        <v>868</v>
      </c>
      <c r="H2840" s="296" t="s">
        <v>1467</v>
      </c>
      <c r="I2840" s="252">
        <f t="shared" si="277"/>
        <v>7.3</v>
      </c>
      <c r="J2840" s="253" t="s">
        <v>868</v>
      </c>
      <c r="K2840" s="252">
        <f t="shared" si="276"/>
        <v>7.3</v>
      </c>
      <c r="M2840" s="253" t="s">
        <v>564</v>
      </c>
      <c r="N2840" s="252" t="s">
        <v>2251</v>
      </c>
      <c r="O2840" s="296" t="s">
        <v>255</v>
      </c>
      <c r="Q2840" s="253"/>
      <c r="W2840" s="253"/>
    </row>
    <row r="2841" spans="6:23" ht="24" customHeight="1">
      <c r="F2841" s="252">
        <v>1</v>
      </c>
      <c r="G2841" s="252" t="s">
        <v>868</v>
      </c>
      <c r="H2841" s="296" t="s">
        <v>1982</v>
      </c>
      <c r="I2841" s="252">
        <f t="shared" si="277"/>
        <v>49.55</v>
      </c>
      <c r="J2841" s="253" t="s">
        <v>868</v>
      </c>
      <c r="K2841" s="252">
        <f t="shared" si="276"/>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8">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8"/>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8"/>
        <v>1537</v>
      </c>
      <c r="Q2857" s="253" t="s">
        <v>609</v>
      </c>
      <c r="R2857" s="252">
        <f t="shared" ref="R2857:R2863" si="279">(M2857*P2857)</f>
        <v>3465.94</v>
      </c>
      <c r="W2857" s="253"/>
    </row>
    <row r="2858" spans="6:23" ht="24" customHeight="1">
      <c r="H2858" s="296" t="s">
        <v>167</v>
      </c>
      <c r="J2858" s="443" t="s">
        <v>975</v>
      </c>
      <c r="K2858" s="443" t="s">
        <v>975</v>
      </c>
      <c r="M2858" s="252">
        <v>1</v>
      </c>
      <c r="N2858" s="252" t="s">
        <v>769</v>
      </c>
      <c r="O2858" s="296" t="s">
        <v>1463</v>
      </c>
      <c r="P2858" s="252">
        <f t="shared" si="278"/>
        <v>254.5</v>
      </c>
      <c r="Q2858" s="253" t="s">
        <v>868</v>
      </c>
      <c r="R2858" s="252">
        <f t="shared" si="279"/>
        <v>254.5</v>
      </c>
      <c r="W2858" s="253"/>
    </row>
    <row r="2859" spans="6:23" ht="67.5" customHeight="1">
      <c r="H2859" s="296" t="s">
        <v>1830</v>
      </c>
      <c r="K2859" s="443" t="s">
        <v>975</v>
      </c>
      <c r="M2859" s="252">
        <v>3</v>
      </c>
      <c r="N2859" s="252" t="s">
        <v>868</v>
      </c>
      <c r="O2859" s="296" t="s">
        <v>1464</v>
      </c>
      <c r="P2859" s="252">
        <f t="shared" si="278"/>
        <v>214.1</v>
      </c>
      <c r="Q2859" s="253" t="s">
        <v>868</v>
      </c>
      <c r="R2859" s="252">
        <f t="shared" si="279"/>
        <v>642.29999999999995</v>
      </c>
      <c r="W2859" s="253"/>
    </row>
    <row r="2860" spans="6:23" ht="24" customHeight="1">
      <c r="H2860" s="296"/>
      <c r="K2860" s="443"/>
      <c r="M2860" s="252">
        <v>2</v>
      </c>
      <c r="N2860" s="252" t="s">
        <v>868</v>
      </c>
      <c r="O2860" s="296" t="s">
        <v>1465</v>
      </c>
      <c r="P2860" s="252">
        <f t="shared" si="278"/>
        <v>408</v>
      </c>
      <c r="Q2860" s="253" t="s">
        <v>868</v>
      </c>
      <c r="R2860" s="252">
        <f t="shared" si="279"/>
        <v>816</v>
      </c>
      <c r="W2860" s="253"/>
    </row>
    <row r="2861" spans="6:23" ht="24" customHeight="1">
      <c r="H2861" s="296"/>
      <c r="K2861" s="443"/>
      <c r="M2861" s="252">
        <v>1</v>
      </c>
      <c r="N2861" s="252" t="s">
        <v>868</v>
      </c>
      <c r="O2861" s="296" t="s">
        <v>1466</v>
      </c>
      <c r="P2861" s="252">
        <f t="shared" si="278"/>
        <v>836</v>
      </c>
      <c r="Q2861" s="253" t="s">
        <v>868</v>
      </c>
      <c r="R2861" s="252">
        <f t="shared" si="279"/>
        <v>836</v>
      </c>
      <c r="W2861" s="253"/>
    </row>
    <row r="2862" spans="6:23" ht="24" customHeight="1">
      <c r="M2862" s="252">
        <v>1</v>
      </c>
      <c r="N2862" s="252" t="s">
        <v>868</v>
      </c>
      <c r="O2862" s="296" t="s">
        <v>1467</v>
      </c>
      <c r="P2862" s="252">
        <f t="shared" si="278"/>
        <v>7.3</v>
      </c>
      <c r="Q2862" s="253" t="s">
        <v>868</v>
      </c>
      <c r="R2862" s="252">
        <f t="shared" si="279"/>
        <v>7.3</v>
      </c>
      <c r="W2862" s="253"/>
    </row>
    <row r="2863" spans="6:23" ht="24" customHeight="1">
      <c r="F2863" s="447">
        <v>1.18E-2</v>
      </c>
      <c r="G2863" s="252" t="s">
        <v>869</v>
      </c>
      <c r="H2863" s="296" t="s">
        <v>692</v>
      </c>
      <c r="I2863" s="252">
        <f>I2813</f>
        <v>111600</v>
      </c>
      <c r="J2863" s="296" t="s">
        <v>869</v>
      </c>
      <c r="K2863" s="252">
        <f t="shared" ref="K2863:K2872" si="280">(F2863*I2863)</f>
        <v>1316.88</v>
      </c>
      <c r="M2863" s="252">
        <v>1</v>
      </c>
      <c r="N2863" s="252" t="s">
        <v>868</v>
      </c>
      <c r="O2863" s="296" t="s">
        <v>1982</v>
      </c>
      <c r="P2863" s="252">
        <f t="shared" si="278"/>
        <v>49.55</v>
      </c>
      <c r="Q2863" s="253" t="s">
        <v>868</v>
      </c>
      <c r="R2863" s="252">
        <f t="shared" si="279"/>
        <v>49.55</v>
      </c>
      <c r="W2863" s="253"/>
    </row>
    <row r="2864" spans="6:23" ht="24" customHeight="1">
      <c r="F2864" s="400">
        <v>6.7499999999999999E-3</v>
      </c>
      <c r="G2864" s="252" t="s">
        <v>869</v>
      </c>
      <c r="H2864" s="296" t="s">
        <v>693</v>
      </c>
      <c r="I2864" s="252">
        <f>I2814</f>
        <v>99400</v>
      </c>
      <c r="J2864" s="296" t="s">
        <v>869</v>
      </c>
      <c r="K2864" s="252">
        <f t="shared" si="280"/>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0"/>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0"/>
        <v>1722</v>
      </c>
      <c r="Q2866" s="253"/>
      <c r="R2866" s="358" t="s">
        <v>1586</v>
      </c>
      <c r="W2866" s="253"/>
    </row>
    <row r="2867" spans="6:23" ht="36" customHeight="1">
      <c r="F2867" s="400">
        <v>2.0499999999999998</v>
      </c>
      <c r="G2867" s="252" t="s">
        <v>609</v>
      </c>
      <c r="H2867" s="574" t="s">
        <v>5351</v>
      </c>
      <c r="I2867" s="252">
        <f>AE53</f>
        <v>330.2</v>
      </c>
      <c r="J2867" s="296" t="s">
        <v>609</v>
      </c>
      <c r="K2867" s="252">
        <f t="shared" si="280"/>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0"/>
        <v>114</v>
      </c>
      <c r="W2868" s="253"/>
    </row>
    <row r="2869" spans="6:23" ht="24" customHeight="1">
      <c r="F2869" s="252">
        <v>8</v>
      </c>
      <c r="G2869" s="252" t="s">
        <v>868</v>
      </c>
      <c r="H2869" s="296" t="s">
        <v>1343</v>
      </c>
      <c r="I2869" s="252">
        <f>C282</f>
        <v>49.35</v>
      </c>
      <c r="J2869" s="296" t="s">
        <v>868</v>
      </c>
      <c r="K2869" s="252">
        <f t="shared" si="280"/>
        <v>394.8</v>
      </c>
      <c r="W2869" s="253"/>
    </row>
    <row r="2870" spans="6:23" ht="24" customHeight="1">
      <c r="F2870" s="252">
        <v>2</v>
      </c>
      <c r="G2870" s="252" t="s">
        <v>868</v>
      </c>
      <c r="H2870" s="296" t="s">
        <v>1390</v>
      </c>
      <c r="I2870" s="252">
        <f>I1134</f>
        <v>60.9</v>
      </c>
      <c r="J2870" s="296" t="s">
        <v>868</v>
      </c>
      <c r="K2870" s="252">
        <f t="shared" si="280"/>
        <v>121.8</v>
      </c>
      <c r="W2870" s="253"/>
    </row>
    <row r="2871" spans="6:23" ht="24" customHeight="1">
      <c r="F2871" s="252">
        <v>1</v>
      </c>
      <c r="G2871" s="252" t="s">
        <v>868</v>
      </c>
      <c r="H2871" s="296" t="s">
        <v>4270</v>
      </c>
      <c r="I2871" s="368">
        <f>I1135</f>
        <v>63.2</v>
      </c>
      <c r="J2871" s="296" t="s">
        <v>868</v>
      </c>
      <c r="K2871" s="252">
        <f t="shared" si="280"/>
        <v>63.2</v>
      </c>
      <c r="W2871" s="253"/>
    </row>
    <row r="2872" spans="6:23" ht="24" customHeight="1">
      <c r="F2872" s="356">
        <v>0.94499999999999995</v>
      </c>
      <c r="G2872" s="252" t="s">
        <v>609</v>
      </c>
      <c r="H2872" s="296" t="s">
        <v>1713</v>
      </c>
      <c r="I2872" s="252">
        <f>K1167</f>
        <v>194.22</v>
      </c>
      <c r="J2872" s="296" t="s">
        <v>609</v>
      </c>
      <c r="K2872" s="252">
        <f t="shared" si="280"/>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1">I503</f>
        <v>969.85</v>
      </c>
      <c r="J2897" s="253" t="s">
        <v>869</v>
      </c>
      <c r="K2897" s="252">
        <f t="shared" ref="K2897:K2902" si="282">(F2897*I2897)</f>
        <v>8728.65</v>
      </c>
      <c r="W2897" s="253"/>
    </row>
    <row r="2898" spans="6:23" ht="24" customHeight="1">
      <c r="F2898" s="356">
        <v>3.2309999999999999</v>
      </c>
      <c r="G2898" s="252" t="s">
        <v>861</v>
      </c>
      <c r="H2898" s="296" t="s">
        <v>862</v>
      </c>
      <c r="I2898" s="252">
        <f t="shared" si="281"/>
        <v>6040</v>
      </c>
      <c r="J2898" s="253" t="s">
        <v>861</v>
      </c>
      <c r="K2898" s="252">
        <f t="shared" si="282"/>
        <v>19515.240000000002</v>
      </c>
      <c r="W2898" s="253"/>
    </row>
    <row r="2899" spans="6:23" ht="24" customHeight="1">
      <c r="F2899" s="252">
        <v>4.5</v>
      </c>
      <c r="G2899" s="252" t="s">
        <v>869</v>
      </c>
      <c r="H2899" s="296" t="s">
        <v>870</v>
      </c>
      <c r="I2899" s="252">
        <f t="shared" si="281"/>
        <v>1464.46</v>
      </c>
      <c r="J2899" s="253" t="s">
        <v>869</v>
      </c>
      <c r="K2899" s="252">
        <f t="shared" si="282"/>
        <v>6590.07</v>
      </c>
      <c r="W2899" s="253"/>
    </row>
    <row r="2900" spans="6:23" ht="24" customHeight="1">
      <c r="F2900" s="252">
        <v>3.5</v>
      </c>
      <c r="G2900" s="252" t="s">
        <v>868</v>
      </c>
      <c r="H2900" s="296" t="s">
        <v>1712</v>
      </c>
      <c r="I2900" s="252">
        <f t="shared" si="281"/>
        <v>932</v>
      </c>
      <c r="J2900" s="253" t="s">
        <v>868</v>
      </c>
      <c r="K2900" s="252">
        <f t="shared" si="282"/>
        <v>3262</v>
      </c>
      <c r="W2900" s="253"/>
    </row>
    <row r="2901" spans="6:23" ht="24" customHeight="1">
      <c r="F2901" s="252">
        <v>21.2</v>
      </c>
      <c r="G2901" s="252" t="s">
        <v>868</v>
      </c>
      <c r="H2901" s="296" t="s">
        <v>1902</v>
      </c>
      <c r="I2901" s="252">
        <f t="shared" si="281"/>
        <v>651</v>
      </c>
      <c r="J2901" s="253" t="s">
        <v>868</v>
      </c>
      <c r="K2901" s="252">
        <f t="shared" si="282"/>
        <v>13801.2</v>
      </c>
      <c r="W2901" s="253"/>
    </row>
    <row r="2902" spans="6:23" ht="24" customHeight="1">
      <c r="F2902" s="252">
        <v>35.299999999999997</v>
      </c>
      <c r="G2902" s="252" t="s">
        <v>868</v>
      </c>
      <c r="H2902" s="296" t="s">
        <v>320</v>
      </c>
      <c r="I2902" s="252">
        <f t="shared" si="281"/>
        <v>534</v>
      </c>
      <c r="J2902" s="253" t="s">
        <v>868</v>
      </c>
      <c r="K2902" s="252">
        <f t="shared" si="282"/>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70747.360000000001</v>
      </c>
      <c r="W2905" s="253"/>
    </row>
    <row r="2906" spans="6:23" ht="24" customHeight="1">
      <c r="J2906" s="253"/>
      <c r="K2906" s="358" t="s">
        <v>1586</v>
      </c>
      <c r="W2906" s="253"/>
    </row>
    <row r="2907" spans="6:23" ht="24" customHeight="1">
      <c r="H2907" s="296" t="s">
        <v>773</v>
      </c>
      <c r="J2907" s="253"/>
      <c r="K2907" s="252">
        <f>(K2905/10)</f>
        <v>7074.74</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7074.74</v>
      </c>
      <c r="W2911" s="253"/>
    </row>
    <row r="2912" spans="6:23" ht="24" customHeight="1">
      <c r="J2912" s="253"/>
      <c r="K2912" s="358" t="s">
        <v>1586</v>
      </c>
      <c r="W2912" s="253"/>
    </row>
    <row r="2913" spans="6:23" ht="24" customHeight="1">
      <c r="G2913" s="252" t="s">
        <v>1243</v>
      </c>
      <c r="H2913" s="296" t="s">
        <v>386</v>
      </c>
      <c r="J2913" s="253"/>
      <c r="K2913" s="252">
        <f>K2911+C22</f>
        <v>7194.59</v>
      </c>
      <c r="W2913" s="253"/>
    </row>
    <row r="2914" spans="6:23" ht="24" customHeight="1">
      <c r="G2914" s="252" t="s">
        <v>1245</v>
      </c>
      <c r="H2914" s="296" t="s">
        <v>388</v>
      </c>
      <c r="J2914" s="253"/>
      <c r="K2914" s="252">
        <f>K2913+C23</f>
        <v>7430.69</v>
      </c>
      <c r="W2914" s="253"/>
    </row>
    <row r="2915" spans="6:23" ht="24" customHeight="1">
      <c r="G2915" s="252" t="s">
        <v>426</v>
      </c>
      <c r="H2915" s="296" t="s">
        <v>2232</v>
      </c>
      <c r="J2915" s="253"/>
      <c r="K2915" s="252">
        <f>K2914+C23</f>
        <v>7666.79</v>
      </c>
      <c r="W2915" s="253"/>
    </row>
    <row r="2916" spans="6:23" ht="24" customHeight="1">
      <c r="G2916" s="252" t="s">
        <v>994</v>
      </c>
      <c r="H2916" s="296" t="s">
        <v>380</v>
      </c>
      <c r="J2916" s="253"/>
      <c r="K2916" s="252">
        <f>K2915+C23</f>
        <v>7902.89</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6159</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6160</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7194.59</v>
      </c>
      <c r="J2927" s="252" t="s">
        <v>2151</v>
      </c>
      <c r="K2927" s="252">
        <f>F2927*I2927</f>
        <v>259.01</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1444.04</v>
      </c>
      <c r="W2930" s="253"/>
    </row>
    <row r="2931" spans="6:23" ht="24" customHeight="1">
      <c r="F2931" s="316"/>
      <c r="H2931" s="360" t="s">
        <v>1824</v>
      </c>
      <c r="J2931" s="360" t="s">
        <v>721</v>
      </c>
      <c r="K2931" s="274">
        <f>K2930/2.1</f>
        <v>687.64</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7430.69</v>
      </c>
      <c r="J2936" s="252" t="s">
        <v>2151</v>
      </c>
      <c r="K2936" s="252">
        <f>F2936*I2936</f>
        <v>267.5</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1452.53</v>
      </c>
      <c r="W2939" s="253"/>
    </row>
    <row r="2940" spans="6:23" ht="24" customHeight="1">
      <c r="F2940" s="316"/>
      <c r="H2940" s="360" t="s">
        <v>1824</v>
      </c>
      <c r="J2940" s="360" t="s">
        <v>721</v>
      </c>
      <c r="K2940" s="274">
        <f>K2939/2.1</f>
        <v>691.68</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7666.79</v>
      </c>
      <c r="J2946" s="252" t="s">
        <v>2151</v>
      </c>
      <c r="K2946" s="252">
        <f>F2946*I2946</f>
        <v>276</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1461.03</v>
      </c>
      <c r="W2949" s="253"/>
    </row>
    <row r="2950" spans="6:23" ht="24" customHeight="1">
      <c r="F2950" s="316"/>
      <c r="H2950" s="360" t="s">
        <v>1824</v>
      </c>
      <c r="J2950" s="360" t="s">
        <v>721</v>
      </c>
      <c r="K2950" s="274">
        <f>K2949/2.1</f>
        <v>695.73</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7902.89</v>
      </c>
      <c r="J2955" s="252" t="s">
        <v>2151</v>
      </c>
      <c r="K2955" s="252">
        <f>F2955*I2955</f>
        <v>284.5</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1469.53</v>
      </c>
      <c r="W2958" s="253"/>
    </row>
    <row r="2959" spans="6:23" ht="24" customHeight="1">
      <c r="F2959" s="316"/>
      <c r="H2959" s="360" t="s">
        <v>1824</v>
      </c>
      <c r="J2959" s="360" t="s">
        <v>721</v>
      </c>
      <c r="K2959" s="274">
        <f>K2958/2.1</f>
        <v>699.78</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3">I2835</f>
        <v>214.1</v>
      </c>
      <c r="J2971" s="253" t="s">
        <v>609</v>
      </c>
      <c r="K2971" s="252">
        <f t="shared" ref="K2971:K2977" si="284">(F2971*I2971)</f>
        <v>351.12</v>
      </c>
      <c r="O2971" s="296" t="s">
        <v>1768</v>
      </c>
      <c r="W2971" s="253"/>
    </row>
    <row r="2972" spans="6:23" ht="24" customHeight="1">
      <c r="F2972" s="252">
        <v>2</v>
      </c>
      <c r="G2972" s="252" t="s">
        <v>769</v>
      </c>
      <c r="H2972" s="296" t="s">
        <v>1463</v>
      </c>
      <c r="I2972" s="252">
        <f t="shared" si="283"/>
        <v>57.65</v>
      </c>
      <c r="J2972" s="253" t="s">
        <v>868</v>
      </c>
      <c r="K2972" s="252">
        <f t="shared" si="284"/>
        <v>115.3</v>
      </c>
      <c r="O2972" s="296" t="s">
        <v>256</v>
      </c>
      <c r="W2972" s="253"/>
    </row>
    <row r="2973" spans="6:23" ht="24" customHeight="1">
      <c r="F2973" s="252">
        <v>3</v>
      </c>
      <c r="G2973" s="252" t="s">
        <v>868</v>
      </c>
      <c r="H2973" s="296" t="s">
        <v>1464</v>
      </c>
      <c r="I2973" s="252">
        <f t="shared" si="283"/>
        <v>89.6</v>
      </c>
      <c r="J2973" s="253" t="s">
        <v>868</v>
      </c>
      <c r="K2973" s="252">
        <f t="shared" si="284"/>
        <v>268.8</v>
      </c>
      <c r="O2973" s="296" t="s">
        <v>1927</v>
      </c>
      <c r="W2973" s="253"/>
    </row>
    <row r="2974" spans="6:23" ht="24" customHeight="1">
      <c r="F2974" s="252">
        <v>2</v>
      </c>
      <c r="G2974" s="252" t="s">
        <v>868</v>
      </c>
      <c r="H2974" s="296" t="s">
        <v>1465</v>
      </c>
      <c r="I2974" s="252">
        <f t="shared" si="283"/>
        <v>64.8</v>
      </c>
      <c r="J2974" s="253" t="s">
        <v>868</v>
      </c>
      <c r="K2974" s="252">
        <f t="shared" si="284"/>
        <v>129.6</v>
      </c>
      <c r="O2974" s="358" t="s">
        <v>1586</v>
      </c>
      <c r="W2974" s="253"/>
    </row>
    <row r="2975" spans="6:23" ht="24" customHeight="1">
      <c r="F2975" s="252">
        <v>1</v>
      </c>
      <c r="G2975" s="252" t="s">
        <v>868</v>
      </c>
      <c r="H2975" s="296" t="s">
        <v>1466</v>
      </c>
      <c r="I2975" s="252">
        <f t="shared" si="283"/>
        <v>181</v>
      </c>
      <c r="J2975" s="253" t="s">
        <v>868</v>
      </c>
      <c r="K2975" s="252">
        <f t="shared" si="284"/>
        <v>181</v>
      </c>
      <c r="L2975" s="252" t="s">
        <v>975</v>
      </c>
      <c r="O2975" s="296" t="s">
        <v>1928</v>
      </c>
      <c r="W2975" s="253"/>
    </row>
    <row r="2976" spans="6:23" ht="24" customHeight="1">
      <c r="F2976" s="252">
        <v>1</v>
      </c>
      <c r="G2976" s="252" t="s">
        <v>868</v>
      </c>
      <c r="H2976" s="296" t="s">
        <v>1467</v>
      </c>
      <c r="I2976" s="252">
        <f t="shared" si="283"/>
        <v>7.3</v>
      </c>
      <c r="J2976" s="253" t="s">
        <v>868</v>
      </c>
      <c r="K2976" s="252">
        <f t="shared" si="284"/>
        <v>7.3</v>
      </c>
      <c r="W2976" s="253"/>
    </row>
    <row r="2977" spans="6:23" ht="24" customHeight="1">
      <c r="F2977" s="252">
        <v>1</v>
      </c>
      <c r="G2977" s="252" t="s">
        <v>868</v>
      </c>
      <c r="H2977" s="296" t="s">
        <v>1982</v>
      </c>
      <c r="I2977" s="252">
        <f t="shared" si="283"/>
        <v>49.55</v>
      </c>
      <c r="J2977" s="253" t="s">
        <v>868</v>
      </c>
      <c r="K2977" s="252">
        <f t="shared" si="284"/>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5">I2971</f>
        <v>214.1</v>
      </c>
      <c r="Q2978" s="253" t="s">
        <v>609</v>
      </c>
      <c r="R2978" s="252">
        <f t="shared" ref="R2978:R2984" si="286">(M2978*P2978)</f>
        <v>482.8</v>
      </c>
      <c r="W2978" s="253"/>
    </row>
    <row r="2979" spans="6:23" ht="24" customHeight="1">
      <c r="H2979" s="296" t="s">
        <v>1925</v>
      </c>
      <c r="J2979" s="253"/>
      <c r="K2979" s="252">
        <f>SUM(K2970:K2978)</f>
        <v>4678.5</v>
      </c>
      <c r="M2979" s="252">
        <v>2</v>
      </c>
      <c r="N2979" s="252" t="s">
        <v>769</v>
      </c>
      <c r="O2979" s="296" t="s">
        <v>1463</v>
      </c>
      <c r="P2979" s="252">
        <f t="shared" si="285"/>
        <v>57.65</v>
      </c>
      <c r="Q2979" s="253" t="s">
        <v>868</v>
      </c>
      <c r="R2979" s="252">
        <f t="shared" si="286"/>
        <v>115.3</v>
      </c>
      <c r="W2979" s="253"/>
    </row>
    <row r="2980" spans="6:23" ht="24" customHeight="1">
      <c r="J2980" s="253"/>
      <c r="K2980" s="358" t="s">
        <v>1586</v>
      </c>
      <c r="M2980" s="252">
        <v>3</v>
      </c>
      <c r="N2980" s="252" t="s">
        <v>868</v>
      </c>
      <c r="O2980" s="296" t="s">
        <v>1464</v>
      </c>
      <c r="P2980" s="252">
        <f t="shared" si="285"/>
        <v>89.6</v>
      </c>
      <c r="Q2980" s="253" t="s">
        <v>868</v>
      </c>
      <c r="R2980" s="252">
        <f t="shared" si="286"/>
        <v>268.8</v>
      </c>
      <c r="W2980" s="253"/>
    </row>
    <row r="2981" spans="6:23" ht="24" customHeight="1">
      <c r="H2981" s="296" t="s">
        <v>552</v>
      </c>
      <c r="J2981" s="253"/>
      <c r="K2981" s="252">
        <f>K2979/F2971</f>
        <v>2852.74</v>
      </c>
      <c r="M2981" s="252">
        <v>2</v>
      </c>
      <c r="N2981" s="252" t="s">
        <v>868</v>
      </c>
      <c r="O2981" s="296" t="s">
        <v>1465</v>
      </c>
      <c r="P2981" s="252">
        <f t="shared" si="285"/>
        <v>64.8</v>
      </c>
      <c r="Q2981" s="253" t="s">
        <v>868</v>
      </c>
      <c r="R2981" s="252">
        <f t="shared" si="286"/>
        <v>129.6</v>
      </c>
      <c r="W2981" s="253"/>
    </row>
    <row r="2982" spans="6:23" ht="24" customHeight="1">
      <c r="F2982" s="296" t="s">
        <v>975</v>
      </c>
      <c r="J2982" s="253"/>
      <c r="M2982" s="252">
        <v>1</v>
      </c>
      <c r="N2982" s="252" t="s">
        <v>868</v>
      </c>
      <c r="O2982" s="296" t="s">
        <v>1466</v>
      </c>
      <c r="P2982" s="252">
        <f t="shared" si="285"/>
        <v>181</v>
      </c>
      <c r="Q2982" s="253" t="s">
        <v>868</v>
      </c>
      <c r="R2982" s="252">
        <f t="shared" si="286"/>
        <v>181</v>
      </c>
      <c r="W2982" s="253"/>
    </row>
    <row r="2983" spans="6:23" ht="24" customHeight="1">
      <c r="J2983" s="253"/>
      <c r="M2983" s="252">
        <v>1</v>
      </c>
      <c r="N2983" s="252" t="s">
        <v>868</v>
      </c>
      <c r="O2983" s="296" t="s">
        <v>1467</v>
      </c>
      <c r="P2983" s="252">
        <f t="shared" si="285"/>
        <v>7.3</v>
      </c>
      <c r="Q2983" s="253" t="s">
        <v>868</v>
      </c>
      <c r="R2983" s="252">
        <f t="shared" si="286"/>
        <v>7.3</v>
      </c>
      <c r="W2983" s="253"/>
    </row>
    <row r="2984" spans="6:23" ht="24" customHeight="1">
      <c r="F2984" s="252" t="s">
        <v>1427</v>
      </c>
      <c r="J2984" s="253"/>
      <c r="M2984" s="252">
        <v>1</v>
      </c>
      <c r="N2984" s="252" t="s">
        <v>868</v>
      </c>
      <c r="O2984" s="296" t="s">
        <v>1982</v>
      </c>
      <c r="P2984" s="252">
        <f t="shared" si="285"/>
        <v>49.55</v>
      </c>
      <c r="Q2984" s="253" t="s">
        <v>868</v>
      </c>
      <c r="R2984" s="252">
        <f t="shared" si="286"/>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8369.0400000000009</v>
      </c>
      <c r="J2992" s="407" t="s">
        <v>2151</v>
      </c>
      <c r="K2992" s="252">
        <f>F2992*I2992</f>
        <v>3515</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6277.65</v>
      </c>
      <c r="W2999" s="253"/>
    </row>
    <row r="3000" spans="6:23" ht="24" customHeight="1">
      <c r="J3000" s="253"/>
      <c r="W3000" s="253"/>
    </row>
    <row r="3001" spans="6:23" ht="24" customHeight="1">
      <c r="I3001" s="252" t="s">
        <v>1881</v>
      </c>
      <c r="J3001" s="253"/>
      <c r="K3001" s="252">
        <f>K2999/3.5</f>
        <v>1793.61</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222.7</v>
      </c>
      <c r="J3004" s="407" t="s">
        <v>2151</v>
      </c>
      <c r="K3004" s="252">
        <f>F3004*I3004</f>
        <v>222.7</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261.64999999999998</v>
      </c>
      <c r="W3006" s="253"/>
    </row>
    <row r="3007" spans="6:23" ht="24" customHeight="1">
      <c r="W3007" s="253"/>
    </row>
    <row r="3008" spans="6:23" ht="24" customHeight="1">
      <c r="H3008" s="252" t="s">
        <v>1908</v>
      </c>
      <c r="I3008" s="268"/>
      <c r="J3008" s="253"/>
      <c r="W3008" s="253"/>
    </row>
    <row r="3009" spans="8:23" ht="24" customHeight="1">
      <c r="H3009" s="268" t="s">
        <v>5902</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5903</v>
      </c>
      <c r="I3012" s="537">
        <v>494.7</v>
      </c>
      <c r="J3012" s="253" t="s">
        <v>1714</v>
      </c>
      <c r="K3012" s="362">
        <f>I3012</f>
        <v>494.7</v>
      </c>
      <c r="W3012" s="253"/>
    </row>
    <row r="3013" spans="8:23" ht="24" customHeight="1">
      <c r="I3013" s="362"/>
      <c r="J3013" s="253"/>
      <c r="K3013" s="362"/>
      <c r="W3013" s="253"/>
    </row>
    <row r="3014" spans="8:23" ht="24" customHeight="1">
      <c r="H3014" s="252" t="s">
        <v>5904</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5905</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083" t="s">
        <v>1062</v>
      </c>
      <c r="J3046" s="1083"/>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87">(F3056*I3056)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88">I2972</f>
        <v>57.65</v>
      </c>
      <c r="J3057" s="253" t="s">
        <v>868</v>
      </c>
      <c r="K3057" s="252">
        <f t="shared" si="287"/>
        <v>230.6</v>
      </c>
      <c r="O3057" s="296" t="s">
        <v>256</v>
      </c>
      <c r="Q3057" s="253"/>
      <c r="W3057" s="253"/>
    </row>
    <row r="3058" spans="6:23" ht="24" customHeight="1">
      <c r="F3058" s="252">
        <v>6</v>
      </c>
      <c r="G3058" s="252" t="s">
        <v>868</v>
      </c>
      <c r="H3058" s="296" t="s">
        <v>1464</v>
      </c>
      <c r="I3058" s="423">
        <f t="shared" si="288"/>
        <v>89.6</v>
      </c>
      <c r="J3058" s="253" t="s">
        <v>868</v>
      </c>
      <c r="K3058" s="252">
        <f t="shared" si="287"/>
        <v>537.6</v>
      </c>
      <c r="O3058" s="296" t="s">
        <v>82</v>
      </c>
      <c r="Q3058" s="253"/>
      <c r="W3058" s="253"/>
    </row>
    <row r="3059" spans="6:23" ht="24" customHeight="1">
      <c r="F3059" s="252">
        <v>4</v>
      </c>
      <c r="G3059" s="252" t="s">
        <v>868</v>
      </c>
      <c r="H3059" s="296" t="s">
        <v>1465</v>
      </c>
      <c r="I3059" s="423">
        <f t="shared" si="288"/>
        <v>64.8</v>
      </c>
      <c r="J3059" s="253" t="s">
        <v>868</v>
      </c>
      <c r="K3059" s="252">
        <f t="shared" si="287"/>
        <v>259.2</v>
      </c>
      <c r="O3059" s="358" t="s">
        <v>1586</v>
      </c>
      <c r="Q3059" s="253"/>
      <c r="W3059" s="253"/>
    </row>
    <row r="3060" spans="6:23" ht="24" customHeight="1">
      <c r="F3060" s="252">
        <v>1</v>
      </c>
      <c r="G3060" s="252" t="s">
        <v>868</v>
      </c>
      <c r="H3060" s="296" t="s">
        <v>1466</v>
      </c>
      <c r="I3060" s="423">
        <f t="shared" si="288"/>
        <v>181</v>
      </c>
      <c r="J3060" s="253" t="s">
        <v>868</v>
      </c>
      <c r="K3060" s="252">
        <f t="shared" si="287"/>
        <v>181</v>
      </c>
      <c r="O3060" s="296" t="s">
        <v>364</v>
      </c>
      <c r="Q3060" s="253"/>
      <c r="W3060" s="253"/>
    </row>
    <row r="3061" spans="6:23" ht="24" customHeight="1">
      <c r="F3061" s="252">
        <v>2</v>
      </c>
      <c r="G3061" s="252" t="s">
        <v>868</v>
      </c>
      <c r="H3061" s="296" t="s">
        <v>1467</v>
      </c>
      <c r="I3061" s="423">
        <f t="shared" si="288"/>
        <v>7.3</v>
      </c>
      <c r="J3061" s="253" t="s">
        <v>868</v>
      </c>
      <c r="K3061" s="252">
        <f t="shared" si="287"/>
        <v>14.6</v>
      </c>
      <c r="Q3061" s="253"/>
      <c r="W3061" s="253"/>
    </row>
    <row r="3062" spans="6:23" ht="24" customHeight="1">
      <c r="F3062" s="252">
        <v>2</v>
      </c>
      <c r="G3062" s="252" t="s">
        <v>868</v>
      </c>
      <c r="H3062" s="296" t="s">
        <v>1982</v>
      </c>
      <c r="I3062" s="423">
        <f t="shared" si="288"/>
        <v>49.55</v>
      </c>
      <c r="J3062" s="253" t="s">
        <v>868</v>
      </c>
      <c r="K3062" s="252">
        <f t="shared" si="287"/>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89">I3056</f>
        <v>330.2</v>
      </c>
      <c r="Q3063" s="253" t="s">
        <v>609</v>
      </c>
      <c r="R3063" s="252">
        <f t="shared" ref="R3063:R3069" si="290">(M3063*P3063)</f>
        <v>1086.3599999999999</v>
      </c>
      <c r="W3063" s="253"/>
    </row>
    <row r="3064" spans="6:23" ht="33.75" customHeight="1">
      <c r="H3064" s="296" t="s">
        <v>758</v>
      </c>
      <c r="J3064" s="253"/>
      <c r="K3064" s="252">
        <f>SUM(K3055:K3063)</f>
        <v>6913.77</v>
      </c>
      <c r="M3064" s="252">
        <v>4</v>
      </c>
      <c r="N3064" s="252" t="s">
        <v>769</v>
      </c>
      <c r="O3064" s="296" t="s">
        <v>1463</v>
      </c>
      <c r="P3064" s="252">
        <f t="shared" si="289"/>
        <v>57.65</v>
      </c>
      <c r="Q3064" s="253" t="s">
        <v>868</v>
      </c>
      <c r="R3064" s="252">
        <f t="shared" si="290"/>
        <v>230.6</v>
      </c>
      <c r="W3064" s="253"/>
    </row>
    <row r="3065" spans="6:23" ht="24" customHeight="1">
      <c r="J3065" s="253"/>
      <c r="K3065" s="358" t="s">
        <v>1586</v>
      </c>
      <c r="M3065" s="252">
        <v>6</v>
      </c>
      <c r="N3065" s="252" t="s">
        <v>868</v>
      </c>
      <c r="O3065" s="296" t="s">
        <v>1464</v>
      </c>
      <c r="P3065" s="252">
        <f t="shared" si="289"/>
        <v>89.6</v>
      </c>
      <c r="Q3065" s="253" t="s">
        <v>868</v>
      </c>
      <c r="R3065" s="252">
        <f t="shared" si="290"/>
        <v>537.6</v>
      </c>
      <c r="W3065" s="253"/>
    </row>
    <row r="3066" spans="6:23" ht="24" customHeight="1">
      <c r="H3066" s="296" t="s">
        <v>552</v>
      </c>
      <c r="J3066" s="253"/>
      <c r="K3066" s="252">
        <f>K3064/F3056</f>
        <v>3103.82</v>
      </c>
      <c r="M3066" s="252">
        <v>4</v>
      </c>
      <c r="N3066" s="252" t="s">
        <v>868</v>
      </c>
      <c r="O3066" s="296" t="s">
        <v>1465</v>
      </c>
      <c r="P3066" s="252">
        <f t="shared" si="289"/>
        <v>64.8</v>
      </c>
      <c r="Q3066" s="253" t="s">
        <v>868</v>
      </c>
      <c r="R3066" s="252">
        <f t="shared" si="290"/>
        <v>259.2</v>
      </c>
      <c r="W3066" s="253"/>
    </row>
    <row r="3067" spans="6:23" ht="24" customHeight="1">
      <c r="M3067" s="252">
        <v>1</v>
      </c>
      <c r="N3067" s="252" t="s">
        <v>868</v>
      </c>
      <c r="O3067" s="296" t="s">
        <v>1466</v>
      </c>
      <c r="P3067" s="252">
        <f t="shared" si="289"/>
        <v>181</v>
      </c>
      <c r="Q3067" s="253" t="s">
        <v>868</v>
      </c>
      <c r="R3067" s="252">
        <f t="shared" si="290"/>
        <v>181</v>
      </c>
      <c r="W3067" s="253"/>
    </row>
    <row r="3068" spans="6:23" ht="24" customHeight="1">
      <c r="F3068" s="253" t="s">
        <v>564</v>
      </c>
      <c r="G3068" s="252" t="s">
        <v>2251</v>
      </c>
      <c r="H3068" s="296" t="s">
        <v>1768</v>
      </c>
      <c r="J3068" s="253"/>
      <c r="M3068" s="252">
        <v>2</v>
      </c>
      <c r="N3068" s="252" t="s">
        <v>868</v>
      </c>
      <c r="O3068" s="296" t="s">
        <v>1467</v>
      </c>
      <c r="P3068" s="252">
        <f t="shared" si="289"/>
        <v>7.3</v>
      </c>
      <c r="Q3068" s="253" t="s">
        <v>868</v>
      </c>
      <c r="R3068" s="252">
        <f t="shared" si="290"/>
        <v>14.6</v>
      </c>
      <c r="W3068" s="253"/>
    </row>
    <row r="3069" spans="6:23" ht="24" customHeight="1">
      <c r="H3069" s="296" t="s">
        <v>256</v>
      </c>
      <c r="J3069" s="253"/>
      <c r="M3069" s="252">
        <v>2</v>
      </c>
      <c r="N3069" s="252" t="s">
        <v>868</v>
      </c>
      <c r="O3069" s="296" t="s">
        <v>1982</v>
      </c>
      <c r="P3069" s="252">
        <f t="shared" si="289"/>
        <v>49.55</v>
      </c>
      <c r="Q3069" s="253" t="s">
        <v>868</v>
      </c>
      <c r="R3069" s="252">
        <f t="shared" si="290"/>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1">I3056</f>
        <v>330.2</v>
      </c>
      <c r="J3075" s="253" t="s">
        <v>609</v>
      </c>
      <c r="K3075" s="252">
        <f t="shared" ref="K3075:K3081" si="292">(F3075*I3075)</f>
        <v>947.67</v>
      </c>
      <c r="W3075" s="253"/>
    </row>
    <row r="3076" spans="6:23" ht="24" customHeight="1">
      <c r="F3076" s="252">
        <v>4</v>
      </c>
      <c r="G3076" s="252" t="s">
        <v>769</v>
      </c>
      <c r="H3076" s="296" t="s">
        <v>1463</v>
      </c>
      <c r="I3076" s="423">
        <f t="shared" si="291"/>
        <v>57.65</v>
      </c>
      <c r="J3076" s="253" t="s">
        <v>868</v>
      </c>
      <c r="K3076" s="252">
        <f t="shared" si="292"/>
        <v>230.6</v>
      </c>
      <c r="W3076" s="253"/>
    </row>
    <row r="3077" spans="6:23" ht="24" customHeight="1">
      <c r="F3077" s="252">
        <v>6</v>
      </c>
      <c r="G3077" s="252" t="s">
        <v>868</v>
      </c>
      <c r="H3077" s="296" t="s">
        <v>1464</v>
      </c>
      <c r="I3077" s="423">
        <f t="shared" si="291"/>
        <v>89.6</v>
      </c>
      <c r="J3077" s="253" t="s">
        <v>868</v>
      </c>
      <c r="K3077" s="252">
        <f t="shared" si="292"/>
        <v>537.6</v>
      </c>
      <c r="W3077" s="253"/>
    </row>
    <row r="3078" spans="6:23" ht="24" customHeight="1">
      <c r="F3078" s="252">
        <v>4</v>
      </c>
      <c r="G3078" s="252" t="s">
        <v>868</v>
      </c>
      <c r="H3078" s="296" t="s">
        <v>1465</v>
      </c>
      <c r="I3078" s="423">
        <f t="shared" si="291"/>
        <v>64.8</v>
      </c>
      <c r="J3078" s="253" t="s">
        <v>868</v>
      </c>
      <c r="K3078" s="252">
        <f t="shared" si="292"/>
        <v>259.2</v>
      </c>
      <c r="W3078" s="253"/>
    </row>
    <row r="3079" spans="6:23" ht="24" customHeight="1">
      <c r="F3079" s="252">
        <v>1</v>
      </c>
      <c r="G3079" s="252" t="s">
        <v>868</v>
      </c>
      <c r="H3079" s="296" t="s">
        <v>1466</v>
      </c>
      <c r="I3079" s="423">
        <f t="shared" si="291"/>
        <v>181</v>
      </c>
      <c r="J3079" s="253" t="s">
        <v>868</v>
      </c>
      <c r="K3079" s="252">
        <f t="shared" si="292"/>
        <v>181</v>
      </c>
      <c r="W3079" s="253"/>
    </row>
    <row r="3080" spans="6:23" ht="24" customHeight="1">
      <c r="F3080" s="252">
        <v>2</v>
      </c>
      <c r="G3080" s="252" t="s">
        <v>868</v>
      </c>
      <c r="H3080" s="296" t="s">
        <v>1467</v>
      </c>
      <c r="I3080" s="423">
        <f t="shared" si="291"/>
        <v>7.3</v>
      </c>
      <c r="J3080" s="253" t="s">
        <v>868</v>
      </c>
      <c r="K3080" s="252">
        <f t="shared" si="292"/>
        <v>14.6</v>
      </c>
      <c r="W3080" s="253"/>
    </row>
    <row r="3081" spans="6:23" ht="24" customHeight="1">
      <c r="F3081" s="252">
        <v>2</v>
      </c>
      <c r="G3081" s="252" t="s">
        <v>868</v>
      </c>
      <c r="H3081" s="296" t="s">
        <v>1982</v>
      </c>
      <c r="I3081" s="423">
        <f t="shared" si="291"/>
        <v>49.55</v>
      </c>
      <c r="J3081" s="253" t="s">
        <v>868</v>
      </c>
      <c r="K3081" s="252">
        <f t="shared" si="292"/>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296"/>
      <c r="W3094" s="253"/>
    </row>
    <row r="3095" spans="6:42" ht="24" customHeight="1">
      <c r="F3095" s="550"/>
      <c r="G3095" s="550"/>
      <c r="H3095" s="367" t="s">
        <v>456</v>
      </c>
      <c r="I3095" s="550"/>
      <c r="J3095" s="367"/>
      <c r="K3095" s="550"/>
      <c r="S3095" s="252"/>
      <c r="U3095" s="296"/>
      <c r="W3095" s="253"/>
    </row>
    <row r="3096" spans="6:42" ht="24" customHeight="1">
      <c r="F3096" s="550"/>
      <c r="G3096" s="550"/>
      <c r="H3096" s="367" t="s">
        <v>881</v>
      </c>
      <c r="I3096" s="550"/>
      <c r="J3096" s="367" t="s">
        <v>975</v>
      </c>
      <c r="K3096" s="553">
        <v>3.7699999999999997E-2</v>
      </c>
      <c r="S3096" s="252"/>
      <c r="U3096" s="296"/>
      <c r="W3096" s="253"/>
    </row>
    <row r="3097" spans="6:42" ht="24" customHeight="1">
      <c r="F3097" s="550"/>
      <c r="G3097" s="550"/>
      <c r="H3097" s="576" t="s">
        <v>452</v>
      </c>
      <c r="I3097" s="550"/>
      <c r="J3097" s="554" t="s">
        <v>975</v>
      </c>
      <c r="K3097" s="554" t="s">
        <v>975</v>
      </c>
      <c r="S3097" s="252"/>
      <c r="U3097" s="296"/>
      <c r="W3097" s="253"/>
    </row>
    <row r="3098" spans="6:42" ht="24" customHeight="1">
      <c r="F3098" s="550"/>
      <c r="G3098" s="550"/>
      <c r="H3098" s="367" t="s">
        <v>1830</v>
      </c>
      <c r="I3098" s="550"/>
      <c r="J3098" s="367"/>
      <c r="K3098" s="554" t="s">
        <v>975</v>
      </c>
      <c r="S3098" s="252"/>
      <c r="U3098" s="296"/>
      <c r="W3098" s="253"/>
    </row>
    <row r="3099" spans="6:42" ht="24" customHeight="1">
      <c r="F3099" s="550"/>
      <c r="G3099" s="550"/>
      <c r="H3099" s="550"/>
      <c r="I3099" s="550"/>
      <c r="J3099" s="367"/>
      <c r="K3099" s="550"/>
      <c r="S3099" s="252"/>
      <c r="U3099" s="252" t="s">
        <v>3542</v>
      </c>
      <c r="W3099" s="253"/>
    </row>
    <row r="3100" spans="6:42" ht="31.5" customHeight="1">
      <c r="F3100" s="555">
        <v>1.18E-2</v>
      </c>
      <c r="G3100" s="550" t="s">
        <v>869</v>
      </c>
      <c r="H3100" s="367" t="s">
        <v>692</v>
      </c>
      <c r="I3100" s="550">
        <f>I2662</f>
        <v>111600</v>
      </c>
      <c r="J3100" s="367" t="s">
        <v>869</v>
      </c>
      <c r="K3100" s="550">
        <f t="shared" ref="K3100:K3108" si="293">(F3100*I3100)</f>
        <v>1316.88</v>
      </c>
      <c r="S3100" s="252"/>
      <c r="U3100" s="360"/>
      <c r="W3100" s="253"/>
    </row>
    <row r="3101" spans="6:42" ht="24.75" customHeight="1">
      <c r="F3101" s="555">
        <v>3.7699999999999997E-2</v>
      </c>
      <c r="G3101" s="550" t="s">
        <v>869</v>
      </c>
      <c r="H3101" s="367" t="s">
        <v>693</v>
      </c>
      <c r="I3101" s="550">
        <f t="shared" ref="I3101:I3108" si="294">I2663</f>
        <v>99400</v>
      </c>
      <c r="J3101" s="367" t="s">
        <v>869</v>
      </c>
      <c r="K3101" s="550">
        <f t="shared" si="293"/>
        <v>3747.38</v>
      </c>
      <c r="S3101" s="252"/>
      <c r="U3101" s="296" t="s">
        <v>3543</v>
      </c>
      <c r="V3101" s="316">
        <f xml:space="preserve"> 3.08*2.1</f>
        <v>6.468</v>
      </c>
      <c r="W3101" s="253" t="s">
        <v>233</v>
      </c>
      <c r="X3101" s="252" t="s">
        <v>233</v>
      </c>
    </row>
    <row r="3102" spans="6:42" ht="36" customHeight="1">
      <c r="F3102" s="555">
        <v>1.8550000000000001E-2</v>
      </c>
      <c r="G3102" s="550" t="s">
        <v>869</v>
      </c>
      <c r="H3102" s="367" t="s">
        <v>886</v>
      </c>
      <c r="I3102" s="550">
        <f t="shared" si="294"/>
        <v>13690</v>
      </c>
      <c r="J3102" s="367" t="s">
        <v>869</v>
      </c>
      <c r="K3102" s="550">
        <f t="shared" si="293"/>
        <v>253.95</v>
      </c>
      <c r="S3102" s="252"/>
      <c r="T3102" s="518"/>
      <c r="U3102" s="57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293"/>
        <v>526.86</v>
      </c>
      <c r="S3103" s="252"/>
      <c r="T3103" s="518"/>
      <c r="U3103" s="518"/>
      <c r="V3103" s="518"/>
      <c r="W3103" s="579" t="s">
        <v>1586</v>
      </c>
      <c r="X3103" s="518"/>
      <c r="AE3103" s="252" t="s">
        <v>3216</v>
      </c>
      <c r="AP3103" s="252" t="s">
        <v>3216</v>
      </c>
    </row>
    <row r="3104" spans="6:42" ht="31.5" customHeight="1">
      <c r="F3104" s="555">
        <v>2.0499999999999998</v>
      </c>
      <c r="G3104" s="550" t="s">
        <v>609</v>
      </c>
      <c r="H3104" s="367" t="s">
        <v>1506</v>
      </c>
      <c r="I3104" s="550">
        <f t="shared" si="294"/>
        <v>1281</v>
      </c>
      <c r="J3104" s="367" t="s">
        <v>609</v>
      </c>
      <c r="K3104" s="550">
        <f t="shared" si="293"/>
        <v>2626.05</v>
      </c>
      <c r="S3104" s="252"/>
      <c r="T3104" s="518"/>
      <c r="U3104" s="577" t="s">
        <v>3830</v>
      </c>
      <c r="V3104" s="578">
        <f>2*3*0.55*0.15*0.0375</f>
        <v>1.856E-2</v>
      </c>
      <c r="W3104" s="579" t="s">
        <v>1341</v>
      </c>
      <c r="X3104" s="518"/>
      <c r="AE3104" s="252" t="s">
        <v>3655</v>
      </c>
      <c r="AP3104" s="252" t="s">
        <v>3655</v>
      </c>
    </row>
    <row r="3105" spans="6:47" ht="31.5" customHeight="1">
      <c r="F3105" s="550">
        <v>2</v>
      </c>
      <c r="G3105" s="550" t="s">
        <v>868</v>
      </c>
      <c r="H3105" s="367" t="s">
        <v>5906</v>
      </c>
      <c r="I3105" s="580">
        <v>57</v>
      </c>
      <c r="J3105" s="367" t="s">
        <v>868</v>
      </c>
      <c r="K3105" s="550">
        <f t="shared" si="293"/>
        <v>114</v>
      </c>
      <c r="S3105" s="252"/>
      <c r="T3105" s="518"/>
      <c r="U3105" s="57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294"/>
        <v>49.35</v>
      </c>
      <c r="J3106" s="367" t="s">
        <v>868</v>
      </c>
      <c r="K3106" s="550">
        <f t="shared" si="293"/>
        <v>296.10000000000002</v>
      </c>
      <c r="S3106" s="252"/>
      <c r="T3106" s="518"/>
      <c r="U3106" s="51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294"/>
        <v>60.9</v>
      </c>
      <c r="J3107" s="367" t="s">
        <v>868</v>
      </c>
      <c r="K3107" s="550">
        <f t="shared" si="293"/>
        <v>121.8</v>
      </c>
      <c r="S3107" s="252"/>
      <c r="T3107" s="518"/>
      <c r="U3107" s="57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294"/>
        <v>63.2</v>
      </c>
      <c r="J3108" s="367" t="s">
        <v>868</v>
      </c>
      <c r="K3108" s="550">
        <f t="shared" si="293"/>
        <v>63.2</v>
      </c>
      <c r="S3108" s="252"/>
      <c r="T3108" s="518"/>
      <c r="U3108" s="57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51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6"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358"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296"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5">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296" t="s">
        <v>2092</v>
      </c>
      <c r="V3116" s="252">
        <f>AE32</f>
        <v>1436</v>
      </c>
      <c r="W3116" s="253" t="s">
        <v>609</v>
      </c>
      <c r="X3116" s="252">
        <f t="shared" si="295"/>
        <v>7409.76</v>
      </c>
      <c r="AE3116" s="586"/>
      <c r="AF3116" s="586"/>
      <c r="AG3116" s="586"/>
      <c r="AH3116" s="586"/>
      <c r="AQ3116" s="252">
        <f>ROUNDUP(AQ3115,0)</f>
        <v>252</v>
      </c>
      <c r="AR3116" s="252">
        <f>ROUNDUP(AR3115,0)</f>
        <v>241</v>
      </c>
    </row>
    <row r="3117" spans="6:47" ht="39" customHeight="1">
      <c r="S3117" s="316">
        <v>22.66</v>
      </c>
      <c r="T3117" s="252" t="s">
        <v>3550</v>
      </c>
      <c r="U3117" s="296" t="s">
        <v>3546</v>
      </c>
      <c r="V3117" s="362">
        <v>15.45</v>
      </c>
      <c r="W3117" s="253" t="s">
        <v>5047</v>
      </c>
      <c r="X3117" s="252">
        <f t="shared" si="295"/>
        <v>350.1</v>
      </c>
    </row>
    <row r="3118" spans="6:47" ht="39" customHeight="1">
      <c r="H3118" s="274" t="s">
        <v>1232</v>
      </c>
      <c r="O3118" s="274" t="s">
        <v>3690</v>
      </c>
      <c r="Q3118" s="296"/>
      <c r="S3118" s="252">
        <v>15</v>
      </c>
      <c r="T3118" s="252" t="s">
        <v>868</v>
      </c>
      <c r="U3118" s="296" t="s">
        <v>1517</v>
      </c>
      <c r="V3118" s="252">
        <f>C279</f>
        <v>89.6</v>
      </c>
      <c r="W3118" s="253" t="s">
        <v>868</v>
      </c>
      <c r="X3118" s="252">
        <f t="shared" si="295"/>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5"/>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5"/>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296" t="s">
        <v>1980</v>
      </c>
      <c r="V3121" s="252">
        <f>P3160</f>
        <v>7.3</v>
      </c>
      <c r="W3121" s="253" t="s">
        <v>868</v>
      </c>
      <c r="X3121" s="252">
        <f t="shared" si="295"/>
        <v>36.5</v>
      </c>
    </row>
    <row r="3122" spans="6:24"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5"/>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296"/>
      <c r="W3123" s="253" t="s">
        <v>868</v>
      </c>
      <c r="X3123" s="358" t="s">
        <v>1586</v>
      </c>
    </row>
    <row r="3124" spans="6:24" ht="24" customHeight="1">
      <c r="R3124" s="252">
        <f>R3123-87</f>
        <v>51.32</v>
      </c>
      <c r="S3124" s="252"/>
      <c r="U3124" s="25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255"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296" t="s">
        <v>3552</v>
      </c>
      <c r="W3129" s="253"/>
      <c r="X3129" s="296" t="s">
        <v>975</v>
      </c>
    </row>
    <row r="3130" spans="6:24" ht="24" customHeight="1">
      <c r="H3130" s="296" t="s">
        <v>2182</v>
      </c>
      <c r="S3130" s="252"/>
      <c r="U3130" s="358" t="s">
        <v>1586</v>
      </c>
      <c r="W3130" s="253"/>
    </row>
    <row r="3131" spans="6:24" ht="24" customHeight="1">
      <c r="H3131" s="296" t="s">
        <v>2183</v>
      </c>
      <c r="S3131" s="400">
        <v>2.7400000000000001E-2</v>
      </c>
      <c r="T3131" s="252" t="s">
        <v>869</v>
      </c>
      <c r="U3131" s="296" t="s">
        <v>3544</v>
      </c>
      <c r="V3131" s="252">
        <f>V3114</f>
        <v>99400</v>
      </c>
      <c r="W3131" s="253" t="s">
        <v>869</v>
      </c>
      <c r="X3131" s="252">
        <f>V3131*S3131</f>
        <v>2723.56</v>
      </c>
    </row>
    <row r="3132" spans="6:24" ht="24" customHeight="1">
      <c r="H3132" s="358" t="s">
        <v>1586</v>
      </c>
      <c r="S3132" s="400">
        <v>1.1599999999999999</v>
      </c>
      <c r="T3132" s="252" t="s">
        <v>609</v>
      </c>
      <c r="U3132" s="296" t="s">
        <v>3545</v>
      </c>
      <c r="V3132" s="252">
        <f t="shared" ref="V3132:V3139" si="296">V3115</f>
        <v>306.89999999999998</v>
      </c>
      <c r="W3132" s="253" t="s">
        <v>869</v>
      </c>
      <c r="X3132" s="252">
        <f t="shared" ref="X3132:X3139" si="297">V3132*S3132</f>
        <v>356</v>
      </c>
    </row>
    <row r="3133" spans="6:24" ht="24" customHeight="1">
      <c r="H3133" s="296" t="s">
        <v>1800</v>
      </c>
      <c r="M3133" s="253" t="s">
        <v>462</v>
      </c>
      <c r="N3133" s="252" t="s">
        <v>2251</v>
      </c>
      <c r="O3133" s="296" t="s">
        <v>2177</v>
      </c>
      <c r="Q3133" s="296"/>
      <c r="S3133" s="316">
        <v>1.74</v>
      </c>
      <c r="T3133" s="252" t="s">
        <v>609</v>
      </c>
      <c r="U3133" s="296" t="s">
        <v>2092</v>
      </c>
      <c r="V3133" s="252">
        <f t="shared" si="296"/>
        <v>1436</v>
      </c>
      <c r="W3133" s="253" t="s">
        <v>609</v>
      </c>
      <c r="X3133" s="252">
        <f t="shared" si="297"/>
        <v>2498.64</v>
      </c>
    </row>
    <row r="3134" spans="6:24" ht="24" customHeight="1">
      <c r="H3134" s="296" t="s">
        <v>2184</v>
      </c>
      <c r="O3134" s="296" t="s">
        <v>2179</v>
      </c>
      <c r="Q3134" s="296"/>
      <c r="S3134" s="316">
        <v>8.74</v>
      </c>
      <c r="T3134" s="252" t="s">
        <v>3550</v>
      </c>
      <c r="U3134" s="296" t="s">
        <v>3546</v>
      </c>
      <c r="V3134" s="252">
        <f t="shared" si="296"/>
        <v>15.45</v>
      </c>
      <c r="W3134" s="253" t="s">
        <v>609</v>
      </c>
      <c r="X3134" s="252">
        <f t="shared" si="297"/>
        <v>135.03</v>
      </c>
    </row>
    <row r="3135" spans="6:24" ht="24" customHeight="1">
      <c r="J3135" s="296" t="s">
        <v>1586</v>
      </c>
      <c r="O3135" s="296" t="s">
        <v>2180</v>
      </c>
      <c r="Q3135" s="296"/>
      <c r="S3135" s="252">
        <v>6</v>
      </c>
      <c r="T3135" s="252" t="s">
        <v>868</v>
      </c>
      <c r="U3135" s="296" t="s">
        <v>1517</v>
      </c>
      <c r="V3135" s="252">
        <f t="shared" si="296"/>
        <v>89.6</v>
      </c>
      <c r="W3135" s="253" t="s">
        <v>868</v>
      </c>
      <c r="X3135" s="252">
        <f t="shared" si="297"/>
        <v>537.6</v>
      </c>
    </row>
    <row r="3136" spans="6:24" ht="24" customHeight="1">
      <c r="H3136" s="296" t="s">
        <v>1257</v>
      </c>
      <c r="O3136" s="296" t="s">
        <v>2181</v>
      </c>
      <c r="Q3136" s="296"/>
      <c r="S3136" s="252">
        <v>4</v>
      </c>
      <c r="T3136" s="252" t="s">
        <v>868</v>
      </c>
      <c r="U3136" s="296" t="s">
        <v>3547</v>
      </c>
      <c r="V3136" s="252">
        <f t="shared" si="296"/>
        <v>82.25</v>
      </c>
      <c r="W3136" s="253" t="s">
        <v>868</v>
      </c>
      <c r="X3136" s="252">
        <f t="shared" si="297"/>
        <v>329</v>
      </c>
    </row>
    <row r="3137" spans="6:24" ht="24" customHeight="1">
      <c r="H3137" s="296" t="s">
        <v>975</v>
      </c>
      <c r="I3137" s="296" t="s">
        <v>975</v>
      </c>
      <c r="K3137" s="443" t="s">
        <v>975</v>
      </c>
      <c r="O3137" s="296" t="s">
        <v>2182</v>
      </c>
      <c r="Q3137" s="296"/>
      <c r="S3137" s="252">
        <v>2</v>
      </c>
      <c r="T3137" s="252" t="s">
        <v>868</v>
      </c>
      <c r="U3137" s="296" t="s">
        <v>3548</v>
      </c>
      <c r="V3137" s="252">
        <f t="shared" si="296"/>
        <v>57.65</v>
      </c>
      <c r="W3137" s="253" t="s">
        <v>868</v>
      </c>
      <c r="X3137" s="252">
        <f t="shared" si="297"/>
        <v>115.3</v>
      </c>
    </row>
    <row r="3138" spans="6:24" ht="24" customHeight="1">
      <c r="J3138" s="296" t="s">
        <v>975</v>
      </c>
      <c r="K3138" s="296" t="s">
        <v>975</v>
      </c>
      <c r="O3138" s="296" t="s">
        <v>2183</v>
      </c>
      <c r="Q3138" s="296"/>
      <c r="S3138" s="252">
        <v>2</v>
      </c>
      <c r="T3138" s="252" t="s">
        <v>868</v>
      </c>
      <c r="U3138" s="296" t="s">
        <v>1980</v>
      </c>
      <c r="V3138" s="252">
        <f t="shared" si="296"/>
        <v>7.3</v>
      </c>
      <c r="W3138" s="253" t="s">
        <v>868</v>
      </c>
      <c r="X3138" s="252">
        <f t="shared" si="297"/>
        <v>14.6</v>
      </c>
    </row>
    <row r="3139" spans="6:24" ht="24" customHeight="1">
      <c r="H3139" s="296" t="s">
        <v>3034</v>
      </c>
      <c r="J3139" s="443" t="s">
        <v>975</v>
      </c>
      <c r="K3139" s="443" t="s">
        <v>975</v>
      </c>
      <c r="O3139" s="360" t="s">
        <v>2436</v>
      </c>
      <c r="Q3139" s="296"/>
      <c r="S3139" s="252">
        <v>10</v>
      </c>
      <c r="T3139" s="252" t="s">
        <v>868</v>
      </c>
      <c r="U3139" s="296" t="s">
        <v>1336</v>
      </c>
      <c r="V3139" s="252">
        <f t="shared" si="296"/>
        <v>2.41</v>
      </c>
      <c r="W3139" s="253" t="s">
        <v>868</v>
      </c>
      <c r="X3139" s="252">
        <f t="shared" si="297"/>
        <v>24.1</v>
      </c>
    </row>
    <row r="3140" spans="6:24" ht="24" customHeight="1">
      <c r="H3140" s="296" t="s">
        <v>3035</v>
      </c>
      <c r="K3140" s="443">
        <v>1.26</v>
      </c>
      <c r="O3140" s="296" t="s">
        <v>2437</v>
      </c>
      <c r="P3140" s="316">
        <f>1.1*2.05</f>
        <v>2.2549999999999999</v>
      </c>
      <c r="Q3140" s="296" t="s">
        <v>233</v>
      </c>
      <c r="S3140" s="252"/>
      <c r="U3140" s="296"/>
      <c r="W3140" s="253" t="s">
        <v>868</v>
      </c>
      <c r="X3140" s="358" t="s">
        <v>1586</v>
      </c>
    </row>
    <row r="3141" spans="6:24" ht="24" customHeight="1">
      <c r="K3141" s="296" t="s">
        <v>975</v>
      </c>
      <c r="O3141" s="296" t="s">
        <v>3791</v>
      </c>
      <c r="P3141" s="400">
        <f>2*2.05*0.075*0.0375</f>
        <v>1.153E-2</v>
      </c>
      <c r="Q3141" s="296" t="s">
        <v>1341</v>
      </c>
      <c r="S3141" s="252"/>
      <c r="U3141" s="25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255"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298">I3147*F3147</f>
        <v>1510.88</v>
      </c>
      <c r="O3147" s="296" t="s">
        <v>2439</v>
      </c>
      <c r="P3147" s="252">
        <f>1*0.975*1.025</f>
        <v>1</v>
      </c>
      <c r="Q3147" s="296"/>
      <c r="R3147" s="443">
        <v>1.26</v>
      </c>
      <c r="U3147" s="276" t="s">
        <v>4331</v>
      </c>
      <c r="W3147" s="253"/>
    </row>
    <row r="3148" spans="6:24" ht="24" customHeight="1">
      <c r="F3148" s="316">
        <f>K3140</f>
        <v>1.26</v>
      </c>
      <c r="G3148" s="252" t="s">
        <v>609</v>
      </c>
      <c r="H3148" s="296" t="s">
        <v>2091</v>
      </c>
      <c r="I3148" s="252">
        <f>C783</f>
        <v>387.4</v>
      </c>
      <c r="J3148" s="296" t="s">
        <v>609</v>
      </c>
      <c r="K3148" s="252">
        <f t="shared" si="298"/>
        <v>488.12</v>
      </c>
      <c r="P3148" s="274">
        <f>SUM(P3146:P3147)</f>
        <v>1.61</v>
      </c>
      <c r="Q3148" s="296" t="s">
        <v>233</v>
      </c>
      <c r="R3148" s="296" t="s">
        <v>975</v>
      </c>
      <c r="S3148" s="1084" t="s">
        <v>4332</v>
      </c>
      <c r="T3148" s="1084"/>
      <c r="U3148" s="356">
        <f>2*2*0.075*0.0375*1.95</f>
        <v>2.1999999999999999E-2</v>
      </c>
      <c r="W3148" s="253"/>
    </row>
    <row r="3149" spans="6:24" ht="24" customHeight="1">
      <c r="F3149" s="316">
        <v>1.845</v>
      </c>
      <c r="G3149" s="252" t="s">
        <v>609</v>
      </c>
      <c r="H3149" s="296" t="s">
        <v>2092</v>
      </c>
      <c r="I3149" s="252">
        <f>D30</f>
        <v>1281</v>
      </c>
      <c r="J3149" s="296" t="s">
        <v>609</v>
      </c>
      <c r="K3149" s="252">
        <f t="shared" si="298"/>
        <v>2363.4499999999998</v>
      </c>
      <c r="Q3149" s="296"/>
      <c r="R3149" s="443" t="s">
        <v>975</v>
      </c>
      <c r="S3149" s="356" t="s">
        <v>4333</v>
      </c>
      <c r="U3149" s="400">
        <f>2*2*0.065*0.075*0.375</f>
        <v>7.3099999999999997E-3</v>
      </c>
      <c r="W3149" s="253"/>
    </row>
    <row r="3150" spans="6:24" ht="24" customHeight="1">
      <c r="F3150" s="252">
        <v>2</v>
      </c>
      <c r="G3150" s="252" t="s">
        <v>868</v>
      </c>
      <c r="H3150" s="296" t="s">
        <v>2093</v>
      </c>
      <c r="I3150" s="252">
        <f>C284</f>
        <v>64.8</v>
      </c>
      <c r="J3150" s="296" t="s">
        <v>868</v>
      </c>
      <c r="K3150" s="252">
        <f t="shared" si="298"/>
        <v>129.6</v>
      </c>
      <c r="Q3150" s="296"/>
      <c r="R3150" s="296" t="s">
        <v>975</v>
      </c>
      <c r="U3150" s="547">
        <f>SUM(U3148:U3149)</f>
        <v>2.93E-2</v>
      </c>
      <c r="V3150" s="252" t="s">
        <v>4334</v>
      </c>
      <c r="W3150" s="253"/>
    </row>
    <row r="3151" spans="6:24" ht="24" customHeight="1">
      <c r="F3151" s="252">
        <v>3</v>
      </c>
      <c r="G3151" s="252" t="s">
        <v>868</v>
      </c>
      <c r="H3151" s="296" t="s">
        <v>1517</v>
      </c>
      <c r="I3151" s="252">
        <f>C279</f>
        <v>89.6</v>
      </c>
      <c r="J3151" s="296" t="s">
        <v>868</v>
      </c>
      <c r="K3151" s="252">
        <f t="shared" si="298"/>
        <v>268.8</v>
      </c>
      <c r="M3151" s="253" t="s">
        <v>1473</v>
      </c>
      <c r="O3151" s="296" t="s">
        <v>2440</v>
      </c>
      <c r="Q3151" s="296"/>
      <c r="R3151" s="296" t="s">
        <v>975</v>
      </c>
      <c r="S3151" s="356" t="s">
        <v>4335</v>
      </c>
      <c r="U3151" s="356">
        <f>2*0.65*1.95</f>
        <v>2.5350000000000001</v>
      </c>
      <c r="V3151" s="252" t="s">
        <v>915</v>
      </c>
      <c r="W3151" s="253"/>
    </row>
    <row r="3152" spans="6:24" ht="24" customHeight="1">
      <c r="F3152" s="252">
        <v>1</v>
      </c>
      <c r="G3152" s="252" t="s">
        <v>868</v>
      </c>
      <c r="H3152" s="296" t="s">
        <v>1979</v>
      </c>
      <c r="I3152" s="252">
        <f>C286</f>
        <v>181</v>
      </c>
      <c r="J3152" s="296" t="s">
        <v>868</v>
      </c>
      <c r="K3152" s="252">
        <f t="shared" si="298"/>
        <v>181</v>
      </c>
      <c r="O3152" s="358" t="s">
        <v>1586</v>
      </c>
      <c r="Q3152" s="296"/>
      <c r="S3152" s="356" t="s">
        <v>4336</v>
      </c>
      <c r="U3152" s="356">
        <f>1*2*0.525*1.825</f>
        <v>1.9159999999999999</v>
      </c>
      <c r="V3152" s="252" t="s">
        <v>4337</v>
      </c>
      <c r="W3152" s="253"/>
    </row>
    <row r="3153" spans="6:24" ht="24" customHeight="1">
      <c r="F3153" s="252">
        <v>1</v>
      </c>
      <c r="G3153" s="252" t="s">
        <v>868</v>
      </c>
      <c r="H3153" s="296" t="s">
        <v>1980</v>
      </c>
      <c r="I3153" s="252">
        <f>C288</f>
        <v>7.3</v>
      </c>
      <c r="J3153" s="296" t="s">
        <v>868</v>
      </c>
      <c r="K3153" s="252">
        <f t="shared" si="298"/>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4" ht="24" customHeight="1">
      <c r="F3154" s="252">
        <v>1</v>
      </c>
      <c r="G3154" s="252" t="s">
        <v>868</v>
      </c>
      <c r="H3154" s="296" t="s">
        <v>1981</v>
      </c>
      <c r="I3154" s="252">
        <f>C598</f>
        <v>57.65</v>
      </c>
      <c r="J3154" s="296" t="s">
        <v>868</v>
      </c>
      <c r="K3154" s="252">
        <f t="shared" si="298"/>
        <v>57.65</v>
      </c>
      <c r="M3154" s="400">
        <f>P3143</f>
        <v>1.856E-2</v>
      </c>
      <c r="N3154" s="252" t="s">
        <v>869</v>
      </c>
      <c r="O3154" s="296" t="s">
        <v>693</v>
      </c>
      <c r="P3154" s="252">
        <f t="shared" ref="P3154:P3162" si="299">I3147</f>
        <v>99400</v>
      </c>
      <c r="Q3154" s="296" t="s">
        <v>869</v>
      </c>
      <c r="R3154" s="252">
        <f t="shared" ref="R3154:R3163" si="300">P3154*M3154</f>
        <v>1844.86</v>
      </c>
      <c r="S3154" s="253"/>
      <c r="W3154" s="253"/>
      <c r="X3154" s="296" t="s">
        <v>975</v>
      </c>
    </row>
    <row r="3155" spans="6:24" ht="24" customHeight="1">
      <c r="F3155" s="252">
        <v>1</v>
      </c>
      <c r="G3155" s="252" t="s">
        <v>868</v>
      </c>
      <c r="H3155" s="296" t="s">
        <v>1982</v>
      </c>
      <c r="I3155" s="252">
        <f>D598</f>
        <v>49.55</v>
      </c>
      <c r="J3155" s="296" t="s">
        <v>868</v>
      </c>
      <c r="K3155" s="252">
        <f t="shared" si="298"/>
        <v>49.55</v>
      </c>
      <c r="M3155" s="316">
        <f>P3148</f>
        <v>1.61</v>
      </c>
      <c r="N3155" s="252" t="s">
        <v>609</v>
      </c>
      <c r="O3155" s="296" t="s">
        <v>2091</v>
      </c>
      <c r="P3155" s="252">
        <f t="shared" si="299"/>
        <v>387.4</v>
      </c>
      <c r="Q3155" s="296" t="s">
        <v>609</v>
      </c>
      <c r="R3155" s="252">
        <f t="shared" si="300"/>
        <v>623.71</v>
      </c>
      <c r="S3155" s="252"/>
      <c r="U3155" s="358" t="s">
        <v>1586</v>
      </c>
      <c r="W3155" s="253"/>
    </row>
    <row r="3156" spans="6:24" ht="24" customHeight="1">
      <c r="H3156" s="252" t="s">
        <v>1336</v>
      </c>
      <c r="K3156" s="407">
        <f>10*2.18</f>
        <v>21.8</v>
      </c>
      <c r="M3156" s="316">
        <f>P3140</f>
        <v>2.2549999999999999</v>
      </c>
      <c r="N3156" s="252" t="s">
        <v>609</v>
      </c>
      <c r="O3156" s="296" t="s">
        <v>2092</v>
      </c>
      <c r="P3156" s="252">
        <f t="shared" si="299"/>
        <v>1281</v>
      </c>
      <c r="Q3156" s="296" t="s">
        <v>609</v>
      </c>
      <c r="R3156" s="252">
        <f t="shared" si="300"/>
        <v>2888.66</v>
      </c>
      <c r="S3156" s="400">
        <v>9.2099999999999994E-3</v>
      </c>
      <c r="T3156" s="252" t="s">
        <v>869</v>
      </c>
      <c r="U3156" s="296"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299"/>
        <v>64.8</v>
      </c>
      <c r="Q3157" s="296" t="s">
        <v>868</v>
      </c>
      <c r="R3157" s="252">
        <f t="shared" si="300"/>
        <v>129.6</v>
      </c>
      <c r="S3157" s="400">
        <v>0.65249999999999997</v>
      </c>
      <c r="T3157" s="252" t="s">
        <v>609</v>
      </c>
      <c r="U3157" s="296" t="s">
        <v>3545</v>
      </c>
      <c r="V3157" s="252">
        <f>V3132</f>
        <v>306.89999999999998</v>
      </c>
      <c r="W3157" s="253" t="s">
        <v>869</v>
      </c>
      <c r="X3157" s="252">
        <f t="shared" ref="X3157:X3164" si="301">V3157*S3157</f>
        <v>200.25</v>
      </c>
    </row>
    <row r="3158" spans="6:24" ht="24" customHeight="1">
      <c r="G3158" s="252" t="s">
        <v>975</v>
      </c>
      <c r="K3158" s="358" t="s">
        <v>1586</v>
      </c>
      <c r="M3158" s="252">
        <v>3</v>
      </c>
      <c r="N3158" s="252" t="s">
        <v>868</v>
      </c>
      <c r="O3158" s="296" t="s">
        <v>1517</v>
      </c>
      <c r="P3158" s="252">
        <f t="shared" si="299"/>
        <v>89.6</v>
      </c>
      <c r="Q3158" s="296" t="s">
        <v>868</v>
      </c>
      <c r="R3158" s="252">
        <f t="shared" si="300"/>
        <v>268.8</v>
      </c>
      <c r="S3158" s="316">
        <v>0.879</v>
      </c>
      <c r="T3158" s="252" t="s">
        <v>609</v>
      </c>
      <c r="U3158" s="296" t="s">
        <v>2092</v>
      </c>
      <c r="V3158" s="252">
        <f t="shared" ref="V3158:V3163" si="302">V3133</f>
        <v>1436</v>
      </c>
      <c r="W3158" s="253" t="s">
        <v>609</v>
      </c>
      <c r="X3158" s="252">
        <f t="shared" si="301"/>
        <v>1262.24</v>
      </c>
    </row>
    <row r="3159" spans="6:24" ht="24" customHeight="1">
      <c r="H3159" s="255" t="s">
        <v>552</v>
      </c>
      <c r="K3159" s="274">
        <f>K3157/F3149</f>
        <v>3449.81</v>
      </c>
      <c r="M3159" s="252">
        <v>1</v>
      </c>
      <c r="N3159" s="252" t="s">
        <v>868</v>
      </c>
      <c r="O3159" s="296" t="s">
        <v>1979</v>
      </c>
      <c r="P3159" s="252">
        <f t="shared" si="299"/>
        <v>181</v>
      </c>
      <c r="Q3159" s="296" t="s">
        <v>868</v>
      </c>
      <c r="R3159" s="252">
        <f t="shared" si="300"/>
        <v>181</v>
      </c>
      <c r="S3159" s="316">
        <v>4.3250000000000002</v>
      </c>
      <c r="T3159" s="252" t="s">
        <v>3550</v>
      </c>
      <c r="U3159" s="296" t="s">
        <v>3546</v>
      </c>
      <c r="V3159" s="252">
        <f t="shared" si="302"/>
        <v>15.45</v>
      </c>
      <c r="W3159" s="253" t="s">
        <v>609</v>
      </c>
      <c r="X3159" s="252">
        <f t="shared" si="301"/>
        <v>66.819999999999993</v>
      </c>
    </row>
    <row r="3160" spans="6:24" ht="24" customHeight="1">
      <c r="K3160" s="358" t="s">
        <v>2055</v>
      </c>
      <c r="M3160" s="252">
        <v>1</v>
      </c>
      <c r="N3160" s="252" t="s">
        <v>868</v>
      </c>
      <c r="O3160" s="296" t="s">
        <v>1980</v>
      </c>
      <c r="P3160" s="252">
        <f t="shared" si="299"/>
        <v>7.3</v>
      </c>
      <c r="Q3160" s="296" t="s">
        <v>868</v>
      </c>
      <c r="R3160" s="252">
        <f t="shared" si="300"/>
        <v>7.3</v>
      </c>
      <c r="S3160" s="252">
        <v>3</v>
      </c>
      <c r="T3160" s="252" t="s">
        <v>868</v>
      </c>
      <c r="U3160" s="296" t="s">
        <v>1517</v>
      </c>
      <c r="V3160" s="252">
        <f t="shared" si="302"/>
        <v>89.6</v>
      </c>
      <c r="W3160" s="253" t="s">
        <v>868</v>
      </c>
      <c r="X3160" s="252">
        <f t="shared" si="301"/>
        <v>268.8</v>
      </c>
    </row>
    <row r="3161" spans="6:24" ht="24" customHeight="1">
      <c r="M3161" s="252">
        <v>1</v>
      </c>
      <c r="N3161" s="252" t="s">
        <v>868</v>
      </c>
      <c r="O3161" s="296" t="s">
        <v>1981</v>
      </c>
      <c r="P3161" s="252">
        <f t="shared" si="299"/>
        <v>57.65</v>
      </c>
      <c r="Q3161" s="296" t="s">
        <v>868</v>
      </c>
      <c r="R3161" s="252">
        <f t="shared" si="300"/>
        <v>57.65</v>
      </c>
      <c r="S3161" s="252">
        <v>2</v>
      </c>
      <c r="T3161" s="252" t="s">
        <v>868</v>
      </c>
      <c r="U3161" s="296" t="s">
        <v>3547</v>
      </c>
      <c r="V3161" s="252">
        <f t="shared" si="302"/>
        <v>82.25</v>
      </c>
      <c r="W3161" s="253" t="s">
        <v>868</v>
      </c>
      <c r="X3161" s="252">
        <f t="shared" si="301"/>
        <v>164.5</v>
      </c>
    </row>
    <row r="3162" spans="6:24" ht="24" customHeight="1">
      <c r="M3162" s="252">
        <v>1</v>
      </c>
      <c r="N3162" s="252" t="s">
        <v>868</v>
      </c>
      <c r="O3162" s="296" t="s">
        <v>1982</v>
      </c>
      <c r="P3162" s="252">
        <f t="shared" si="299"/>
        <v>49.55</v>
      </c>
      <c r="Q3162" s="296" t="s">
        <v>868</v>
      </c>
      <c r="R3162" s="252">
        <f t="shared" si="300"/>
        <v>49.55</v>
      </c>
      <c r="S3162" s="252">
        <v>1</v>
      </c>
      <c r="T3162" s="252" t="s">
        <v>868</v>
      </c>
      <c r="U3162" s="296" t="s">
        <v>3548</v>
      </c>
      <c r="V3162" s="252">
        <f t="shared" si="302"/>
        <v>57.65</v>
      </c>
      <c r="W3162" s="253" t="s">
        <v>868</v>
      </c>
      <c r="X3162" s="252">
        <f t="shared" si="301"/>
        <v>57.65</v>
      </c>
    </row>
    <row r="3163" spans="6:24" ht="24" customHeight="1">
      <c r="M3163" s="252">
        <v>58</v>
      </c>
      <c r="O3163" s="252" t="s">
        <v>1336</v>
      </c>
      <c r="P3163" s="252">
        <f>P2864</f>
        <v>2.41</v>
      </c>
      <c r="Q3163" s="296"/>
      <c r="R3163" s="252">
        <f t="shared" si="300"/>
        <v>139.78</v>
      </c>
      <c r="S3163" s="252">
        <v>1</v>
      </c>
      <c r="T3163" s="252" t="s">
        <v>868</v>
      </c>
      <c r="U3163" s="296" t="s">
        <v>1980</v>
      </c>
      <c r="V3163" s="252">
        <f t="shared" si="302"/>
        <v>7.3</v>
      </c>
      <c r="W3163" s="253" t="s">
        <v>868</v>
      </c>
      <c r="X3163" s="252">
        <f t="shared" si="301"/>
        <v>7.3</v>
      </c>
    </row>
    <row r="3164" spans="6:24" ht="24" customHeight="1">
      <c r="O3164" s="253" t="s">
        <v>3394</v>
      </c>
      <c r="Q3164" s="296"/>
      <c r="R3164" s="252">
        <f>SUM(R3153:R3163)</f>
        <v>7477.66</v>
      </c>
      <c r="S3164" s="252">
        <v>36</v>
      </c>
      <c r="T3164" s="252" t="s">
        <v>868</v>
      </c>
      <c r="U3164" s="296" t="s">
        <v>1336</v>
      </c>
      <c r="V3164" s="252">
        <f>V3139</f>
        <v>2.41</v>
      </c>
      <c r="W3164" s="253" t="s">
        <v>868</v>
      </c>
      <c r="X3164" s="252">
        <f t="shared" si="301"/>
        <v>86.76</v>
      </c>
    </row>
    <row r="3165" spans="6:24" ht="24" customHeight="1">
      <c r="N3165" s="252" t="s">
        <v>975</v>
      </c>
      <c r="Q3165" s="296"/>
      <c r="R3165" s="358" t="s">
        <v>1586</v>
      </c>
      <c r="S3165" s="252"/>
      <c r="U3165" s="296"/>
      <c r="W3165" s="253" t="s">
        <v>868</v>
      </c>
      <c r="X3165" s="358" t="s">
        <v>1586</v>
      </c>
    </row>
    <row r="3166" spans="6:24" ht="24" customHeight="1">
      <c r="H3166" s="252" t="s">
        <v>4245</v>
      </c>
      <c r="J3166" s="252"/>
      <c r="O3166" s="255" t="s">
        <v>552</v>
      </c>
      <c r="Q3166" s="296"/>
      <c r="R3166" s="274">
        <f>R3164/M3156</f>
        <v>3316.04</v>
      </c>
      <c r="S3166" s="252"/>
      <c r="U3166" s="255"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6161</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03">P3189*M3189</f>
        <v>3271.25</v>
      </c>
      <c r="W3189" s="253"/>
    </row>
    <row r="3190" spans="6:23" ht="24" customHeight="1">
      <c r="J3190" s="252"/>
      <c r="M3190" s="400">
        <v>2.5999999999999999E-2</v>
      </c>
      <c r="N3190" s="252" t="s">
        <v>869</v>
      </c>
      <c r="O3190" s="296" t="s">
        <v>3263</v>
      </c>
      <c r="P3190" s="362">
        <v>107000</v>
      </c>
      <c r="Q3190" s="253" t="s">
        <v>869</v>
      </c>
      <c r="R3190" s="252">
        <f t="shared" si="303"/>
        <v>2782</v>
      </c>
      <c r="W3190" s="253"/>
    </row>
    <row r="3191" spans="6:23" ht="24" customHeight="1">
      <c r="J3191" s="252"/>
      <c r="L3191" s="252">
        <f>K3225</f>
        <v>530.36</v>
      </c>
      <c r="M3191" s="316"/>
      <c r="O3191" s="296" t="s">
        <v>3910</v>
      </c>
      <c r="Q3191" s="253"/>
      <c r="R3191" s="252">
        <f t="shared" si="303"/>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03"/>
        <v>4798.51</v>
      </c>
      <c r="W3192" s="253"/>
    </row>
    <row r="3193" spans="6:23" ht="24" customHeight="1">
      <c r="H3193" s="252" t="s">
        <v>1045</v>
      </c>
      <c r="J3193" s="252"/>
      <c r="M3193" s="252">
        <v>4</v>
      </c>
      <c r="N3193" s="252" t="s">
        <v>769</v>
      </c>
      <c r="O3193" s="296" t="s">
        <v>3264</v>
      </c>
      <c r="P3193" s="252">
        <f>I2637</f>
        <v>254.5</v>
      </c>
      <c r="Q3193" s="253" t="s">
        <v>868</v>
      </c>
      <c r="R3193" s="252">
        <f t="shared" si="303"/>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3"/>
        <v>716.8</v>
      </c>
      <c r="W3194" s="253"/>
    </row>
    <row r="3195" spans="6:23" ht="24" customHeight="1">
      <c r="J3195" s="252"/>
      <c r="L3195" s="252">
        <f>SUM(L3191:L3194)</f>
        <v>1493.41</v>
      </c>
      <c r="M3195" s="252">
        <v>4</v>
      </c>
      <c r="N3195" s="252" t="s">
        <v>868</v>
      </c>
      <c r="O3195" s="406" t="s">
        <v>5355</v>
      </c>
      <c r="P3195" s="362">
        <v>97.85</v>
      </c>
      <c r="Q3195" s="253" t="s">
        <v>868</v>
      </c>
      <c r="R3195" s="252">
        <f t="shared" si="303"/>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3"/>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03"/>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03"/>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3"/>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6161</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4">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4"/>
        <v>898.8</v>
      </c>
      <c r="W3223" s="253"/>
    </row>
    <row r="3224" spans="6:23" ht="24" customHeight="1">
      <c r="J3224" s="253"/>
      <c r="M3224" s="316"/>
      <c r="O3224" s="296" t="s">
        <v>3530</v>
      </c>
      <c r="Q3224" s="253"/>
      <c r="R3224" s="252">
        <f t="shared" si="304"/>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4"/>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04"/>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04"/>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4"/>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04"/>
        <v>716.8</v>
      </c>
      <c r="W3229" s="253"/>
    </row>
    <row r="3230" spans="6:23" ht="24" customHeight="1">
      <c r="J3230" s="253"/>
      <c r="M3230" s="252">
        <v>4</v>
      </c>
      <c r="N3230" s="252" t="s">
        <v>868</v>
      </c>
      <c r="O3230" s="296" t="s">
        <v>3265</v>
      </c>
      <c r="P3230" s="252">
        <f>P3195</f>
        <v>97.85</v>
      </c>
      <c r="Q3230" s="253" t="s">
        <v>868</v>
      </c>
      <c r="R3230" s="252">
        <f t="shared" si="304"/>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04"/>
        <v>209.9</v>
      </c>
      <c r="W3231" s="253"/>
    </row>
    <row r="3232" spans="6:23" ht="24" customHeight="1">
      <c r="J3232" s="253"/>
      <c r="L3232" s="252">
        <f>K3266</f>
        <v>284.39999999999998</v>
      </c>
      <c r="M3232" s="252">
        <v>2</v>
      </c>
      <c r="N3232" s="252" t="s">
        <v>868</v>
      </c>
      <c r="O3232" s="296" t="s">
        <v>3267</v>
      </c>
      <c r="P3232" s="252">
        <f>P3197</f>
        <v>23.1</v>
      </c>
      <c r="Q3232" s="253" t="s">
        <v>868</v>
      </c>
      <c r="R3232" s="252">
        <f t="shared" si="304"/>
        <v>46.2</v>
      </c>
      <c r="W3232" s="253"/>
    </row>
    <row r="3233" spans="6:24" ht="24" customHeight="1">
      <c r="J3233" s="253"/>
      <c r="L3233" s="252">
        <f>K3267</f>
        <v>199.25</v>
      </c>
      <c r="M3233" s="252">
        <v>2</v>
      </c>
      <c r="N3233" s="252" t="s">
        <v>868</v>
      </c>
      <c r="O3233" s="296" t="s">
        <v>3268</v>
      </c>
      <c r="P3233" s="252">
        <f>P3198</f>
        <v>49.55</v>
      </c>
      <c r="Q3233" s="253" t="s">
        <v>868</v>
      </c>
      <c r="R3233" s="252">
        <f t="shared" si="304"/>
        <v>99.1</v>
      </c>
      <c r="W3233" s="253"/>
    </row>
    <row r="3234" spans="6:24" ht="24" customHeight="1">
      <c r="J3234" s="253"/>
      <c r="L3234" s="252">
        <f>K3268</f>
        <v>162.75</v>
      </c>
      <c r="M3234" s="252">
        <v>118</v>
      </c>
      <c r="N3234" s="252" t="s">
        <v>868</v>
      </c>
      <c r="O3234" s="252" t="s">
        <v>1336</v>
      </c>
      <c r="P3234" s="252">
        <f>P3199</f>
        <v>2.41</v>
      </c>
      <c r="Q3234" s="253" t="s">
        <v>868</v>
      </c>
      <c r="R3234" s="252">
        <f t="shared" si="304"/>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6161</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274"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row>
    <row r="3249" spans="6:24" ht="30" customHeight="1">
      <c r="H3249" s="296" t="s">
        <v>1922</v>
      </c>
      <c r="J3249" s="252"/>
      <c r="Q3249" s="358" t="s">
        <v>1586</v>
      </c>
      <c r="S3249" s="593">
        <v>1.54</v>
      </c>
      <c r="T3249" s="274" t="s">
        <v>609</v>
      </c>
      <c r="U3249" s="274" t="s">
        <v>1889</v>
      </c>
      <c r="V3249" s="274">
        <f t="shared" ref="V3249:V3258" si="305">I3281</f>
        <v>2152</v>
      </c>
      <c r="W3249" s="255" t="s">
        <v>2283</v>
      </c>
      <c r="X3249" s="274">
        <f t="shared" ref="X3249:X3258" si="306">V3249*S3249</f>
        <v>3314.08</v>
      </c>
    </row>
    <row r="3250" spans="6:24" ht="30" customHeight="1">
      <c r="H3250" s="296" t="s">
        <v>2572</v>
      </c>
      <c r="J3250" s="252"/>
      <c r="Q3250" s="589">
        <v>2.5590000000000002E-2</v>
      </c>
      <c r="R3250" s="252" t="s">
        <v>2151</v>
      </c>
      <c r="S3250" s="593">
        <v>3.9E-2</v>
      </c>
      <c r="T3250" s="274" t="s">
        <v>869</v>
      </c>
      <c r="U3250" s="430" t="s">
        <v>937</v>
      </c>
      <c r="V3250" s="274">
        <f t="shared" si="305"/>
        <v>95000</v>
      </c>
      <c r="W3250" s="255" t="s">
        <v>869</v>
      </c>
      <c r="X3250" s="274">
        <f t="shared" si="306"/>
        <v>3705</v>
      </c>
    </row>
    <row r="3251" spans="6:24" ht="30" customHeight="1">
      <c r="J3251" s="252"/>
      <c r="Q3251" s="358" t="s">
        <v>1586</v>
      </c>
      <c r="S3251" s="593">
        <v>3.488</v>
      </c>
      <c r="T3251" s="274" t="s">
        <v>609</v>
      </c>
      <c r="U3251" s="430" t="s">
        <v>883</v>
      </c>
      <c r="V3251" s="274">
        <f t="shared" si="305"/>
        <v>1537</v>
      </c>
      <c r="W3251" s="255" t="s">
        <v>609</v>
      </c>
      <c r="X3251" s="274">
        <f t="shared" si="306"/>
        <v>5361.06</v>
      </c>
    </row>
    <row r="3252" spans="6:24" ht="30" customHeight="1">
      <c r="F3252" s="252">
        <v>0.22</v>
      </c>
      <c r="G3252" s="252" t="s">
        <v>869</v>
      </c>
      <c r="H3252" s="296" t="s">
        <v>1625</v>
      </c>
      <c r="I3252" s="252">
        <f>K49</f>
        <v>3319.98</v>
      </c>
      <c r="J3252" s="253" t="s">
        <v>869</v>
      </c>
      <c r="K3252" s="252">
        <f>(F3252*I3252)</f>
        <v>730.4</v>
      </c>
      <c r="O3252" s="296" t="s">
        <v>3280</v>
      </c>
      <c r="Q3252" s="590">
        <v>1.0999999999999999E-2</v>
      </c>
      <c r="R3252" s="400"/>
      <c r="S3252" s="593">
        <v>6</v>
      </c>
      <c r="T3252" s="274" t="s">
        <v>1873</v>
      </c>
      <c r="U3252" s="274" t="s">
        <v>1890</v>
      </c>
      <c r="V3252" s="274">
        <f t="shared" si="305"/>
        <v>214.1</v>
      </c>
      <c r="W3252" s="255" t="s">
        <v>1398</v>
      </c>
      <c r="X3252" s="274">
        <f t="shared" si="306"/>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274" t="s">
        <v>1891</v>
      </c>
      <c r="V3253" s="274">
        <f t="shared" si="305"/>
        <v>1020</v>
      </c>
      <c r="W3253" s="255" t="s">
        <v>1398</v>
      </c>
      <c r="X3253" s="274">
        <f t="shared" si="306"/>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274" t="s">
        <v>1892</v>
      </c>
      <c r="V3254" s="274">
        <f t="shared" si="305"/>
        <v>540</v>
      </c>
      <c r="W3254" s="255" t="s">
        <v>1398</v>
      </c>
      <c r="X3254" s="274">
        <f t="shared" si="306"/>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274" t="s">
        <v>1893</v>
      </c>
      <c r="V3255" s="274">
        <f t="shared" si="305"/>
        <v>764</v>
      </c>
      <c r="W3255" s="255" t="s">
        <v>1398</v>
      </c>
      <c r="X3255" s="274">
        <f t="shared" si="306"/>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274" t="s">
        <v>1894</v>
      </c>
      <c r="V3256" s="274">
        <f t="shared" si="305"/>
        <v>985</v>
      </c>
      <c r="W3256" s="255" t="s">
        <v>1398</v>
      </c>
      <c r="X3256" s="274">
        <f t="shared" si="306"/>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5"/>
        <v>450</v>
      </c>
      <c r="W3257" s="255" t="s">
        <v>1398</v>
      </c>
      <c r="X3257" s="274">
        <f t="shared" si="306"/>
        <v>900</v>
      </c>
    </row>
    <row r="3258" spans="6:24" ht="30" customHeight="1">
      <c r="H3258" s="296" t="s">
        <v>441</v>
      </c>
      <c r="J3258" s="253"/>
      <c r="K3258" s="252">
        <f>SUM(K3252:K3257)</f>
        <v>5064.5</v>
      </c>
      <c r="M3258" s="400">
        <v>2.5590000000000002E-2</v>
      </c>
      <c r="N3258" s="252" t="s">
        <v>869</v>
      </c>
      <c r="O3258" s="296" t="s">
        <v>309</v>
      </c>
      <c r="P3258" s="252">
        <f>P3189</f>
        <v>99400</v>
      </c>
      <c r="Q3258" s="253" t="s">
        <v>869</v>
      </c>
      <c r="R3258" s="252">
        <f t="shared" ref="R3258:R3268" si="307">P3258*M3258</f>
        <v>2543.65</v>
      </c>
      <c r="S3258" s="593">
        <v>0</v>
      </c>
      <c r="T3258" s="274" t="s">
        <v>1432</v>
      </c>
      <c r="U3258" s="274" t="s">
        <v>6162</v>
      </c>
      <c r="V3258" s="274">
        <f t="shared" si="305"/>
        <v>2.41</v>
      </c>
      <c r="W3258" s="255" t="s">
        <v>1398</v>
      </c>
      <c r="X3258" s="545">
        <f t="shared" si="306"/>
        <v>0</v>
      </c>
    </row>
    <row r="3259" spans="6:24" ht="30" customHeight="1">
      <c r="J3259" s="253"/>
      <c r="K3259" s="358" t="s">
        <v>1586</v>
      </c>
      <c r="M3259" s="400">
        <v>1.6299999999999999E-2</v>
      </c>
      <c r="N3259" s="252" t="s">
        <v>869</v>
      </c>
      <c r="O3259" s="393" t="s">
        <v>3282</v>
      </c>
      <c r="P3259" s="252">
        <f>AC28</f>
        <v>95000</v>
      </c>
      <c r="Q3259" s="253" t="s">
        <v>869</v>
      </c>
      <c r="R3259" s="252">
        <f t="shared" si="307"/>
        <v>1548.5</v>
      </c>
      <c r="S3259" s="593"/>
      <c r="T3259" s="274"/>
      <c r="U3259" s="274" t="s">
        <v>1896</v>
      </c>
      <c r="V3259" s="274"/>
      <c r="W3259" s="255"/>
      <c r="X3259" s="274">
        <f>SUM(X3247:X3258)</f>
        <v>30979.74</v>
      </c>
    </row>
    <row r="3260" spans="6:24" ht="30" customHeight="1">
      <c r="H3260" s="296" t="s">
        <v>552</v>
      </c>
      <c r="J3260" s="253"/>
      <c r="K3260" s="252">
        <f>(K3258/10)</f>
        <v>506.45</v>
      </c>
      <c r="M3260" s="316"/>
      <c r="O3260" s="296" t="s">
        <v>945</v>
      </c>
      <c r="Q3260" s="253"/>
      <c r="R3260" s="252">
        <f t="shared" si="307"/>
        <v>0</v>
      </c>
      <c r="S3260" s="593"/>
      <c r="T3260" s="274"/>
      <c r="U3260" s="274"/>
      <c r="V3260" s="274"/>
      <c r="W3260" s="255"/>
      <c r="X3260" s="545" t="s">
        <v>146</v>
      </c>
    </row>
    <row r="3261" spans="6:24" ht="30" customHeight="1">
      <c r="J3261" s="253"/>
      <c r="K3261" s="358" t="s">
        <v>2055</v>
      </c>
      <c r="M3261" s="316">
        <v>2.4279999999999999</v>
      </c>
      <c r="N3261" s="252" t="s">
        <v>609</v>
      </c>
      <c r="O3261" s="296" t="s">
        <v>447</v>
      </c>
      <c r="P3261" s="252">
        <f t="shared" ref="P3261:P3267" si="308">P3192</f>
        <v>1537</v>
      </c>
      <c r="Q3261" s="253" t="s">
        <v>609</v>
      </c>
      <c r="R3261" s="252">
        <f t="shared" si="307"/>
        <v>3731.84</v>
      </c>
      <c r="S3261" s="593"/>
      <c r="T3261" s="274"/>
      <c r="U3261" s="274"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07"/>
        <v>230.6</v>
      </c>
      <c r="S3262" s="593"/>
      <c r="T3262" s="274"/>
      <c r="U3262" s="274"/>
      <c r="V3262" s="274"/>
      <c r="W3262" s="255"/>
      <c r="X3262" s="545" t="s">
        <v>146</v>
      </c>
    </row>
    <row r="3263" spans="6:24" ht="24" customHeight="1">
      <c r="J3263" s="252"/>
      <c r="M3263" s="252">
        <v>8</v>
      </c>
      <c r="N3263" s="252" t="s">
        <v>868</v>
      </c>
      <c r="O3263" s="296" t="s">
        <v>1464</v>
      </c>
      <c r="P3263" s="252">
        <f>P3229</f>
        <v>89.6</v>
      </c>
      <c r="Q3263" s="253" t="s">
        <v>868</v>
      </c>
      <c r="R3263" s="252">
        <f t="shared" si="307"/>
        <v>716.8</v>
      </c>
      <c r="W3263" s="253"/>
    </row>
    <row r="3264" spans="6:24" ht="24" customHeight="1">
      <c r="F3264" s="253" t="s">
        <v>30</v>
      </c>
      <c r="G3264" s="252" t="s">
        <v>2251</v>
      </c>
      <c r="H3264" s="253" t="s">
        <v>3390</v>
      </c>
      <c r="J3264" s="253"/>
      <c r="M3264" s="252">
        <v>4</v>
      </c>
      <c r="N3264" s="252" t="s">
        <v>868</v>
      </c>
      <c r="O3264" s="296" t="s">
        <v>3265</v>
      </c>
      <c r="P3264" s="252">
        <f t="shared" si="308"/>
        <v>97.85</v>
      </c>
      <c r="Q3264" s="253" t="s">
        <v>868</v>
      </c>
      <c r="R3264" s="252">
        <f t="shared" si="307"/>
        <v>391.4</v>
      </c>
      <c r="W3264" s="253"/>
    </row>
    <row r="3265" spans="6:23" ht="24" customHeight="1">
      <c r="H3265" s="253" t="s">
        <v>32</v>
      </c>
      <c r="J3265" s="253"/>
      <c r="M3265" s="252">
        <v>1</v>
      </c>
      <c r="N3265" s="252" t="s">
        <v>868</v>
      </c>
      <c r="O3265" s="296" t="s">
        <v>3266</v>
      </c>
      <c r="P3265" s="252">
        <f t="shared" si="308"/>
        <v>209.9</v>
      </c>
      <c r="Q3265" s="253" t="s">
        <v>868</v>
      </c>
      <c r="R3265" s="252">
        <f t="shared" si="307"/>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8"/>
        <v>23.1</v>
      </c>
      <c r="Q3266" s="253" t="s">
        <v>868</v>
      </c>
      <c r="R3266" s="252">
        <f t="shared" si="307"/>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08"/>
        <v>49.55</v>
      </c>
      <c r="Q3267" s="253" t="s">
        <v>868</v>
      </c>
      <c r="R3267" s="252">
        <f t="shared" si="307"/>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07"/>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6161</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09">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09"/>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09"/>
        <v>4645.58</v>
      </c>
      <c r="Q3283" s="358" t="s">
        <v>1586</v>
      </c>
      <c r="W3283" s="253"/>
    </row>
    <row r="3284" spans="6:23" ht="24" customHeight="1">
      <c r="F3284" s="274">
        <v>6</v>
      </c>
      <c r="G3284" s="274" t="s">
        <v>1873</v>
      </c>
      <c r="H3284" s="274" t="s">
        <v>5907</v>
      </c>
      <c r="I3284" s="595">
        <v>214.1</v>
      </c>
      <c r="J3284" s="276" t="s">
        <v>1398</v>
      </c>
      <c r="K3284" s="274">
        <f t="shared" si="309"/>
        <v>1284.5999999999999</v>
      </c>
      <c r="Q3284" s="589">
        <v>2.5590000000000002E-2</v>
      </c>
      <c r="R3284" s="252" t="s">
        <v>2151</v>
      </c>
      <c r="W3284" s="253"/>
    </row>
    <row r="3285" spans="6:23" ht="24" customHeight="1">
      <c r="F3285" s="274">
        <v>1</v>
      </c>
      <c r="G3285" s="274" t="s">
        <v>1873</v>
      </c>
      <c r="H3285" s="274" t="s">
        <v>5908</v>
      </c>
      <c r="I3285" s="366">
        <v>1020</v>
      </c>
      <c r="J3285" s="276" t="s">
        <v>1398</v>
      </c>
      <c r="K3285" s="274">
        <f t="shared" si="309"/>
        <v>1020</v>
      </c>
      <c r="Q3285" s="358" t="s">
        <v>1586</v>
      </c>
      <c r="W3285" s="253"/>
    </row>
    <row r="3286" spans="6:23" ht="24" customHeight="1">
      <c r="F3286" s="274">
        <v>2</v>
      </c>
      <c r="G3286" s="274" t="s">
        <v>1873</v>
      </c>
      <c r="H3286" s="274" t="s">
        <v>1892</v>
      </c>
      <c r="I3286" s="366">
        <v>540</v>
      </c>
      <c r="J3286" s="276" t="s">
        <v>1398</v>
      </c>
      <c r="K3286" s="274">
        <f t="shared" si="309"/>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09"/>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09"/>
        <v>985</v>
      </c>
      <c r="O3288" s="296"/>
      <c r="Q3288" s="358" t="s">
        <v>1586</v>
      </c>
      <c r="R3288" s="400"/>
      <c r="W3288" s="253"/>
    </row>
    <row r="3289" spans="6:23" ht="24" customHeight="1">
      <c r="F3289" s="274">
        <v>2</v>
      </c>
      <c r="G3289" s="274" t="s">
        <v>1873</v>
      </c>
      <c r="H3289" s="274" t="s">
        <v>1895</v>
      </c>
      <c r="I3289" s="456">
        <v>450</v>
      </c>
      <c r="J3289" s="276" t="s">
        <v>1398</v>
      </c>
      <c r="K3289" s="274">
        <f t="shared" si="309"/>
        <v>900</v>
      </c>
      <c r="O3289" s="296"/>
      <c r="Q3289" s="590">
        <v>0.86880000000000002</v>
      </c>
      <c r="R3289" s="274" t="s">
        <v>2283</v>
      </c>
      <c r="W3289" s="253"/>
    </row>
    <row r="3290" spans="6:23" ht="24" customHeight="1">
      <c r="F3290" s="274">
        <v>0</v>
      </c>
      <c r="G3290" s="274" t="s">
        <v>1432</v>
      </c>
      <c r="H3290" s="274" t="s">
        <v>6162</v>
      </c>
      <c r="I3290" s="274">
        <f>I961</f>
        <v>2.41</v>
      </c>
      <c r="J3290" s="276" t="s">
        <v>1398</v>
      </c>
      <c r="K3290" s="545">
        <f t="shared" si="309"/>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0">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0"/>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0"/>
        <v>3110.27</v>
      </c>
      <c r="W3294" s="253"/>
    </row>
    <row r="3295" spans="6:23" ht="24" customHeight="1">
      <c r="J3295" s="252"/>
      <c r="M3295" s="252">
        <v>4</v>
      </c>
      <c r="N3295" s="252" t="s">
        <v>769</v>
      </c>
      <c r="O3295" s="296" t="s">
        <v>3264</v>
      </c>
      <c r="P3295" s="252">
        <f t="shared" ref="P3295:P3300" si="311">P3228</f>
        <v>57.65</v>
      </c>
      <c r="Q3295" s="253" t="s">
        <v>868</v>
      </c>
      <c r="R3295" s="252">
        <f t="shared" si="310"/>
        <v>230.6</v>
      </c>
      <c r="W3295" s="253"/>
    </row>
    <row r="3296" spans="6:23" ht="24" customHeight="1">
      <c r="J3296" s="252"/>
      <c r="M3296" s="252">
        <v>8</v>
      </c>
      <c r="N3296" s="252" t="s">
        <v>868</v>
      </c>
      <c r="O3296" s="296" t="s">
        <v>1464</v>
      </c>
      <c r="P3296" s="252">
        <f t="shared" si="311"/>
        <v>89.6</v>
      </c>
      <c r="Q3296" s="253" t="s">
        <v>868</v>
      </c>
      <c r="R3296" s="252">
        <f t="shared" si="310"/>
        <v>716.8</v>
      </c>
      <c r="W3296" s="253"/>
    </row>
    <row r="3297" spans="6:23" ht="24" customHeight="1">
      <c r="G3297" s="252" t="s">
        <v>316</v>
      </c>
      <c r="H3297" s="253" t="s">
        <v>1743</v>
      </c>
      <c r="M3297" s="252">
        <v>4</v>
      </c>
      <c r="N3297" s="252" t="s">
        <v>868</v>
      </c>
      <c r="O3297" s="296" t="s">
        <v>3265</v>
      </c>
      <c r="P3297" s="252">
        <f t="shared" si="311"/>
        <v>97.85</v>
      </c>
      <c r="Q3297" s="253" t="s">
        <v>868</v>
      </c>
      <c r="R3297" s="252">
        <f t="shared" si="310"/>
        <v>391.4</v>
      </c>
      <c r="W3297" s="253"/>
    </row>
    <row r="3298" spans="6:23" ht="24" customHeight="1">
      <c r="H3298" s="253" t="s">
        <v>1781</v>
      </c>
      <c r="M3298" s="252">
        <v>1</v>
      </c>
      <c r="N3298" s="252" t="s">
        <v>868</v>
      </c>
      <c r="O3298" s="296" t="s">
        <v>3266</v>
      </c>
      <c r="P3298" s="252">
        <f t="shared" si="311"/>
        <v>209.9</v>
      </c>
      <c r="Q3298" s="253" t="s">
        <v>868</v>
      </c>
      <c r="R3298" s="252">
        <f t="shared" si="310"/>
        <v>209.9</v>
      </c>
      <c r="W3298" s="253"/>
    </row>
    <row r="3299" spans="6:23" ht="24" customHeight="1">
      <c r="F3299" s="400">
        <v>6.5000000000000002E-2</v>
      </c>
      <c r="G3299" s="252" t="s">
        <v>869</v>
      </c>
      <c r="H3299" s="296" t="s">
        <v>2073</v>
      </c>
      <c r="I3299" s="252">
        <f>I859</f>
        <v>7681.28</v>
      </c>
      <c r="J3299" s="296" t="s">
        <v>869</v>
      </c>
      <c r="K3299" s="252">
        <f>I3299*F3299</f>
        <v>499.28</v>
      </c>
      <c r="M3299" s="252">
        <v>2</v>
      </c>
      <c r="N3299" s="252" t="s">
        <v>868</v>
      </c>
      <c r="O3299" s="296" t="s">
        <v>3267</v>
      </c>
      <c r="P3299" s="252">
        <f t="shared" si="311"/>
        <v>23.1</v>
      </c>
      <c r="Q3299" s="253" t="s">
        <v>868</v>
      </c>
      <c r="R3299" s="252">
        <f t="shared" si="310"/>
        <v>46.2</v>
      </c>
      <c r="W3299" s="253"/>
    </row>
    <row r="3300" spans="6:23" ht="24" customHeight="1">
      <c r="F3300" s="438">
        <v>8.4499999999999993</v>
      </c>
      <c r="G3300" s="252" t="s">
        <v>1645</v>
      </c>
      <c r="H3300" s="296" t="s">
        <v>2074</v>
      </c>
      <c r="I3300" s="252">
        <f t="shared" ref="I3300:I3310" si="312">I860</f>
        <v>88873.5</v>
      </c>
      <c r="J3300" s="296" t="s">
        <v>861</v>
      </c>
      <c r="K3300" s="252">
        <f>I3300*F3300/1000</f>
        <v>750.98</v>
      </c>
      <c r="M3300" s="252">
        <v>2</v>
      </c>
      <c r="N3300" s="252" t="s">
        <v>868</v>
      </c>
      <c r="O3300" s="296" t="s">
        <v>3268</v>
      </c>
      <c r="P3300" s="252">
        <f t="shared" si="311"/>
        <v>49.55</v>
      </c>
      <c r="Q3300" s="253" t="s">
        <v>868</v>
      </c>
      <c r="R3300" s="252">
        <f t="shared" si="310"/>
        <v>99.1</v>
      </c>
      <c r="W3300" s="253"/>
    </row>
    <row r="3301" spans="6:23" ht="24" customHeight="1">
      <c r="F3301" s="252">
        <v>3</v>
      </c>
      <c r="G3301" s="252" t="s">
        <v>868</v>
      </c>
      <c r="H3301" s="296" t="s">
        <v>1186</v>
      </c>
      <c r="I3301" s="252">
        <f t="shared" si="312"/>
        <v>14.8</v>
      </c>
      <c r="J3301" s="296" t="s">
        <v>868</v>
      </c>
      <c r="K3301" s="252">
        <f t="shared" ref="K3301:K3308" si="313">I3301*F3301</f>
        <v>44.4</v>
      </c>
      <c r="O3301" s="252" t="s">
        <v>1336</v>
      </c>
      <c r="Q3301" s="253"/>
      <c r="R3301" s="407">
        <f>R3199</f>
        <v>284.38</v>
      </c>
      <c r="W3301" s="253"/>
    </row>
    <row r="3302" spans="6:23" ht="24" customHeight="1">
      <c r="F3302" s="252">
        <v>12</v>
      </c>
      <c r="G3302" s="252" t="s">
        <v>868</v>
      </c>
      <c r="H3302" s="296" t="s">
        <v>1187</v>
      </c>
      <c r="I3302" s="252">
        <f t="shared" si="312"/>
        <v>2</v>
      </c>
      <c r="J3302" s="296" t="s">
        <v>868</v>
      </c>
      <c r="K3302" s="252">
        <f t="shared" si="313"/>
        <v>24</v>
      </c>
      <c r="Q3302" s="253"/>
      <c r="R3302" s="358" t="s">
        <v>1586</v>
      </c>
      <c r="W3302" s="253"/>
    </row>
    <row r="3303" spans="6:23" ht="24" customHeight="1">
      <c r="F3303" s="252">
        <v>2</v>
      </c>
      <c r="G3303" s="252" t="s">
        <v>868</v>
      </c>
      <c r="H3303" s="296" t="s">
        <v>1188</v>
      </c>
      <c r="I3303" s="252">
        <f t="shared" si="312"/>
        <v>4.9000000000000004</v>
      </c>
      <c r="J3303" s="296" t="s">
        <v>868</v>
      </c>
      <c r="K3303" s="252">
        <f t="shared" si="313"/>
        <v>9.8000000000000007</v>
      </c>
      <c r="O3303" s="296" t="s">
        <v>3283</v>
      </c>
      <c r="Q3303" s="253"/>
      <c r="R3303" s="252">
        <f>SUM(R3291:R3301)</f>
        <v>13772.54</v>
      </c>
      <c r="W3303" s="253"/>
    </row>
    <row r="3304" spans="6:23" ht="24" customHeight="1">
      <c r="F3304" s="252">
        <v>6</v>
      </c>
      <c r="G3304" s="252" t="s">
        <v>868</v>
      </c>
      <c r="H3304" s="296" t="s">
        <v>2220</v>
      </c>
      <c r="I3304" s="252">
        <f t="shared" si="312"/>
        <v>4.45</v>
      </c>
      <c r="J3304" s="296" t="s">
        <v>868</v>
      </c>
      <c r="K3304" s="252">
        <f t="shared" si="313"/>
        <v>26.7</v>
      </c>
      <c r="Q3304" s="253"/>
      <c r="R3304" s="358" t="s">
        <v>1586</v>
      </c>
      <c r="W3304" s="253"/>
    </row>
    <row r="3305" spans="6:23" ht="24" customHeight="1">
      <c r="F3305" s="252">
        <v>1</v>
      </c>
      <c r="G3305" s="252" t="s">
        <v>868</v>
      </c>
      <c r="H3305" s="296" t="s">
        <v>1193</v>
      </c>
      <c r="I3305" s="252">
        <f t="shared" si="312"/>
        <v>999</v>
      </c>
      <c r="J3305" s="296" t="s">
        <v>868</v>
      </c>
      <c r="K3305" s="252">
        <f t="shared" si="313"/>
        <v>999</v>
      </c>
      <c r="O3305" s="276" t="s">
        <v>552</v>
      </c>
      <c r="Q3305" s="360" t="s">
        <v>721</v>
      </c>
      <c r="R3305" s="274">
        <f>R3303/M3294</f>
        <v>5672.38</v>
      </c>
      <c r="W3305" s="253"/>
    </row>
    <row r="3306" spans="6:23" ht="24" customHeight="1">
      <c r="F3306" s="252">
        <v>1</v>
      </c>
      <c r="G3306" s="252" t="s">
        <v>868</v>
      </c>
      <c r="H3306" s="296" t="s">
        <v>1194</v>
      </c>
      <c r="I3306" s="252">
        <f t="shared" si="312"/>
        <v>651</v>
      </c>
      <c r="J3306" s="296" t="s">
        <v>868</v>
      </c>
      <c r="K3306" s="252">
        <f t="shared" si="313"/>
        <v>651</v>
      </c>
      <c r="M3306" s="253"/>
      <c r="N3306" s="252" t="s">
        <v>2251</v>
      </c>
      <c r="O3306" s="296" t="s">
        <v>2381</v>
      </c>
      <c r="Q3306" s="253"/>
      <c r="W3306" s="253"/>
    </row>
    <row r="3307" spans="6:23" ht="24" customHeight="1">
      <c r="F3307" s="252">
        <v>1</v>
      </c>
      <c r="G3307" s="252" t="s">
        <v>868</v>
      </c>
      <c r="H3307" s="296" t="s">
        <v>1195</v>
      </c>
      <c r="I3307" s="252">
        <f t="shared" si="312"/>
        <v>25</v>
      </c>
      <c r="J3307" s="296" t="s">
        <v>868</v>
      </c>
      <c r="K3307" s="252">
        <f t="shared" si="313"/>
        <v>25</v>
      </c>
      <c r="O3307" s="296" t="s">
        <v>256</v>
      </c>
      <c r="Q3307" s="253"/>
      <c r="W3307" s="253"/>
    </row>
    <row r="3308" spans="6:23" ht="24" customHeight="1">
      <c r="F3308" s="252">
        <v>0.5</v>
      </c>
      <c r="G3308" s="252" t="s">
        <v>868</v>
      </c>
      <c r="H3308" s="296" t="s">
        <v>1196</v>
      </c>
      <c r="I3308" s="252">
        <f t="shared" si="312"/>
        <v>534</v>
      </c>
      <c r="J3308" s="296" t="s">
        <v>868</v>
      </c>
      <c r="K3308" s="252">
        <f t="shared" si="313"/>
        <v>267</v>
      </c>
      <c r="O3308" s="525" t="s">
        <v>2816</v>
      </c>
      <c r="Q3308" s="253"/>
      <c r="W3308" s="253"/>
    </row>
    <row r="3309" spans="6:23" ht="24" customHeight="1">
      <c r="G3309" s="252" t="s">
        <v>449</v>
      </c>
      <c r="H3309" s="296" t="s">
        <v>2139</v>
      </c>
      <c r="I3309" s="252">
        <f t="shared" si="312"/>
        <v>0</v>
      </c>
      <c r="J3309" s="296" t="s">
        <v>449</v>
      </c>
      <c r="K3309" s="252">
        <v>2.1</v>
      </c>
      <c r="O3309" s="358" t="s">
        <v>1586</v>
      </c>
      <c r="Q3309" s="253"/>
      <c r="W3309" s="253"/>
    </row>
    <row r="3310" spans="6:23" ht="24" customHeight="1">
      <c r="I3310" s="252">
        <f t="shared" si="312"/>
        <v>0</v>
      </c>
      <c r="K3310" s="358" t="s">
        <v>1586</v>
      </c>
      <c r="O3310" s="296" t="s">
        <v>3258</v>
      </c>
      <c r="P3310" s="407" t="s">
        <v>2055</v>
      </c>
      <c r="Q3310" s="462">
        <v>3.1219999999999999</v>
      </c>
      <c r="R3310" s="296" t="s">
        <v>2283</v>
      </c>
      <c r="W3310" s="253"/>
    </row>
    <row r="3311" spans="6:23" ht="24" customHeight="1">
      <c r="H3311" s="255" t="s">
        <v>283</v>
      </c>
      <c r="K3311" s="274">
        <f>SUM(K3299:K3310)</f>
        <v>3299.26</v>
      </c>
      <c r="O3311" s="296"/>
      <c r="P3311" s="407"/>
      <c r="Q3311" s="462"/>
      <c r="R3311" s="296"/>
      <c r="W3311" s="253"/>
    </row>
    <row r="3312" spans="6:23" ht="24" customHeight="1">
      <c r="K3312" s="358" t="s">
        <v>1586</v>
      </c>
      <c r="O3312" s="296" t="s">
        <v>6161</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14">I3319*F3319</f>
        <v>4752.3100000000004</v>
      </c>
      <c r="O3319" s="296" t="s">
        <v>3272</v>
      </c>
      <c r="Q3319" s="548">
        <v>0.94</v>
      </c>
      <c r="R3319" s="443" t="s">
        <v>2283</v>
      </c>
      <c r="W3319" s="253"/>
    </row>
    <row r="3320" spans="6:23" ht="31.5" customHeight="1">
      <c r="F3320" s="596">
        <v>4.5879999999999997E-2</v>
      </c>
      <c r="G3320" s="257" t="s">
        <v>869</v>
      </c>
      <c r="H3320" s="597" t="s">
        <v>5909</v>
      </c>
      <c r="I3320" s="598">
        <v>107000</v>
      </c>
      <c r="J3320" s="272" t="s">
        <v>869</v>
      </c>
      <c r="K3320" s="257">
        <f t="shared" si="314"/>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14"/>
        <v>6071.15</v>
      </c>
      <c r="O3321" s="296" t="s">
        <v>3274</v>
      </c>
      <c r="Q3321" s="548">
        <v>7.9</v>
      </c>
      <c r="R3321" s="443" t="s">
        <v>826</v>
      </c>
      <c r="W3321" s="253"/>
    </row>
    <row r="3322" spans="6:23" ht="24" customHeight="1">
      <c r="F3322" s="274">
        <v>2</v>
      </c>
      <c r="G3322" s="274" t="s">
        <v>1873</v>
      </c>
      <c r="H3322" s="274" t="s">
        <v>2123</v>
      </c>
      <c r="I3322" s="274">
        <f t="shared" ref="I3322:I3327" si="315">P3262</f>
        <v>57.65</v>
      </c>
      <c r="J3322" s="276" t="s">
        <v>1398</v>
      </c>
      <c r="K3322" s="274">
        <f t="shared" si="314"/>
        <v>115.3</v>
      </c>
      <c r="Q3322" s="358"/>
      <c r="R3322" s="358"/>
      <c r="W3322" s="253"/>
    </row>
    <row r="3323" spans="6:23" ht="24" customHeight="1">
      <c r="F3323" s="274">
        <v>6</v>
      </c>
      <c r="G3323" s="274" t="s">
        <v>1873</v>
      </c>
      <c r="H3323" s="274" t="s">
        <v>1098</v>
      </c>
      <c r="I3323" s="274">
        <f t="shared" si="315"/>
        <v>89.6</v>
      </c>
      <c r="J3323" s="276" t="s">
        <v>1398</v>
      </c>
      <c r="K3323" s="274">
        <f t="shared" si="314"/>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5"/>
        <v>97.85</v>
      </c>
      <c r="J3324" s="276" t="s">
        <v>1398</v>
      </c>
      <c r="K3324" s="274">
        <f t="shared" si="314"/>
        <v>391.4</v>
      </c>
      <c r="M3324" s="400">
        <v>3.2910000000000002E-2</v>
      </c>
      <c r="N3324" s="252" t="s">
        <v>869</v>
      </c>
      <c r="O3324" s="296" t="s">
        <v>309</v>
      </c>
      <c r="P3324" s="252">
        <f>P3222</f>
        <v>99400</v>
      </c>
      <c r="Q3324" s="253" t="s">
        <v>869</v>
      </c>
      <c r="R3324" s="252">
        <f t="shared" ref="R3324:R3335" si="316">P3324*M3324</f>
        <v>3271.25</v>
      </c>
      <c r="W3324" s="253"/>
    </row>
    <row r="3325" spans="6:23" ht="24" customHeight="1">
      <c r="F3325" s="274">
        <v>1</v>
      </c>
      <c r="G3325" s="274" t="s">
        <v>1873</v>
      </c>
      <c r="H3325" s="274" t="s">
        <v>1349</v>
      </c>
      <c r="I3325" s="274">
        <f t="shared" si="315"/>
        <v>209.9</v>
      </c>
      <c r="J3325" s="276" t="s">
        <v>1398</v>
      </c>
      <c r="K3325" s="274">
        <f t="shared" si="314"/>
        <v>209.9</v>
      </c>
      <c r="M3325" s="400">
        <v>0.45</v>
      </c>
      <c r="N3325" s="252" t="s">
        <v>609</v>
      </c>
      <c r="O3325" s="296" t="s">
        <v>2091</v>
      </c>
      <c r="P3325" s="252">
        <f>P3293</f>
        <v>387.4</v>
      </c>
      <c r="Q3325" s="253" t="s">
        <v>869</v>
      </c>
      <c r="R3325" s="252">
        <f t="shared" si="316"/>
        <v>174.33</v>
      </c>
      <c r="W3325" s="253"/>
    </row>
    <row r="3326" spans="6:23" ht="24" customHeight="1">
      <c r="F3326" s="274">
        <v>2</v>
      </c>
      <c r="G3326" s="274" t="s">
        <v>1873</v>
      </c>
      <c r="H3326" s="274" t="s">
        <v>3743</v>
      </c>
      <c r="I3326" s="274">
        <f t="shared" si="315"/>
        <v>23.1</v>
      </c>
      <c r="J3326" s="276" t="s">
        <v>1398</v>
      </c>
      <c r="K3326" s="274">
        <f t="shared" si="314"/>
        <v>46.2</v>
      </c>
      <c r="M3326" s="316">
        <v>0.94</v>
      </c>
      <c r="N3326" s="252" t="s">
        <v>609</v>
      </c>
      <c r="O3326" s="296" t="s">
        <v>3273</v>
      </c>
      <c r="P3326" s="252">
        <f t="shared" ref="P3326:P3334" si="317">P3225</f>
        <v>562.5</v>
      </c>
      <c r="Q3326" s="253" t="s">
        <v>609</v>
      </c>
      <c r="R3326" s="252">
        <f t="shared" si="316"/>
        <v>528.75</v>
      </c>
      <c r="W3326" s="253"/>
    </row>
    <row r="3327" spans="6:23" ht="24" customHeight="1">
      <c r="F3327" s="274">
        <v>2</v>
      </c>
      <c r="G3327" s="274" t="s">
        <v>1873</v>
      </c>
      <c r="H3327" s="274" t="s">
        <v>1982</v>
      </c>
      <c r="I3327" s="274">
        <f t="shared" si="315"/>
        <v>49.55</v>
      </c>
      <c r="J3327" s="276" t="s">
        <v>1398</v>
      </c>
      <c r="K3327" s="274">
        <f t="shared" si="314"/>
        <v>99.1</v>
      </c>
      <c r="M3327" s="316">
        <v>7.9</v>
      </c>
      <c r="N3327" s="252" t="s">
        <v>1771</v>
      </c>
      <c r="O3327" s="296" t="s">
        <v>3275</v>
      </c>
      <c r="P3327" s="252">
        <f t="shared" si="317"/>
        <v>15.45</v>
      </c>
      <c r="Q3327" s="253"/>
      <c r="R3327" s="252">
        <f t="shared" si="316"/>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7"/>
        <v>1436</v>
      </c>
      <c r="Q3328" s="253" t="s">
        <v>609</v>
      </c>
      <c r="R3328" s="252">
        <f t="shared" si="316"/>
        <v>4483.1899999999996</v>
      </c>
      <c r="W3328" s="253"/>
    </row>
    <row r="3329" spans="6:23" ht="24" customHeight="1">
      <c r="F3329" s="274"/>
      <c r="G3329" s="274"/>
      <c r="H3329" s="274" t="s">
        <v>6051</v>
      </c>
      <c r="I3329" s="274"/>
      <c r="J3329" s="276"/>
      <c r="K3329" s="274">
        <f>SUM(K3318:K3328)</f>
        <v>20075.88</v>
      </c>
      <c r="M3329" s="252">
        <v>4</v>
      </c>
      <c r="N3329" s="252" t="s">
        <v>769</v>
      </c>
      <c r="O3329" s="296" t="s">
        <v>3264</v>
      </c>
      <c r="P3329" s="252">
        <f t="shared" si="317"/>
        <v>57.65</v>
      </c>
      <c r="Q3329" s="253" t="s">
        <v>868</v>
      </c>
      <c r="R3329" s="252">
        <f t="shared" si="316"/>
        <v>230.6</v>
      </c>
      <c r="W3329" s="253"/>
    </row>
    <row r="3330" spans="6:23" ht="24" customHeight="1">
      <c r="F3330" s="274"/>
      <c r="G3330" s="274"/>
      <c r="H3330" s="274"/>
      <c r="I3330" s="274"/>
      <c r="J3330" s="276"/>
      <c r="K3330" s="545" t="s">
        <v>146</v>
      </c>
      <c r="M3330" s="252">
        <v>8</v>
      </c>
      <c r="N3330" s="252" t="s">
        <v>868</v>
      </c>
      <c r="O3330" s="296" t="s">
        <v>1464</v>
      </c>
      <c r="P3330" s="252">
        <f t="shared" si="317"/>
        <v>89.6</v>
      </c>
      <c r="Q3330" s="253" t="s">
        <v>868</v>
      </c>
      <c r="R3330" s="252">
        <f t="shared" si="316"/>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17"/>
        <v>97.85</v>
      </c>
      <c r="Q3331" s="253" t="s">
        <v>868</v>
      </c>
      <c r="R3331" s="252">
        <f t="shared" si="316"/>
        <v>391.4</v>
      </c>
      <c r="W3331" s="253"/>
    </row>
    <row r="3332" spans="6:23" ht="24" customHeight="1">
      <c r="F3332" s="274"/>
      <c r="G3332" s="274"/>
      <c r="H3332" s="274"/>
      <c r="I3332" s="274"/>
      <c r="J3332" s="276"/>
      <c r="K3332" s="545" t="s">
        <v>146</v>
      </c>
      <c r="M3332" s="252">
        <v>1</v>
      </c>
      <c r="N3332" s="252" t="s">
        <v>868</v>
      </c>
      <c r="O3332" s="296" t="s">
        <v>3266</v>
      </c>
      <c r="P3332" s="252">
        <f t="shared" si="317"/>
        <v>209.9</v>
      </c>
      <c r="Q3332" s="253" t="s">
        <v>868</v>
      </c>
      <c r="R3332" s="252">
        <f t="shared" si="316"/>
        <v>209.9</v>
      </c>
      <c r="W3332" s="253"/>
    </row>
    <row r="3333" spans="6:23" ht="24" customHeight="1">
      <c r="J3333" s="252"/>
      <c r="M3333" s="252">
        <v>2</v>
      </c>
      <c r="N3333" s="252" t="s">
        <v>868</v>
      </c>
      <c r="O3333" s="296" t="s">
        <v>3267</v>
      </c>
      <c r="P3333" s="252">
        <f t="shared" si="317"/>
        <v>23.1</v>
      </c>
      <c r="Q3333" s="253" t="s">
        <v>868</v>
      </c>
      <c r="R3333" s="252">
        <f t="shared" si="316"/>
        <v>46.2</v>
      </c>
      <c r="W3333" s="253"/>
    </row>
    <row r="3334" spans="6:23" ht="24" customHeight="1">
      <c r="J3334" s="252"/>
      <c r="M3334" s="252">
        <v>2</v>
      </c>
      <c r="N3334" s="252" t="s">
        <v>868</v>
      </c>
      <c r="O3334" s="296" t="s">
        <v>3268</v>
      </c>
      <c r="P3334" s="252">
        <f t="shared" si="317"/>
        <v>49.55</v>
      </c>
      <c r="Q3334" s="253" t="s">
        <v>868</v>
      </c>
      <c r="R3334" s="252">
        <f t="shared" si="316"/>
        <v>99.1</v>
      </c>
      <c r="W3334" s="253"/>
    </row>
    <row r="3335" spans="6:23" ht="24" customHeight="1">
      <c r="J3335" s="252"/>
      <c r="M3335" s="252">
        <v>118</v>
      </c>
      <c r="N3335" s="252" t="s">
        <v>868</v>
      </c>
      <c r="O3335" s="252" t="s">
        <v>1336</v>
      </c>
      <c r="P3335" s="252">
        <f>P3268</f>
        <v>2.41</v>
      </c>
      <c r="Q3335" s="253" t="s">
        <v>868</v>
      </c>
      <c r="R3335" s="252">
        <f t="shared" si="316"/>
        <v>284.38</v>
      </c>
      <c r="W3335" s="253"/>
    </row>
    <row r="3336" spans="6:23" ht="24" customHeight="1">
      <c r="F3336" s="253"/>
      <c r="G3336" s="252" t="s">
        <v>2251</v>
      </c>
      <c r="H3336" s="296" t="s">
        <v>6163</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6164</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8">P3361*M3361</f>
        <v>1818.03</v>
      </c>
      <c r="W3361" s="253"/>
    </row>
    <row r="3362" spans="6:23" ht="24" customHeight="1">
      <c r="J3362" s="252"/>
      <c r="M3362" s="400">
        <v>0.60819999999999996</v>
      </c>
      <c r="N3362" s="252" t="s">
        <v>609</v>
      </c>
      <c r="O3362" s="296" t="s">
        <v>2091</v>
      </c>
      <c r="P3362" s="252">
        <f>P3325</f>
        <v>387.4</v>
      </c>
      <c r="Q3362" s="253" t="s">
        <v>869</v>
      </c>
      <c r="R3362" s="252">
        <f t="shared" si="318"/>
        <v>235.62</v>
      </c>
      <c r="W3362" s="253"/>
    </row>
    <row r="3363" spans="6:23" ht="24" customHeight="1">
      <c r="J3363" s="252"/>
      <c r="M3363" s="316">
        <v>1.734</v>
      </c>
      <c r="N3363" s="252" t="s">
        <v>609</v>
      </c>
      <c r="O3363" s="296" t="s">
        <v>447</v>
      </c>
      <c r="P3363" s="252">
        <f>P3328</f>
        <v>1436</v>
      </c>
      <c r="Q3363" s="253" t="s">
        <v>609</v>
      </c>
      <c r="R3363" s="252">
        <f t="shared" si="318"/>
        <v>2490.02</v>
      </c>
      <c r="W3363" s="253"/>
    </row>
    <row r="3364" spans="6:23" ht="24" customHeight="1">
      <c r="H3364" s="274" t="s">
        <v>4248</v>
      </c>
      <c r="J3364" s="252"/>
      <c r="M3364" s="252">
        <v>2</v>
      </c>
      <c r="N3364" s="252" t="s">
        <v>769</v>
      </c>
      <c r="O3364" s="296" t="s">
        <v>3264</v>
      </c>
      <c r="P3364" s="252">
        <f t="shared" ref="P3364:P3369" si="319">P3295</f>
        <v>57.65</v>
      </c>
      <c r="Q3364" s="253" t="s">
        <v>868</v>
      </c>
      <c r="R3364" s="252">
        <f t="shared" si="318"/>
        <v>115.3</v>
      </c>
      <c r="W3364" s="253"/>
    </row>
    <row r="3365" spans="6:23" ht="24" customHeight="1">
      <c r="J3365" s="252"/>
      <c r="M3365" s="252">
        <v>4</v>
      </c>
      <c r="N3365" s="252" t="s">
        <v>868</v>
      </c>
      <c r="O3365" s="296" t="s">
        <v>1464</v>
      </c>
      <c r="P3365" s="252">
        <f t="shared" si="319"/>
        <v>89.6</v>
      </c>
      <c r="Q3365" s="253" t="s">
        <v>868</v>
      </c>
      <c r="R3365" s="252">
        <f t="shared" si="318"/>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19"/>
        <v>97.85</v>
      </c>
      <c r="Q3366" s="253" t="s">
        <v>868</v>
      </c>
      <c r="R3366" s="252">
        <f t="shared" si="318"/>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19"/>
        <v>209.9</v>
      </c>
      <c r="Q3367" s="253" t="s">
        <v>868</v>
      </c>
      <c r="R3367" s="252">
        <f t="shared" si="318"/>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19"/>
        <v>23.1</v>
      </c>
      <c r="Q3368" s="253" t="s">
        <v>868</v>
      </c>
      <c r="R3368" s="252">
        <f t="shared" si="318"/>
        <v>23.1</v>
      </c>
      <c r="W3368" s="253"/>
    </row>
    <row r="3369" spans="6:23" ht="24" customHeight="1">
      <c r="H3369" s="296" t="s">
        <v>3039</v>
      </c>
      <c r="I3369" s="407" t="s">
        <v>3040</v>
      </c>
      <c r="J3369" s="253"/>
      <c r="K3369" s="252">
        <v>1.6</v>
      </c>
      <c r="M3369" s="252">
        <v>1</v>
      </c>
      <c r="N3369" s="252" t="s">
        <v>868</v>
      </c>
      <c r="O3369" s="296" t="s">
        <v>3268</v>
      </c>
      <c r="P3369" s="252">
        <f t="shared" si="319"/>
        <v>49.55</v>
      </c>
      <c r="Q3369" s="253" t="s">
        <v>868</v>
      </c>
      <c r="R3369" s="252">
        <f t="shared" si="318"/>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18"/>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6164</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6164</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0">I3322</f>
        <v>57.65</v>
      </c>
      <c r="J3391" s="253" t="s">
        <v>868</v>
      </c>
      <c r="K3391" s="252">
        <v>84</v>
      </c>
      <c r="O3391" s="296"/>
      <c r="Q3391" s="358" t="s">
        <v>1586</v>
      </c>
      <c r="R3391" s="400"/>
      <c r="W3391" s="253"/>
    </row>
    <row r="3392" spans="6:23" ht="24" customHeight="1">
      <c r="F3392" s="252">
        <v>4</v>
      </c>
      <c r="G3392" s="252" t="s">
        <v>868</v>
      </c>
      <c r="H3392" s="544" t="s">
        <v>3526</v>
      </c>
      <c r="I3392" s="252">
        <f t="shared" si="320"/>
        <v>89.6</v>
      </c>
      <c r="J3392" s="253" t="s">
        <v>868</v>
      </c>
      <c r="K3392" s="252">
        <v>232</v>
      </c>
      <c r="O3392" s="296"/>
      <c r="Q3392" s="548">
        <v>0.86880000000000002</v>
      </c>
      <c r="R3392" s="274"/>
      <c r="W3392" s="253"/>
    </row>
    <row r="3393" spans="6:23" ht="24" customHeight="1">
      <c r="F3393" s="252">
        <v>2</v>
      </c>
      <c r="G3393" s="252" t="s">
        <v>868</v>
      </c>
      <c r="H3393" s="544" t="s">
        <v>3527</v>
      </c>
      <c r="I3393" s="252">
        <f t="shared" si="320"/>
        <v>97.85</v>
      </c>
      <c r="J3393" s="253" t="s">
        <v>868</v>
      </c>
      <c r="K3393" s="252">
        <v>126</v>
      </c>
      <c r="Q3393" s="358" t="s">
        <v>1586</v>
      </c>
      <c r="R3393" s="358"/>
      <c r="W3393" s="253"/>
    </row>
    <row r="3394" spans="6:23" ht="24" customHeight="1">
      <c r="F3394" s="252">
        <v>1</v>
      </c>
      <c r="G3394" s="252" t="s">
        <v>868</v>
      </c>
      <c r="H3394" s="544" t="s">
        <v>3528</v>
      </c>
      <c r="I3394" s="252">
        <f t="shared" si="320"/>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0"/>
        <v>23.1</v>
      </c>
      <c r="J3395" s="253" t="s">
        <v>868</v>
      </c>
      <c r="K3395" s="252">
        <v>20</v>
      </c>
      <c r="M3395" s="400">
        <v>2.1940000000000001E-2</v>
      </c>
      <c r="N3395" s="252" t="s">
        <v>869</v>
      </c>
      <c r="O3395" s="296" t="s">
        <v>309</v>
      </c>
      <c r="P3395" s="252">
        <f>P3292</f>
        <v>99400</v>
      </c>
      <c r="Q3395" s="253" t="s">
        <v>869</v>
      </c>
      <c r="R3395" s="252">
        <f t="shared" ref="R3395:R3404" si="321">P3395*M3395</f>
        <v>2180.84</v>
      </c>
      <c r="W3395" s="253"/>
    </row>
    <row r="3396" spans="6:23" ht="24" customHeight="1">
      <c r="F3396" s="252">
        <v>1</v>
      </c>
      <c r="G3396" s="252" t="s">
        <v>868</v>
      </c>
      <c r="H3396" s="544" t="s">
        <v>3268</v>
      </c>
      <c r="I3396" s="252">
        <f t="shared" si="320"/>
        <v>49.55</v>
      </c>
      <c r="J3396" s="253" t="s">
        <v>868</v>
      </c>
      <c r="K3396" s="252">
        <v>37</v>
      </c>
      <c r="M3396" s="400">
        <v>0.86880000000000002</v>
      </c>
      <c r="N3396" s="252" t="s">
        <v>609</v>
      </c>
      <c r="O3396" s="296" t="s">
        <v>2091</v>
      </c>
      <c r="P3396" s="252">
        <f>P3362</f>
        <v>387.4</v>
      </c>
      <c r="Q3396" s="253" t="s">
        <v>869</v>
      </c>
      <c r="R3396" s="252">
        <f t="shared" si="321"/>
        <v>336.57</v>
      </c>
      <c r="W3396" s="253"/>
    </row>
    <row r="3397" spans="6:23" ht="24" customHeight="1">
      <c r="H3397" s="252" t="s">
        <v>1336</v>
      </c>
      <c r="J3397" s="253"/>
      <c r="K3397" s="429"/>
      <c r="M3397" s="316">
        <v>2.081</v>
      </c>
      <c r="N3397" s="252" t="s">
        <v>609</v>
      </c>
      <c r="O3397" s="296" t="s">
        <v>447</v>
      </c>
      <c r="P3397" s="252">
        <f>P3294</f>
        <v>1281</v>
      </c>
      <c r="Q3397" s="253" t="s">
        <v>609</v>
      </c>
      <c r="R3397" s="252">
        <f t="shared" si="321"/>
        <v>2665.76</v>
      </c>
      <c r="W3397" s="253"/>
    </row>
    <row r="3398" spans="6:23" ht="24" customHeight="1">
      <c r="J3398" s="253"/>
      <c r="K3398" s="358" t="s">
        <v>1586</v>
      </c>
      <c r="M3398" s="252">
        <v>2</v>
      </c>
      <c r="N3398" s="252" t="s">
        <v>769</v>
      </c>
      <c r="O3398" s="296" t="s">
        <v>3264</v>
      </c>
      <c r="P3398" s="252">
        <f t="shared" ref="P3398:P3403" si="322">P3295</f>
        <v>57.65</v>
      </c>
      <c r="Q3398" s="253" t="s">
        <v>868</v>
      </c>
      <c r="R3398" s="252">
        <f t="shared" si="321"/>
        <v>115.3</v>
      </c>
      <c r="W3398" s="253"/>
    </row>
    <row r="3399" spans="6:23" ht="24" customHeight="1">
      <c r="H3399" s="296" t="s">
        <v>2768</v>
      </c>
      <c r="J3399" s="253"/>
      <c r="K3399" s="252">
        <v>6067.81</v>
      </c>
      <c r="M3399" s="252">
        <v>4</v>
      </c>
      <c r="N3399" s="252" t="s">
        <v>868</v>
      </c>
      <c r="O3399" s="296" t="s">
        <v>1464</v>
      </c>
      <c r="P3399" s="252">
        <f t="shared" si="322"/>
        <v>89.6</v>
      </c>
      <c r="Q3399" s="253" t="s">
        <v>868</v>
      </c>
      <c r="R3399" s="252">
        <f t="shared" si="321"/>
        <v>358.4</v>
      </c>
      <c r="W3399" s="253"/>
    </row>
    <row r="3400" spans="6:23" ht="24" customHeight="1">
      <c r="J3400" s="253"/>
      <c r="K3400" s="358" t="s">
        <v>1586</v>
      </c>
      <c r="M3400" s="252">
        <v>2</v>
      </c>
      <c r="N3400" s="252" t="s">
        <v>868</v>
      </c>
      <c r="O3400" s="296" t="s">
        <v>3265</v>
      </c>
      <c r="P3400" s="252">
        <f t="shared" si="322"/>
        <v>97.85</v>
      </c>
      <c r="Q3400" s="253" t="s">
        <v>868</v>
      </c>
      <c r="R3400" s="252">
        <f t="shared" si="321"/>
        <v>195.7</v>
      </c>
      <c r="W3400" s="253"/>
    </row>
    <row r="3401" spans="6:23" ht="24" customHeight="1">
      <c r="H3401" s="276" t="s">
        <v>552</v>
      </c>
      <c r="J3401" s="360" t="s">
        <v>721</v>
      </c>
      <c r="K3401" s="274">
        <v>2915.81</v>
      </c>
      <c r="M3401" s="252">
        <v>1</v>
      </c>
      <c r="N3401" s="252" t="s">
        <v>868</v>
      </c>
      <c r="O3401" s="296" t="s">
        <v>3266</v>
      </c>
      <c r="P3401" s="252">
        <f t="shared" si="322"/>
        <v>209.9</v>
      </c>
      <c r="Q3401" s="253" t="s">
        <v>868</v>
      </c>
      <c r="R3401" s="252">
        <f t="shared" si="321"/>
        <v>209.9</v>
      </c>
      <c r="W3401" s="253"/>
    </row>
    <row r="3402" spans="6:23" ht="24" customHeight="1">
      <c r="K3402" s="358" t="s">
        <v>2055</v>
      </c>
      <c r="M3402" s="252">
        <v>1</v>
      </c>
      <c r="N3402" s="252" t="s">
        <v>868</v>
      </c>
      <c r="O3402" s="296" t="s">
        <v>3267</v>
      </c>
      <c r="P3402" s="252">
        <f t="shared" si="322"/>
        <v>23.1</v>
      </c>
      <c r="Q3402" s="253" t="s">
        <v>868</v>
      </c>
      <c r="R3402" s="252">
        <f t="shared" si="321"/>
        <v>23.1</v>
      </c>
      <c r="W3402" s="253"/>
    </row>
    <row r="3403" spans="6:23" ht="24" customHeight="1">
      <c r="M3403" s="252">
        <v>1</v>
      </c>
      <c r="N3403" s="252" t="s">
        <v>868</v>
      </c>
      <c r="O3403" s="296" t="s">
        <v>3268</v>
      </c>
      <c r="P3403" s="252">
        <f t="shared" si="322"/>
        <v>49.55</v>
      </c>
      <c r="Q3403" s="253" t="s">
        <v>868</v>
      </c>
      <c r="R3403" s="252">
        <f t="shared" si="321"/>
        <v>49.55</v>
      </c>
      <c r="W3403" s="253"/>
    </row>
    <row r="3404" spans="6:23" ht="24" customHeight="1">
      <c r="M3404" s="252">
        <v>58</v>
      </c>
      <c r="N3404" s="252" t="s">
        <v>868</v>
      </c>
      <c r="O3404" s="252" t="s">
        <v>1336</v>
      </c>
      <c r="P3404" s="252">
        <f>P3370</f>
        <v>2.41</v>
      </c>
      <c r="Q3404" s="253"/>
      <c r="R3404" s="252">
        <f t="shared" si="321"/>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3">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3"/>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23"/>
        <v>6789.7</v>
      </c>
      <c r="O3423" s="296"/>
      <c r="P3423" s="407"/>
      <c r="Q3423" s="462"/>
      <c r="W3423" s="253"/>
    </row>
    <row r="3424" spans="6:23" ht="24" customHeight="1">
      <c r="F3424" s="252">
        <v>2</v>
      </c>
      <c r="G3424" s="252" t="s">
        <v>1873</v>
      </c>
      <c r="H3424" s="252" t="s">
        <v>3736</v>
      </c>
      <c r="I3424" s="314">
        <v>450</v>
      </c>
      <c r="J3424" s="296" t="s">
        <v>1398</v>
      </c>
      <c r="K3424" s="252">
        <f t="shared" si="323"/>
        <v>900</v>
      </c>
      <c r="O3424" s="296" t="s">
        <v>6161</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3"/>
        <v>474</v>
      </c>
      <c r="O3425" s="296" t="s">
        <v>3259</v>
      </c>
      <c r="Q3425" s="407"/>
      <c r="W3425" s="253"/>
    </row>
    <row r="3426" spans="6:23" ht="24" customHeight="1">
      <c r="F3426" s="252">
        <v>4</v>
      </c>
      <c r="G3426" s="252" t="s">
        <v>1873</v>
      </c>
      <c r="H3426" s="252" t="s">
        <v>3738</v>
      </c>
      <c r="I3426" s="314">
        <v>130</v>
      </c>
      <c r="J3426" s="296" t="s">
        <v>1398</v>
      </c>
      <c r="K3426" s="252">
        <f t="shared" si="323"/>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3"/>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3"/>
        <v>46.2</v>
      </c>
      <c r="Q3428" s="358" t="s">
        <v>1586</v>
      </c>
      <c r="W3428" s="253"/>
    </row>
    <row r="3429" spans="6:23" ht="24" customHeight="1">
      <c r="F3429" s="252">
        <v>2</v>
      </c>
      <c r="G3429" s="252" t="s">
        <v>1873</v>
      </c>
      <c r="H3429" s="252" t="s">
        <v>1982</v>
      </c>
      <c r="I3429" s="252">
        <f>I3396</f>
        <v>49.55</v>
      </c>
      <c r="J3429" s="296" t="s">
        <v>1398</v>
      </c>
      <c r="K3429" s="252">
        <f t="shared" si="323"/>
        <v>99.1</v>
      </c>
      <c r="Q3429" s="589">
        <v>2.5600000000000001E-2</v>
      </c>
      <c r="R3429" s="252" t="s">
        <v>2151</v>
      </c>
      <c r="W3429" s="253"/>
    </row>
    <row r="3430" spans="6:23" ht="24" customHeight="1">
      <c r="F3430" s="356">
        <v>130</v>
      </c>
      <c r="G3430" s="252" t="s">
        <v>1873</v>
      </c>
      <c r="H3430" s="252" t="s">
        <v>1141</v>
      </c>
      <c r="I3430" s="600">
        <f>I3328</f>
        <v>2.41</v>
      </c>
      <c r="K3430" s="252">
        <f t="shared" si="323"/>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6165</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4">P3436*M3436</f>
        <v>2544.64</v>
      </c>
      <c r="W3436" s="253"/>
    </row>
    <row r="3437" spans="6:23" ht="24" customHeight="1">
      <c r="H3437" s="276" t="s">
        <v>1898</v>
      </c>
      <c r="J3437" s="253"/>
      <c r="M3437" s="400">
        <v>5.3E-3</v>
      </c>
      <c r="N3437" s="252" t="s">
        <v>869</v>
      </c>
      <c r="O3437" s="296" t="s">
        <v>3263</v>
      </c>
      <c r="P3437" s="252">
        <f>P3223</f>
        <v>107000</v>
      </c>
      <c r="Q3437" s="253" t="s">
        <v>869</v>
      </c>
      <c r="R3437" s="252">
        <f t="shared" si="324"/>
        <v>567.1</v>
      </c>
      <c r="W3437" s="253"/>
    </row>
    <row r="3438" spans="6:23" ht="24" customHeight="1">
      <c r="H3438" s="358" t="s">
        <v>1586</v>
      </c>
      <c r="J3438" s="253"/>
      <c r="M3438" s="316"/>
      <c r="O3438" s="296" t="s">
        <v>945</v>
      </c>
      <c r="Q3438" s="253"/>
      <c r="R3438" s="252">
        <f t="shared" si="324"/>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4"/>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24"/>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24"/>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25">P3228</f>
        <v>57.65</v>
      </c>
      <c r="Q3442" s="253" t="s">
        <v>868</v>
      </c>
      <c r="R3442" s="252">
        <f t="shared" si="324"/>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25"/>
        <v>89.6</v>
      </c>
      <c r="Q3443" s="253" t="s">
        <v>868</v>
      </c>
      <c r="R3443" s="252">
        <f t="shared" si="324"/>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5"/>
        <v>97.85</v>
      </c>
      <c r="Q3444" s="253" t="s">
        <v>868</v>
      </c>
      <c r="R3444" s="252">
        <f t="shared" si="324"/>
        <v>391.4</v>
      </c>
      <c r="W3444" s="253"/>
    </row>
    <row r="3445" spans="6:23" ht="24" customHeight="1">
      <c r="H3445" s="296" t="s">
        <v>441</v>
      </c>
      <c r="J3445" s="253"/>
      <c r="K3445" s="252">
        <f>SUM(K3439:K3444)</f>
        <v>1294.5899999999999</v>
      </c>
      <c r="M3445" s="252">
        <v>1</v>
      </c>
      <c r="N3445" s="252" t="s">
        <v>868</v>
      </c>
      <c r="O3445" s="296" t="s">
        <v>3266</v>
      </c>
      <c r="P3445" s="252">
        <f t="shared" si="325"/>
        <v>209.9</v>
      </c>
      <c r="Q3445" s="253" t="s">
        <v>868</v>
      </c>
      <c r="R3445" s="252">
        <f t="shared" si="324"/>
        <v>209.9</v>
      </c>
      <c r="W3445" s="253"/>
    </row>
    <row r="3446" spans="6:23" ht="24" customHeight="1">
      <c r="J3446" s="253"/>
      <c r="K3446" s="358" t="s">
        <v>1586</v>
      </c>
      <c r="M3446" s="252">
        <v>2</v>
      </c>
      <c r="N3446" s="252" t="s">
        <v>868</v>
      </c>
      <c r="O3446" s="296" t="s">
        <v>3267</v>
      </c>
      <c r="P3446" s="252">
        <f t="shared" si="325"/>
        <v>23.1</v>
      </c>
      <c r="Q3446" s="253" t="s">
        <v>868</v>
      </c>
      <c r="R3446" s="252">
        <f t="shared" si="324"/>
        <v>46.2</v>
      </c>
      <c r="W3446" s="253"/>
    </row>
    <row r="3447" spans="6:23" ht="24" customHeight="1">
      <c r="H3447" s="276" t="s">
        <v>552</v>
      </c>
      <c r="J3447" s="253"/>
      <c r="K3447" s="274">
        <f>(K3445/10)</f>
        <v>129.46</v>
      </c>
      <c r="M3447" s="252">
        <v>2</v>
      </c>
      <c r="N3447" s="252" t="s">
        <v>868</v>
      </c>
      <c r="O3447" s="296" t="s">
        <v>3268</v>
      </c>
      <c r="P3447" s="252">
        <f t="shared" si="325"/>
        <v>49.55</v>
      </c>
      <c r="Q3447" s="253" t="s">
        <v>868</v>
      </c>
      <c r="R3447" s="252">
        <f t="shared" si="324"/>
        <v>99.1</v>
      </c>
      <c r="W3447" s="253"/>
    </row>
    <row r="3448" spans="6:23" ht="24" customHeight="1">
      <c r="H3448" s="276" t="s">
        <v>6072</v>
      </c>
      <c r="J3448" s="253"/>
      <c r="K3448" s="274">
        <f>K3447/2</f>
        <v>64.73</v>
      </c>
      <c r="M3448" s="252">
        <v>118</v>
      </c>
      <c r="N3448" s="252" t="s">
        <v>868</v>
      </c>
      <c r="O3448" s="252" t="s">
        <v>1336</v>
      </c>
      <c r="P3448" s="252">
        <f>P3404</f>
        <v>2.41</v>
      </c>
      <c r="Q3448" s="253" t="s">
        <v>868</v>
      </c>
      <c r="R3448" s="252">
        <f t="shared" si="324"/>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4479.66</v>
      </c>
      <c r="J3455" s="253" t="s">
        <v>869</v>
      </c>
      <c r="K3455" s="252">
        <f>(F3455*I3455)</f>
        <v>940.73</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26">I3455</f>
        <v>4479.66</v>
      </c>
      <c r="Q3461" s="253" t="s">
        <v>869</v>
      </c>
      <c r="R3461" s="252">
        <f t="shared" ref="R3461:R3471" si="327">P3461*M3461</f>
        <v>940.73</v>
      </c>
      <c r="W3461" s="253"/>
    </row>
    <row r="3462" spans="6:23" ht="24" customHeight="1">
      <c r="F3462" s="356">
        <v>2</v>
      </c>
      <c r="G3462" s="252" t="s">
        <v>1645</v>
      </c>
      <c r="H3462" s="296" t="s">
        <v>2081</v>
      </c>
      <c r="I3462" s="252">
        <f>I1256</f>
        <v>36.1</v>
      </c>
      <c r="J3462" s="253" t="s">
        <v>1645</v>
      </c>
      <c r="K3462" s="252">
        <f>(F3462*I3462)</f>
        <v>72.2</v>
      </c>
      <c r="O3462" s="296" t="s">
        <v>1877</v>
      </c>
      <c r="P3462" s="603">
        <f t="shared" si="326"/>
        <v>0</v>
      </c>
      <c r="Q3462" s="253"/>
      <c r="R3462" s="252">
        <f t="shared" si="327"/>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26"/>
        <v>999</v>
      </c>
      <c r="Q3463" s="253" t="s">
        <v>769</v>
      </c>
      <c r="R3463" s="252">
        <f t="shared" si="327"/>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26"/>
        <v>932</v>
      </c>
      <c r="Q3464" s="253" t="s">
        <v>769</v>
      </c>
      <c r="R3464" s="252">
        <f t="shared" si="327"/>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26"/>
        <v>651</v>
      </c>
      <c r="Q3465" s="253" t="s">
        <v>769</v>
      </c>
      <c r="R3465" s="252">
        <f t="shared" si="327"/>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6"/>
        <v>534</v>
      </c>
      <c r="Q3466" s="253" t="s">
        <v>769</v>
      </c>
      <c r="R3466" s="252">
        <f t="shared" si="327"/>
        <v>1174.8</v>
      </c>
      <c r="W3466" s="253"/>
    </row>
    <row r="3467" spans="6:23" ht="24" customHeight="1">
      <c r="J3467" s="253"/>
      <c r="K3467" s="358" t="s">
        <v>1586</v>
      </c>
      <c r="M3467" s="356">
        <v>20</v>
      </c>
      <c r="N3467" s="252" t="s">
        <v>1645</v>
      </c>
      <c r="O3467" s="296" t="s">
        <v>862</v>
      </c>
      <c r="P3467" s="603">
        <f t="shared" si="326"/>
        <v>6040</v>
      </c>
      <c r="Q3467" s="253" t="s">
        <v>861</v>
      </c>
      <c r="R3467" s="252">
        <f>P3467*M3467/1000</f>
        <v>120.8</v>
      </c>
      <c r="W3467" s="253"/>
    </row>
    <row r="3468" spans="6:23" ht="24" customHeight="1">
      <c r="H3468" s="296" t="s">
        <v>441</v>
      </c>
      <c r="J3468" s="253"/>
      <c r="K3468" s="252">
        <f>SUM(K3454:K3466)</f>
        <v>12428.93</v>
      </c>
      <c r="M3468" s="356">
        <v>2</v>
      </c>
      <c r="N3468" s="252" t="s">
        <v>1645</v>
      </c>
      <c r="O3468" s="296" t="s">
        <v>2897</v>
      </c>
      <c r="P3468" s="603">
        <f>I3644</f>
        <v>24.93</v>
      </c>
      <c r="Q3468" s="253" t="s">
        <v>1645</v>
      </c>
      <c r="R3468" s="252">
        <f t="shared" si="327"/>
        <v>49.86</v>
      </c>
      <c r="W3468" s="253"/>
    </row>
    <row r="3469" spans="6:23" ht="24" customHeight="1">
      <c r="J3469" s="253"/>
      <c r="K3469" s="358" t="s">
        <v>1586</v>
      </c>
      <c r="M3469" s="252">
        <v>1.6</v>
      </c>
      <c r="N3469" s="252" t="s">
        <v>769</v>
      </c>
      <c r="O3469" s="296" t="s">
        <v>1712</v>
      </c>
      <c r="P3469" s="603">
        <f t="shared" si="326"/>
        <v>932</v>
      </c>
      <c r="Q3469" s="253" t="s">
        <v>769</v>
      </c>
      <c r="R3469" s="252">
        <f t="shared" si="327"/>
        <v>1491.2</v>
      </c>
      <c r="W3469" s="253"/>
    </row>
    <row r="3470" spans="6:23" ht="24" customHeight="1">
      <c r="H3470" s="296" t="s">
        <v>552</v>
      </c>
      <c r="J3470" s="253"/>
      <c r="K3470" s="274">
        <f>(K3468/10)</f>
        <v>1242.8900000000001</v>
      </c>
      <c r="M3470" s="252">
        <v>0.5</v>
      </c>
      <c r="N3470" s="252" t="s">
        <v>769</v>
      </c>
      <c r="O3470" s="296" t="s">
        <v>1902</v>
      </c>
      <c r="P3470" s="603">
        <f t="shared" si="326"/>
        <v>651</v>
      </c>
      <c r="Q3470" s="253" t="s">
        <v>769</v>
      </c>
      <c r="R3470" s="252">
        <f t="shared" si="327"/>
        <v>325.5</v>
      </c>
      <c r="W3470" s="253"/>
    </row>
    <row r="3471" spans="6:23" ht="24" customHeight="1">
      <c r="J3471" s="253"/>
      <c r="K3471" s="358" t="s">
        <v>2055</v>
      </c>
      <c r="M3471" s="252">
        <v>1.1000000000000001</v>
      </c>
      <c r="N3471" s="252" t="s">
        <v>769</v>
      </c>
      <c r="O3471" s="296" t="s">
        <v>320</v>
      </c>
      <c r="P3471" s="603">
        <f t="shared" si="326"/>
        <v>534</v>
      </c>
      <c r="Q3471" s="253" t="s">
        <v>769</v>
      </c>
      <c r="R3471" s="252">
        <f t="shared" si="327"/>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12406.59</v>
      </c>
      <c r="W3474" s="253"/>
    </row>
    <row r="3475" spans="6:23" ht="24" customHeight="1">
      <c r="Q3475" s="253"/>
      <c r="R3475" s="358" t="s">
        <v>1586</v>
      </c>
      <c r="W3475" s="253"/>
    </row>
    <row r="3476" spans="6:23" ht="24" customHeight="1">
      <c r="G3476" s="604">
        <v>90</v>
      </c>
      <c r="H3476" s="605" t="s">
        <v>6166</v>
      </c>
      <c r="O3476" s="296" t="s">
        <v>552</v>
      </c>
      <c r="Q3476" s="253"/>
      <c r="R3476" s="274">
        <f>R3474/10</f>
        <v>1240.6600000000001</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8">F3478*I3478</f>
        <v>2385.6</v>
      </c>
      <c r="W3478" s="253"/>
    </row>
    <row r="3479" spans="6:23" ht="24" customHeight="1">
      <c r="F3479" s="252">
        <v>0.01</v>
      </c>
      <c r="G3479" s="252" t="s">
        <v>869</v>
      </c>
      <c r="H3479" s="296" t="s">
        <v>310</v>
      </c>
      <c r="I3479" s="252">
        <f>I2815</f>
        <v>95000</v>
      </c>
      <c r="J3479" s="252">
        <f>J2281</f>
        <v>0</v>
      </c>
      <c r="K3479" s="252">
        <f t="shared" si="328"/>
        <v>950</v>
      </c>
      <c r="W3479" s="253"/>
    </row>
    <row r="3480" spans="6:23" ht="24" customHeight="1">
      <c r="H3480" s="296" t="s">
        <v>446</v>
      </c>
      <c r="W3480" s="253"/>
    </row>
    <row r="3481" spans="6:23" ht="24" customHeight="1">
      <c r="F3481" s="252">
        <v>1.05</v>
      </c>
      <c r="G3481" s="252" t="s">
        <v>609</v>
      </c>
      <c r="H3481" s="422" t="s">
        <v>5910</v>
      </c>
      <c r="I3481" s="362">
        <v>362.5</v>
      </c>
      <c r="J3481" s="296" t="s">
        <v>609</v>
      </c>
      <c r="K3481" s="252">
        <f t="shared" si="328"/>
        <v>380.63</v>
      </c>
      <c r="W3481" s="253"/>
    </row>
    <row r="3482" spans="6:23" ht="24" customHeight="1">
      <c r="F3482" s="252">
        <v>12</v>
      </c>
      <c r="G3482" s="252" t="s">
        <v>359</v>
      </c>
      <c r="H3482" s="252" t="s">
        <v>2453</v>
      </c>
      <c r="I3482" s="252">
        <f>I2537</f>
        <v>70.150000000000006</v>
      </c>
      <c r="J3482" s="296" t="s">
        <v>359</v>
      </c>
      <c r="K3482" s="252">
        <f t="shared" si="328"/>
        <v>841.8</v>
      </c>
      <c r="S3482" s="593" t="s">
        <v>3495</v>
      </c>
      <c r="W3482" s="253"/>
    </row>
    <row r="3483" spans="6:23" ht="24" customHeight="1">
      <c r="F3483" s="252">
        <v>2.85</v>
      </c>
      <c r="G3483" s="252" t="s">
        <v>609</v>
      </c>
      <c r="H3483" s="252" t="s">
        <v>2454</v>
      </c>
      <c r="I3483" s="252">
        <f>D31</f>
        <v>1436</v>
      </c>
      <c r="J3483" s="296" t="s">
        <v>609</v>
      </c>
      <c r="K3483" s="252">
        <f t="shared" si="328"/>
        <v>4092.6</v>
      </c>
      <c r="W3483" s="253"/>
    </row>
    <row r="3484" spans="6:23" ht="24" customHeight="1">
      <c r="F3484" s="252">
        <v>6</v>
      </c>
      <c r="G3484" s="252" t="s">
        <v>1394</v>
      </c>
      <c r="H3484" s="296" t="s">
        <v>1464</v>
      </c>
      <c r="I3484" s="252">
        <f>I2819</f>
        <v>214.1</v>
      </c>
      <c r="J3484" s="296" t="s">
        <v>769</v>
      </c>
      <c r="K3484" s="252">
        <f t="shared" si="328"/>
        <v>1284.5999999999999</v>
      </c>
      <c r="W3484" s="253"/>
    </row>
    <row r="3485" spans="6:23" ht="24" customHeight="1">
      <c r="F3485" s="252">
        <v>1</v>
      </c>
      <c r="G3485" s="252" t="s">
        <v>1394</v>
      </c>
      <c r="H3485" s="252" t="s">
        <v>2455</v>
      </c>
      <c r="I3485" s="252">
        <f>I2821</f>
        <v>836</v>
      </c>
      <c r="J3485" s="296" t="s">
        <v>769</v>
      </c>
      <c r="K3485" s="252">
        <f t="shared" si="328"/>
        <v>836</v>
      </c>
      <c r="W3485" s="253"/>
    </row>
    <row r="3486" spans="6:23" ht="24" customHeight="1">
      <c r="F3486" s="252">
        <v>3</v>
      </c>
      <c r="G3486" s="252" t="s">
        <v>1394</v>
      </c>
      <c r="H3486" s="296" t="s">
        <v>1465</v>
      </c>
      <c r="I3486" s="252">
        <f>I2820</f>
        <v>408</v>
      </c>
      <c r="J3486" s="296" t="s">
        <v>769</v>
      </c>
      <c r="K3486" s="252">
        <f t="shared" si="328"/>
        <v>1224</v>
      </c>
      <c r="W3486" s="253"/>
    </row>
    <row r="3487" spans="6:23" ht="24" customHeight="1">
      <c r="F3487" s="252">
        <v>2</v>
      </c>
      <c r="G3487" s="252" t="s">
        <v>1394</v>
      </c>
      <c r="H3487" s="296" t="s">
        <v>2459</v>
      </c>
      <c r="I3487" s="252">
        <f>I2820</f>
        <v>408</v>
      </c>
      <c r="J3487" s="296" t="s">
        <v>769</v>
      </c>
      <c r="K3487" s="252">
        <f t="shared" si="328"/>
        <v>816</v>
      </c>
      <c r="W3487" s="253"/>
    </row>
    <row r="3488" spans="6:23" ht="24" customHeight="1">
      <c r="F3488" s="252">
        <v>2</v>
      </c>
      <c r="G3488" s="252" t="s">
        <v>1394</v>
      </c>
      <c r="H3488" s="296" t="s">
        <v>1982</v>
      </c>
      <c r="I3488" s="252">
        <f>I2823</f>
        <v>49.55</v>
      </c>
      <c r="J3488" s="296" t="s">
        <v>769</v>
      </c>
      <c r="K3488" s="252">
        <f t="shared" si="328"/>
        <v>99.1</v>
      </c>
      <c r="W3488" s="253"/>
    </row>
    <row r="3489" spans="6:23" ht="24" customHeight="1">
      <c r="F3489" s="252">
        <v>2</v>
      </c>
      <c r="G3489" s="252" t="s">
        <v>1394</v>
      </c>
      <c r="H3489" s="296" t="s">
        <v>1467</v>
      </c>
      <c r="I3489" s="252">
        <f>I2822</f>
        <v>7.3</v>
      </c>
      <c r="J3489" s="296" t="s">
        <v>769</v>
      </c>
      <c r="K3489" s="252">
        <f t="shared" si="328"/>
        <v>14.6</v>
      </c>
      <c r="W3489" s="253"/>
    </row>
    <row r="3490" spans="6:23" ht="24" customHeight="1">
      <c r="F3490" s="252">
        <v>1.05</v>
      </c>
      <c r="G3490" s="252" t="s">
        <v>609</v>
      </c>
      <c r="H3490" s="296" t="s">
        <v>2456</v>
      </c>
      <c r="I3490" s="252">
        <f>K1553</f>
        <v>138.35</v>
      </c>
      <c r="J3490" s="296" t="s">
        <v>609</v>
      </c>
      <c r="K3490" s="252">
        <f t="shared" si="328"/>
        <v>145.27000000000001</v>
      </c>
      <c r="W3490" s="253"/>
    </row>
    <row r="3491" spans="6:23" ht="24" customHeight="1">
      <c r="F3491" s="606">
        <v>3.15</v>
      </c>
      <c r="G3491" s="252" t="s">
        <v>609</v>
      </c>
      <c r="H3491" s="296" t="s">
        <v>2457</v>
      </c>
      <c r="I3491" s="252">
        <f>K1167</f>
        <v>194.22</v>
      </c>
      <c r="J3491" s="296" t="s">
        <v>609</v>
      </c>
      <c r="K3491" s="252">
        <f t="shared" si="328"/>
        <v>611.79</v>
      </c>
      <c r="W3491" s="253"/>
    </row>
    <row r="3492" spans="6:23" ht="24" customHeight="1">
      <c r="H3492" s="296" t="s">
        <v>3538</v>
      </c>
      <c r="I3492" s="1085" t="s">
        <v>449</v>
      </c>
      <c r="J3492" s="1085"/>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6167</v>
      </c>
      <c r="J3498" s="253"/>
      <c r="W3498" s="253"/>
    </row>
    <row r="3499" spans="6:23" ht="24" customHeight="1">
      <c r="J3499" s="253"/>
      <c r="W3499" s="253"/>
    </row>
    <row r="3500" spans="6:23" ht="24" customHeight="1">
      <c r="F3500" s="316">
        <v>1.8</v>
      </c>
      <c r="G3500" s="252" t="s">
        <v>869</v>
      </c>
      <c r="H3500" s="252" t="s">
        <v>3497</v>
      </c>
      <c r="I3500" s="362">
        <f>((505+583)/2)+Z15</f>
        <v>740.18</v>
      </c>
      <c r="J3500" s="253" t="s">
        <v>869</v>
      </c>
      <c r="K3500" s="407">
        <f>I3500*F3500</f>
        <v>1332.32</v>
      </c>
      <c r="W3500" s="253"/>
    </row>
    <row r="3501" spans="6:23" ht="24" customHeight="1">
      <c r="I3501" s="362"/>
      <c r="J3501" s="253"/>
      <c r="K3501" s="407"/>
      <c r="W3501" s="253"/>
    </row>
    <row r="3502" spans="6:23" ht="24" customHeight="1">
      <c r="F3502" s="316">
        <v>1.2</v>
      </c>
      <c r="G3502" s="252" t="s">
        <v>869</v>
      </c>
      <c r="H3502" s="252" t="s">
        <v>3498</v>
      </c>
      <c r="I3502" s="362">
        <f>((1054+906+1467+1362+1001)/5)+Z15</f>
        <v>1354.18</v>
      </c>
      <c r="J3502" s="253" t="s">
        <v>869</v>
      </c>
      <c r="K3502" s="407">
        <f t="shared" ref="K3502:K3510" si="329">I3502*F3502</f>
        <v>1625.02</v>
      </c>
      <c r="W3502" s="253"/>
    </row>
    <row r="3503" spans="6:23" ht="24" customHeight="1">
      <c r="J3503" s="253"/>
      <c r="K3503" s="407"/>
      <c r="W3503" s="253"/>
    </row>
    <row r="3504" spans="6:23" ht="24" customHeight="1">
      <c r="F3504" s="316">
        <v>0.6</v>
      </c>
      <c r="G3504" s="252" t="s">
        <v>869</v>
      </c>
      <c r="H3504" s="252" t="s">
        <v>3499</v>
      </c>
      <c r="I3504" s="252">
        <f>AC16</f>
        <v>1464.46</v>
      </c>
      <c r="J3504" s="253" t="s">
        <v>869</v>
      </c>
      <c r="K3504" s="407">
        <f t="shared" si="329"/>
        <v>878.68</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29"/>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29"/>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29"/>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6168</v>
      </c>
      <c r="J3514" s="253"/>
      <c r="K3514" s="360">
        <f>SUM(K3500:K3513)</f>
        <v>10377.02</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3459.01</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522" t="s">
        <v>3761</v>
      </c>
      <c r="V3516" s="522"/>
      <c r="W3516" s="530"/>
    </row>
    <row r="3517" spans="6:24" ht="24" customHeight="1">
      <c r="S3517" s="252"/>
      <c r="U3517" s="522" t="s">
        <v>5691</v>
      </c>
      <c r="V3517" s="252">
        <f>1.1*2.325</f>
        <v>2.56</v>
      </c>
      <c r="W3517" s="253"/>
    </row>
    <row r="3518" spans="6:24" ht="24" customHeight="1">
      <c r="O3518" s="407" t="s">
        <v>3493</v>
      </c>
      <c r="R3518" s="252">
        <f>SUM(R3514:R3517)</f>
        <v>20729.7</v>
      </c>
      <c r="S3518" s="522">
        <f>V3517</f>
        <v>2.56</v>
      </c>
      <c r="T3518" s="522" t="s">
        <v>609</v>
      </c>
      <c r="U3518" s="522"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522" t="s">
        <v>3635</v>
      </c>
      <c r="V3519" s="522">
        <f t="shared" ref="V3519:V3527" si="330">V3539</f>
        <v>214.1</v>
      </c>
      <c r="W3519" s="530" t="s">
        <v>609</v>
      </c>
      <c r="X3519" s="522">
        <f t="shared" ref="X3519:X3526" si="331">V3519*S3519</f>
        <v>548.1</v>
      </c>
    </row>
    <row r="3520" spans="6:24" ht="24" customHeight="1">
      <c r="F3520" s="522"/>
      <c r="G3520" s="522"/>
      <c r="H3520" s="522" t="s">
        <v>3646</v>
      </c>
      <c r="I3520" s="522"/>
      <c r="J3520" s="523"/>
      <c r="O3520" s="407"/>
      <c r="S3520" s="522">
        <v>2</v>
      </c>
      <c r="T3520" s="522" t="s">
        <v>769</v>
      </c>
      <c r="U3520" s="522" t="s">
        <v>3636</v>
      </c>
      <c r="V3520" s="522">
        <f t="shared" si="330"/>
        <v>57.65</v>
      </c>
      <c r="W3520" s="530" t="s">
        <v>769</v>
      </c>
      <c r="X3520" s="522">
        <f t="shared" si="331"/>
        <v>115.3</v>
      </c>
    </row>
    <row r="3521" spans="6:32" ht="24" customHeight="1">
      <c r="H3521" s="481" t="s">
        <v>3647</v>
      </c>
      <c r="I3521" s="522">
        <f>1.1*2.325</f>
        <v>2.56</v>
      </c>
      <c r="O3521" s="274" t="s">
        <v>3880</v>
      </c>
      <c r="R3521" s="274">
        <f>AF67</f>
        <v>36.950000000000003</v>
      </c>
      <c r="S3521" s="522">
        <v>4</v>
      </c>
      <c r="T3521" s="522" t="s">
        <v>769</v>
      </c>
      <c r="U3521" s="522" t="s">
        <v>3637</v>
      </c>
      <c r="V3521" s="522">
        <f t="shared" si="330"/>
        <v>89.6</v>
      </c>
      <c r="W3521" s="530" t="s">
        <v>769</v>
      </c>
      <c r="X3521" s="522">
        <f t="shared" si="331"/>
        <v>358.4</v>
      </c>
    </row>
    <row r="3522" spans="6:32"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0"/>
        <v>64.8</v>
      </c>
      <c r="W3522" s="530" t="s">
        <v>769</v>
      </c>
      <c r="X3522" s="522">
        <f t="shared" si="331"/>
        <v>129.6</v>
      </c>
    </row>
    <row r="3523" spans="6:32" ht="24" customHeight="1">
      <c r="F3523" s="522">
        <f>F3522</f>
        <v>2.56</v>
      </c>
      <c r="G3523" s="522" t="s">
        <v>609</v>
      </c>
      <c r="H3523" s="522" t="s">
        <v>4601</v>
      </c>
      <c r="I3523" s="522">
        <f>AE53</f>
        <v>330.2</v>
      </c>
      <c r="J3523" s="522" t="s">
        <v>609</v>
      </c>
      <c r="K3523" s="522">
        <f t="shared" ref="K3523:K3530" si="332">I3523*F3523</f>
        <v>845.31</v>
      </c>
      <c r="S3523" s="522">
        <v>1</v>
      </c>
      <c r="T3523" s="522" t="s">
        <v>769</v>
      </c>
      <c r="U3523" s="522" t="s">
        <v>2455</v>
      </c>
      <c r="V3523" s="522">
        <f t="shared" si="330"/>
        <v>181</v>
      </c>
      <c r="W3523" s="530" t="s">
        <v>769</v>
      </c>
      <c r="X3523" s="522">
        <f t="shared" si="331"/>
        <v>181</v>
      </c>
    </row>
    <row r="3524" spans="6:32" ht="24" customHeight="1">
      <c r="F3524" s="522">
        <v>4</v>
      </c>
      <c r="G3524" s="522" t="s">
        <v>769</v>
      </c>
      <c r="H3524" s="522" t="s">
        <v>3871</v>
      </c>
      <c r="I3524" s="522">
        <f>P3228</f>
        <v>57.65</v>
      </c>
      <c r="J3524" s="522" t="s">
        <v>769</v>
      </c>
      <c r="K3524" s="522">
        <f t="shared" si="332"/>
        <v>230.6</v>
      </c>
      <c r="M3524" s="522"/>
      <c r="N3524" s="522"/>
      <c r="O3524" s="461" t="s">
        <v>3751</v>
      </c>
      <c r="P3524" s="522"/>
      <c r="Q3524" s="523"/>
      <c r="S3524" s="522">
        <v>92</v>
      </c>
      <c r="T3524" s="522" t="s">
        <v>769</v>
      </c>
      <c r="U3524" s="522" t="s">
        <v>3639</v>
      </c>
      <c r="V3524" s="522">
        <f t="shared" si="330"/>
        <v>2.41</v>
      </c>
      <c r="W3524" s="530" t="s">
        <v>769</v>
      </c>
      <c r="X3524" s="522">
        <f t="shared" si="331"/>
        <v>221.72</v>
      </c>
    </row>
    <row r="3525" spans="6:32" ht="24" customHeight="1">
      <c r="F3525" s="522">
        <v>8</v>
      </c>
      <c r="G3525" s="522" t="s">
        <v>769</v>
      </c>
      <c r="H3525" s="522" t="s">
        <v>3872</v>
      </c>
      <c r="I3525" s="522">
        <f>P3229</f>
        <v>89.6</v>
      </c>
      <c r="J3525" s="522" t="s">
        <v>769</v>
      </c>
      <c r="K3525" s="522">
        <f t="shared" si="332"/>
        <v>716.8</v>
      </c>
      <c r="O3525" s="550" t="s">
        <v>3752</v>
      </c>
      <c r="P3525" s="550">
        <f>1.4*2.325</f>
        <v>3.26</v>
      </c>
      <c r="Q3525" s="296"/>
      <c r="S3525" s="522">
        <v>1</v>
      </c>
      <c r="T3525" s="522" t="s">
        <v>769</v>
      </c>
      <c r="U3525" s="522" t="s">
        <v>3640</v>
      </c>
      <c r="V3525" s="522">
        <f t="shared" si="330"/>
        <v>23.1</v>
      </c>
      <c r="W3525" s="530" t="s">
        <v>769</v>
      </c>
      <c r="X3525" s="522">
        <f t="shared" si="331"/>
        <v>23.1</v>
      </c>
    </row>
    <row r="3526" spans="6:32" ht="24" customHeight="1">
      <c r="F3526" s="522">
        <v>4</v>
      </c>
      <c r="G3526" s="522" t="s">
        <v>769</v>
      </c>
      <c r="H3526" s="522" t="s">
        <v>3873</v>
      </c>
      <c r="I3526" s="522">
        <f>C284</f>
        <v>64.8</v>
      </c>
      <c r="J3526" s="522" t="s">
        <v>769</v>
      </c>
      <c r="K3526" s="522">
        <f t="shared" si="332"/>
        <v>259.2</v>
      </c>
      <c r="M3526" s="522">
        <f>P3525</f>
        <v>3.26</v>
      </c>
      <c r="N3526" s="522" t="s">
        <v>609</v>
      </c>
      <c r="O3526" s="522" t="s">
        <v>4327</v>
      </c>
      <c r="P3526" s="522">
        <f>I3522</f>
        <v>2255</v>
      </c>
      <c r="Q3526" s="522" t="s">
        <v>609</v>
      </c>
      <c r="R3526" s="522">
        <f t="shared" ref="R3526:R3534" si="333">P3526*M3526</f>
        <v>7351.3</v>
      </c>
      <c r="S3526" s="522">
        <v>1</v>
      </c>
      <c r="T3526" s="522" t="s">
        <v>769</v>
      </c>
      <c r="U3526" s="522" t="s">
        <v>3641</v>
      </c>
      <c r="V3526" s="522">
        <f t="shared" si="330"/>
        <v>49.55</v>
      </c>
      <c r="W3526" s="530" t="s">
        <v>769</v>
      </c>
      <c r="X3526" s="522">
        <f t="shared" si="331"/>
        <v>49.55</v>
      </c>
    </row>
    <row r="3527" spans="6:32" ht="24" customHeight="1">
      <c r="F3527" s="522">
        <v>1</v>
      </c>
      <c r="G3527" s="522" t="s">
        <v>769</v>
      </c>
      <c r="H3527" s="522" t="s">
        <v>3874</v>
      </c>
      <c r="I3527" s="522">
        <f>C286</f>
        <v>181</v>
      </c>
      <c r="J3527" s="522" t="s">
        <v>769</v>
      </c>
      <c r="K3527" s="522">
        <f t="shared" si="332"/>
        <v>181</v>
      </c>
      <c r="M3527" s="522">
        <f>M3526</f>
        <v>3.26</v>
      </c>
      <c r="N3527" s="522" t="s">
        <v>609</v>
      </c>
      <c r="O3527" s="522" t="s">
        <v>3881</v>
      </c>
      <c r="P3527" s="522">
        <f t="shared" ref="P3527:P3534" si="334">I3523</f>
        <v>330.2</v>
      </c>
      <c r="Q3527" s="522" t="s">
        <v>609</v>
      </c>
      <c r="R3527" s="522">
        <f t="shared" si="333"/>
        <v>1076.45</v>
      </c>
      <c r="S3527" s="609">
        <v>0.39</v>
      </c>
      <c r="T3527" s="608" t="s">
        <v>609</v>
      </c>
      <c r="U3527" s="608" t="s">
        <v>3760</v>
      </c>
      <c r="V3527" s="522">
        <f t="shared" si="330"/>
        <v>233.74</v>
      </c>
      <c r="W3527" s="610" t="s">
        <v>609</v>
      </c>
      <c r="X3527" s="608"/>
    </row>
    <row r="3528" spans="6:32" ht="24" customHeight="1">
      <c r="F3528" s="522">
        <v>118</v>
      </c>
      <c r="G3528" s="522" t="s">
        <v>769</v>
      </c>
      <c r="H3528" s="522" t="s">
        <v>3639</v>
      </c>
      <c r="I3528" s="522">
        <f>P3448</f>
        <v>2.41</v>
      </c>
      <c r="J3528" s="522" t="s">
        <v>769</v>
      </c>
      <c r="K3528" s="522">
        <f t="shared" si="332"/>
        <v>284.38</v>
      </c>
      <c r="M3528" s="522">
        <v>4</v>
      </c>
      <c r="N3528" s="522" t="s">
        <v>769</v>
      </c>
      <c r="O3528" s="522" t="s">
        <v>3636</v>
      </c>
      <c r="P3528" s="522">
        <f t="shared" si="334"/>
        <v>57.65</v>
      </c>
      <c r="Q3528" s="522" t="s">
        <v>769</v>
      </c>
      <c r="R3528" s="522">
        <f t="shared" si="333"/>
        <v>230.6</v>
      </c>
      <c r="S3528" s="522"/>
      <c r="T3528" s="522"/>
      <c r="U3528" s="522" t="s">
        <v>3762</v>
      </c>
      <c r="V3528" s="522"/>
      <c r="W3528" s="530"/>
      <c r="X3528" s="522">
        <f>SUM(X3518:X3527)</f>
        <v>7399.57</v>
      </c>
    </row>
    <row r="3529" spans="6:32" ht="24" customHeight="1">
      <c r="F3529" s="522">
        <v>2</v>
      </c>
      <c r="G3529" s="522" t="s">
        <v>769</v>
      </c>
      <c r="H3529" s="522" t="s">
        <v>3875</v>
      </c>
      <c r="I3529" s="522">
        <f>P3197</f>
        <v>23.1</v>
      </c>
      <c r="J3529" s="522" t="s">
        <v>769</v>
      </c>
      <c r="K3529" s="522">
        <f t="shared" si="332"/>
        <v>46.2</v>
      </c>
      <c r="M3529" s="522">
        <v>10</v>
      </c>
      <c r="N3529" s="522" t="s">
        <v>769</v>
      </c>
      <c r="O3529" s="522" t="s">
        <v>3637</v>
      </c>
      <c r="P3529" s="522">
        <f t="shared" si="334"/>
        <v>89.6</v>
      </c>
      <c r="Q3529" s="522" t="s">
        <v>769</v>
      </c>
      <c r="R3529" s="522">
        <f t="shared" si="333"/>
        <v>896</v>
      </c>
      <c r="S3529" s="522"/>
      <c r="T3529" s="522"/>
      <c r="U3529" s="522" t="s">
        <v>3225</v>
      </c>
      <c r="V3529" s="522"/>
      <c r="W3529" s="530"/>
      <c r="X3529" s="522">
        <f>X3528/S3519</f>
        <v>2890.46</v>
      </c>
    </row>
    <row r="3530" spans="6:32" ht="24" customHeight="1">
      <c r="F3530" s="522">
        <v>2</v>
      </c>
      <c r="G3530" s="522" t="s">
        <v>769</v>
      </c>
      <c r="H3530" s="522" t="s">
        <v>3641</v>
      </c>
      <c r="I3530" s="522">
        <f>P3403</f>
        <v>49.55</v>
      </c>
      <c r="J3530" s="522" t="s">
        <v>769</v>
      </c>
      <c r="K3530" s="522">
        <f t="shared" si="332"/>
        <v>99.1</v>
      </c>
      <c r="M3530" s="522">
        <v>3</v>
      </c>
      <c r="N3530" s="522" t="s">
        <v>769</v>
      </c>
      <c r="O3530" s="522" t="s">
        <v>3638</v>
      </c>
      <c r="P3530" s="522">
        <f t="shared" si="334"/>
        <v>64.8</v>
      </c>
      <c r="Q3530" s="522" t="s">
        <v>769</v>
      </c>
      <c r="R3530" s="522">
        <f t="shared" si="333"/>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34"/>
        <v>181</v>
      </c>
      <c r="Q3531" s="522" t="s">
        <v>769</v>
      </c>
      <c r="R3531" s="522">
        <f t="shared" si="333"/>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34"/>
        <v>2.41</v>
      </c>
      <c r="Q3532" s="522" t="s">
        <v>769</v>
      </c>
      <c r="R3532" s="522">
        <f t="shared" si="333"/>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34"/>
        <v>23.1</v>
      </c>
      <c r="Q3533" s="522" t="s">
        <v>769</v>
      </c>
      <c r="R3533" s="522">
        <f t="shared" si="333"/>
        <v>46.2</v>
      </c>
      <c r="W3533" s="253"/>
    </row>
    <row r="3534" spans="6:32" ht="24" customHeight="1">
      <c r="H3534" s="522"/>
      <c r="K3534" s="522"/>
      <c r="M3534" s="522">
        <v>2</v>
      </c>
      <c r="N3534" s="522" t="s">
        <v>769</v>
      </c>
      <c r="O3534" s="522" t="s">
        <v>3641</v>
      </c>
      <c r="P3534" s="522">
        <f t="shared" si="334"/>
        <v>49.55</v>
      </c>
      <c r="Q3534" s="522" t="s">
        <v>769</v>
      </c>
      <c r="R3534" s="522">
        <f t="shared" si="333"/>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522"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522"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35">I3539*F3539</f>
        <v>389.66</v>
      </c>
      <c r="S3539" s="522">
        <f>V3537</f>
        <v>2.09</v>
      </c>
      <c r="T3539" s="522" t="s">
        <v>609</v>
      </c>
      <c r="U3539" s="522" t="s">
        <v>3635</v>
      </c>
      <c r="V3539" s="522">
        <f t="shared" ref="V3539:V3547" si="336">I3539</f>
        <v>214.1</v>
      </c>
      <c r="W3539" s="530" t="s">
        <v>609</v>
      </c>
      <c r="X3539" s="522">
        <f t="shared" ref="X3539:X3546" si="337">V3539*S3539</f>
        <v>447.47</v>
      </c>
      <c r="AB3539" s="522">
        <f>AE3537</f>
        <v>1.62</v>
      </c>
      <c r="AC3539" s="522" t="s">
        <v>609</v>
      </c>
      <c r="AD3539" s="522" t="s">
        <v>3870</v>
      </c>
      <c r="AE3539" s="608">
        <f>I3539</f>
        <v>214.1</v>
      </c>
      <c r="AF3539" s="522" t="s">
        <v>609</v>
      </c>
      <c r="AG3539" s="522">
        <f t="shared" ref="AG3539:AG3546" si="338">AE3539*AB3539</f>
        <v>346.84</v>
      </c>
    </row>
    <row r="3540" spans="6:33" ht="24" customHeight="1">
      <c r="F3540" s="522">
        <v>2</v>
      </c>
      <c r="G3540" s="522" t="s">
        <v>769</v>
      </c>
      <c r="H3540" s="522" t="s">
        <v>3636</v>
      </c>
      <c r="I3540" s="522">
        <f t="shared" ref="I3540:I3546" si="339">I3524</f>
        <v>57.65</v>
      </c>
      <c r="J3540" s="522" t="s">
        <v>769</v>
      </c>
      <c r="K3540" s="522">
        <f t="shared" si="335"/>
        <v>115.3</v>
      </c>
      <c r="M3540" s="522"/>
      <c r="N3540" s="522"/>
      <c r="O3540" s="522" t="s">
        <v>3754</v>
      </c>
      <c r="P3540" s="522"/>
      <c r="Q3540" s="523"/>
      <c r="S3540" s="522">
        <v>2</v>
      </c>
      <c r="T3540" s="522" t="s">
        <v>769</v>
      </c>
      <c r="U3540" s="522" t="s">
        <v>3636</v>
      </c>
      <c r="V3540" s="522">
        <f t="shared" si="336"/>
        <v>57.65</v>
      </c>
      <c r="W3540" s="530" t="s">
        <v>769</v>
      </c>
      <c r="X3540" s="522">
        <f t="shared" si="337"/>
        <v>115.3</v>
      </c>
      <c r="AB3540" s="522">
        <v>2</v>
      </c>
      <c r="AC3540" s="522" t="s">
        <v>769</v>
      </c>
      <c r="AD3540" s="522" t="s">
        <v>3636</v>
      </c>
      <c r="AE3540" s="608">
        <f t="shared" ref="AE3540:AE3547" si="340">I3540</f>
        <v>57.65</v>
      </c>
      <c r="AF3540" s="522" t="s">
        <v>769</v>
      </c>
      <c r="AG3540" s="522">
        <f t="shared" si="338"/>
        <v>115.3</v>
      </c>
    </row>
    <row r="3541" spans="6:33" ht="24" customHeight="1">
      <c r="F3541" s="522">
        <v>3</v>
      </c>
      <c r="G3541" s="522" t="s">
        <v>769</v>
      </c>
      <c r="H3541" s="522" t="s">
        <v>3637</v>
      </c>
      <c r="I3541" s="522">
        <f t="shared" si="339"/>
        <v>89.6</v>
      </c>
      <c r="J3541" s="522" t="s">
        <v>769</v>
      </c>
      <c r="K3541" s="522">
        <f t="shared" si="335"/>
        <v>268.8</v>
      </c>
      <c r="O3541" s="550" t="s">
        <v>3755</v>
      </c>
      <c r="P3541" s="550">
        <f>1.1*2.325</f>
        <v>2.56</v>
      </c>
      <c r="Q3541" s="296"/>
      <c r="S3541" s="522">
        <v>4</v>
      </c>
      <c r="T3541" s="522" t="s">
        <v>769</v>
      </c>
      <c r="U3541" s="522" t="s">
        <v>3637</v>
      </c>
      <c r="V3541" s="522">
        <f t="shared" si="336"/>
        <v>89.6</v>
      </c>
      <c r="W3541" s="530" t="s">
        <v>769</v>
      </c>
      <c r="X3541" s="522">
        <f t="shared" si="337"/>
        <v>358.4</v>
      </c>
      <c r="AB3541" s="522">
        <v>3</v>
      </c>
      <c r="AC3541" s="522" t="s">
        <v>769</v>
      </c>
      <c r="AD3541" s="522" t="s">
        <v>3637</v>
      </c>
      <c r="AE3541" s="608">
        <f t="shared" si="340"/>
        <v>89.6</v>
      </c>
      <c r="AF3541" s="522" t="s">
        <v>769</v>
      </c>
      <c r="AG3541" s="522">
        <f t="shared" si="338"/>
        <v>268.8</v>
      </c>
    </row>
    <row r="3542" spans="6:33" ht="24" customHeight="1">
      <c r="F3542" s="522">
        <v>2</v>
      </c>
      <c r="G3542" s="522" t="s">
        <v>769</v>
      </c>
      <c r="H3542" s="522" t="s">
        <v>3638</v>
      </c>
      <c r="I3542" s="522">
        <f t="shared" si="339"/>
        <v>64.8</v>
      </c>
      <c r="J3542" s="522" t="s">
        <v>769</v>
      </c>
      <c r="K3542" s="522">
        <f t="shared" si="335"/>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6"/>
        <v>64.8</v>
      </c>
      <c r="W3542" s="530" t="s">
        <v>769</v>
      </c>
      <c r="X3542" s="522">
        <f t="shared" si="337"/>
        <v>129.6</v>
      </c>
      <c r="AB3542" s="522">
        <v>2</v>
      </c>
      <c r="AC3542" s="522" t="s">
        <v>769</v>
      </c>
      <c r="AD3542" s="522" t="s">
        <v>3638</v>
      </c>
      <c r="AE3542" s="608">
        <f t="shared" si="340"/>
        <v>64.8</v>
      </c>
      <c r="AF3542" s="522" t="s">
        <v>769</v>
      </c>
      <c r="AG3542" s="522">
        <f t="shared" si="338"/>
        <v>129.6</v>
      </c>
    </row>
    <row r="3543" spans="6:33" ht="24" customHeight="1">
      <c r="F3543" s="522">
        <v>1</v>
      </c>
      <c r="G3543" s="522" t="s">
        <v>769</v>
      </c>
      <c r="H3543" s="522" t="s">
        <v>2455</v>
      </c>
      <c r="I3543" s="522">
        <f t="shared" si="339"/>
        <v>181</v>
      </c>
      <c r="J3543" s="522" t="s">
        <v>769</v>
      </c>
      <c r="K3543" s="522">
        <f t="shared" si="335"/>
        <v>181</v>
      </c>
      <c r="M3543" s="522">
        <f>P3541</f>
        <v>2.56</v>
      </c>
      <c r="N3543" s="522" t="s">
        <v>609</v>
      </c>
      <c r="O3543" s="522" t="s">
        <v>4271</v>
      </c>
      <c r="P3543" s="522">
        <f t="shared" ref="P3543:P3551" si="341">I3539</f>
        <v>214.1</v>
      </c>
      <c r="Q3543" s="522" t="s">
        <v>609</v>
      </c>
      <c r="R3543" s="522">
        <f t="shared" ref="R3543:R3551" si="342">P3543*M3543</f>
        <v>548.1</v>
      </c>
      <c r="S3543" s="522">
        <v>1</v>
      </c>
      <c r="T3543" s="522" t="s">
        <v>769</v>
      </c>
      <c r="U3543" s="522" t="s">
        <v>2455</v>
      </c>
      <c r="V3543" s="522">
        <f t="shared" si="336"/>
        <v>181</v>
      </c>
      <c r="W3543" s="530" t="s">
        <v>769</v>
      </c>
      <c r="X3543" s="522">
        <f t="shared" si="337"/>
        <v>181</v>
      </c>
      <c r="AB3543" s="522">
        <v>1</v>
      </c>
      <c r="AC3543" s="522" t="s">
        <v>769</v>
      </c>
      <c r="AD3543" s="522" t="s">
        <v>2455</v>
      </c>
      <c r="AE3543" s="608">
        <f t="shared" si="340"/>
        <v>181</v>
      </c>
      <c r="AF3543" s="522" t="s">
        <v>769</v>
      </c>
      <c r="AG3543" s="522">
        <f t="shared" si="338"/>
        <v>181</v>
      </c>
    </row>
    <row r="3544" spans="6:33" ht="24" customHeight="1">
      <c r="F3544" s="522">
        <v>92</v>
      </c>
      <c r="G3544" s="522" t="s">
        <v>769</v>
      </c>
      <c r="H3544" s="522" t="s">
        <v>3639</v>
      </c>
      <c r="I3544" s="522">
        <f t="shared" si="339"/>
        <v>2.41</v>
      </c>
      <c r="J3544" s="522" t="s">
        <v>769</v>
      </c>
      <c r="K3544" s="522">
        <f t="shared" si="335"/>
        <v>221.72</v>
      </c>
      <c r="M3544" s="522">
        <f>F3540</f>
        <v>2</v>
      </c>
      <c r="N3544" s="522" t="s">
        <v>769</v>
      </c>
      <c r="O3544" s="522" t="s">
        <v>3636</v>
      </c>
      <c r="P3544" s="522">
        <f t="shared" si="341"/>
        <v>57.65</v>
      </c>
      <c r="Q3544" s="522" t="s">
        <v>769</v>
      </c>
      <c r="R3544" s="522">
        <f t="shared" si="342"/>
        <v>115.3</v>
      </c>
      <c r="S3544" s="522">
        <v>92</v>
      </c>
      <c r="T3544" s="522" t="s">
        <v>769</v>
      </c>
      <c r="U3544" s="522" t="s">
        <v>3639</v>
      </c>
      <c r="V3544" s="522">
        <f t="shared" si="336"/>
        <v>2.41</v>
      </c>
      <c r="W3544" s="530" t="s">
        <v>769</v>
      </c>
      <c r="X3544" s="522">
        <f t="shared" si="337"/>
        <v>221.72</v>
      </c>
      <c r="AB3544" s="522">
        <v>92</v>
      </c>
      <c r="AC3544" s="522" t="s">
        <v>769</v>
      </c>
      <c r="AD3544" s="522" t="s">
        <v>3639</v>
      </c>
      <c r="AE3544" s="608">
        <f t="shared" si="340"/>
        <v>2.41</v>
      </c>
      <c r="AF3544" s="522" t="s">
        <v>769</v>
      </c>
      <c r="AG3544" s="522">
        <f t="shared" si="338"/>
        <v>221.72</v>
      </c>
    </row>
    <row r="3545" spans="6:33" ht="24" customHeight="1">
      <c r="F3545" s="522">
        <v>1</v>
      </c>
      <c r="G3545" s="522" t="s">
        <v>769</v>
      </c>
      <c r="H3545" s="522" t="s">
        <v>3640</v>
      </c>
      <c r="I3545" s="522">
        <f t="shared" si="339"/>
        <v>23.1</v>
      </c>
      <c r="J3545" s="522" t="s">
        <v>769</v>
      </c>
      <c r="K3545" s="522">
        <f t="shared" si="335"/>
        <v>23.1</v>
      </c>
      <c r="M3545" s="522">
        <f t="shared" ref="M3545:M3550" si="343">F3541</f>
        <v>3</v>
      </c>
      <c r="N3545" s="522" t="s">
        <v>769</v>
      </c>
      <c r="O3545" s="522" t="s">
        <v>3637</v>
      </c>
      <c r="P3545" s="522">
        <f t="shared" si="341"/>
        <v>89.6</v>
      </c>
      <c r="Q3545" s="522" t="s">
        <v>769</v>
      </c>
      <c r="R3545" s="522">
        <f t="shared" si="342"/>
        <v>268.8</v>
      </c>
      <c r="S3545" s="522">
        <v>1</v>
      </c>
      <c r="T3545" s="522" t="s">
        <v>769</v>
      </c>
      <c r="U3545" s="522" t="s">
        <v>3640</v>
      </c>
      <c r="V3545" s="522">
        <f t="shared" si="336"/>
        <v>23.1</v>
      </c>
      <c r="W3545" s="530" t="s">
        <v>769</v>
      </c>
      <c r="X3545" s="522">
        <f t="shared" si="337"/>
        <v>23.1</v>
      </c>
      <c r="AB3545" s="522">
        <v>1</v>
      </c>
      <c r="AC3545" s="522" t="s">
        <v>769</v>
      </c>
      <c r="AD3545" s="522" t="s">
        <v>3640</v>
      </c>
      <c r="AE3545" s="608">
        <f t="shared" si="340"/>
        <v>23.1</v>
      </c>
      <c r="AF3545" s="522" t="s">
        <v>769</v>
      </c>
      <c r="AG3545" s="522">
        <f t="shared" si="338"/>
        <v>23.1</v>
      </c>
    </row>
    <row r="3546" spans="6:33" ht="24" customHeight="1">
      <c r="F3546" s="522">
        <v>1</v>
      </c>
      <c r="G3546" s="522" t="s">
        <v>769</v>
      </c>
      <c r="H3546" s="522" t="s">
        <v>3641</v>
      </c>
      <c r="I3546" s="522">
        <f t="shared" si="339"/>
        <v>49.55</v>
      </c>
      <c r="J3546" s="522" t="s">
        <v>769</v>
      </c>
      <c r="K3546" s="522">
        <f t="shared" si="335"/>
        <v>49.55</v>
      </c>
      <c r="M3546" s="522">
        <f t="shared" si="343"/>
        <v>2</v>
      </c>
      <c r="N3546" s="522" t="s">
        <v>769</v>
      </c>
      <c r="O3546" s="522" t="s">
        <v>3638</v>
      </c>
      <c r="P3546" s="522">
        <f t="shared" si="341"/>
        <v>64.8</v>
      </c>
      <c r="Q3546" s="522" t="s">
        <v>769</v>
      </c>
      <c r="R3546" s="522">
        <f t="shared" si="342"/>
        <v>129.6</v>
      </c>
      <c r="S3546" s="522">
        <v>1</v>
      </c>
      <c r="T3546" s="522" t="s">
        <v>769</v>
      </c>
      <c r="U3546" s="522" t="s">
        <v>3641</v>
      </c>
      <c r="V3546" s="522">
        <f t="shared" si="336"/>
        <v>49.55</v>
      </c>
      <c r="W3546" s="530" t="s">
        <v>769</v>
      </c>
      <c r="X3546" s="522">
        <f t="shared" si="337"/>
        <v>49.55</v>
      </c>
      <c r="AB3546" s="522">
        <v>1</v>
      </c>
      <c r="AC3546" s="522" t="s">
        <v>769</v>
      </c>
      <c r="AD3546" s="522" t="s">
        <v>3641</v>
      </c>
      <c r="AE3546" s="608">
        <f t="shared" si="340"/>
        <v>49.55</v>
      </c>
      <c r="AF3546" s="522" t="s">
        <v>769</v>
      </c>
      <c r="AG3546" s="522">
        <f t="shared" si="338"/>
        <v>49.55</v>
      </c>
    </row>
    <row r="3547" spans="6:33" ht="24" customHeight="1">
      <c r="F3547" s="609">
        <v>0.35</v>
      </c>
      <c r="G3547" s="608" t="s">
        <v>609</v>
      </c>
      <c r="H3547" s="608" t="s">
        <v>3760</v>
      </c>
      <c r="I3547" s="608">
        <f>K1540</f>
        <v>233.74</v>
      </c>
      <c r="J3547" s="608" t="s">
        <v>609</v>
      </c>
      <c r="K3547" s="608"/>
      <c r="M3547" s="522">
        <f t="shared" si="343"/>
        <v>1</v>
      </c>
      <c r="N3547" s="522" t="s">
        <v>769</v>
      </c>
      <c r="O3547" s="522" t="s">
        <v>2455</v>
      </c>
      <c r="P3547" s="522">
        <f t="shared" si="341"/>
        <v>181</v>
      </c>
      <c r="Q3547" s="522" t="s">
        <v>769</v>
      </c>
      <c r="R3547" s="522">
        <f t="shared" si="342"/>
        <v>181</v>
      </c>
      <c r="S3547" s="609">
        <v>0.39</v>
      </c>
      <c r="T3547" s="608" t="s">
        <v>609</v>
      </c>
      <c r="U3547" s="608" t="s">
        <v>3760</v>
      </c>
      <c r="V3547" s="522">
        <f t="shared" si="336"/>
        <v>233.74</v>
      </c>
      <c r="W3547" s="610" t="s">
        <v>609</v>
      </c>
      <c r="X3547" s="608"/>
      <c r="AB3547" s="609">
        <v>0.35</v>
      </c>
      <c r="AC3547" s="608" t="s">
        <v>609</v>
      </c>
      <c r="AD3547" s="608" t="s">
        <v>3760</v>
      </c>
      <c r="AE3547" s="608">
        <f t="shared" si="340"/>
        <v>233.74</v>
      </c>
      <c r="AF3547" s="608" t="s">
        <v>609</v>
      </c>
      <c r="AG3547" s="522"/>
    </row>
    <row r="3548" spans="6:33" ht="24" customHeight="1">
      <c r="F3548" s="522"/>
      <c r="G3548" s="522"/>
      <c r="H3548" s="522" t="s">
        <v>3645</v>
      </c>
      <c r="I3548" s="522"/>
      <c r="J3548" s="523"/>
      <c r="K3548" s="522">
        <f>SUM(K3538:K3547)</f>
        <v>5482.83</v>
      </c>
      <c r="M3548" s="522">
        <f t="shared" si="343"/>
        <v>92</v>
      </c>
      <c r="N3548" s="522" t="s">
        <v>769</v>
      </c>
      <c r="O3548" s="522" t="s">
        <v>3639</v>
      </c>
      <c r="P3548" s="522">
        <f t="shared" si="341"/>
        <v>2.41</v>
      </c>
      <c r="Q3548" s="522" t="s">
        <v>769</v>
      </c>
      <c r="R3548" s="522">
        <f t="shared" si="342"/>
        <v>221.72</v>
      </c>
      <c r="S3548" s="522"/>
      <c r="T3548" s="522"/>
      <c r="U3548" s="522"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43"/>
        <v>1</v>
      </c>
      <c r="N3549" s="522" t="s">
        <v>769</v>
      </c>
      <c r="O3549" s="522" t="s">
        <v>3640</v>
      </c>
      <c r="P3549" s="522">
        <f t="shared" si="341"/>
        <v>23.1</v>
      </c>
      <c r="Q3549" s="522" t="s">
        <v>769</v>
      </c>
      <c r="R3549" s="522">
        <f t="shared" si="342"/>
        <v>23.1</v>
      </c>
      <c r="S3549" s="522"/>
      <c r="T3549" s="522"/>
      <c r="U3549" s="522" t="s">
        <v>3225</v>
      </c>
      <c r="V3549" s="522"/>
      <c r="W3549" s="530"/>
      <c r="X3549" s="522">
        <f>X3548/S3539</f>
        <v>2985.21</v>
      </c>
      <c r="AB3549" s="522"/>
      <c r="AC3549" s="522"/>
      <c r="AD3549" s="522" t="s">
        <v>3225</v>
      </c>
      <c r="AE3549" s="522"/>
      <c r="AF3549" s="523"/>
      <c r="AG3549" s="522">
        <f>AG3548/AB3539</f>
        <v>3079.64</v>
      </c>
    </row>
    <row r="3550" spans="6:33" ht="24" customHeight="1">
      <c r="M3550" s="522">
        <f t="shared" si="343"/>
        <v>1</v>
      </c>
      <c r="N3550" s="522" t="s">
        <v>769</v>
      </c>
      <c r="O3550" s="522" t="s">
        <v>3641</v>
      </c>
      <c r="P3550" s="522">
        <f t="shared" si="341"/>
        <v>49.55</v>
      </c>
      <c r="Q3550" s="522" t="s">
        <v>769</v>
      </c>
      <c r="R3550" s="522">
        <f t="shared" si="342"/>
        <v>49.55</v>
      </c>
      <c r="W3550" s="253"/>
      <c r="AF3550" s="296"/>
    </row>
    <row r="3551" spans="6:33" ht="24" customHeight="1">
      <c r="M3551" s="526"/>
      <c r="N3551" s="522" t="s">
        <v>609</v>
      </c>
      <c r="O3551" s="522" t="s">
        <v>3642</v>
      </c>
      <c r="P3551" s="522">
        <f t="shared" si="341"/>
        <v>233.74</v>
      </c>
      <c r="Q3551" s="522" t="s">
        <v>609</v>
      </c>
      <c r="R3551" s="522">
        <f t="shared" si="342"/>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522" t="s">
        <v>3763</v>
      </c>
      <c r="V3552" s="522"/>
      <c r="W3552" s="530"/>
      <c r="AB3552" s="522"/>
      <c r="AC3552" s="522"/>
      <c r="AD3552" s="522" t="s">
        <v>4636</v>
      </c>
      <c r="AE3552" s="522"/>
      <c r="AF3552" s="523"/>
    </row>
    <row r="3553" spans="6:33" ht="24" customHeight="1">
      <c r="H3553" s="276" t="s">
        <v>6169</v>
      </c>
      <c r="M3553" s="522"/>
      <c r="N3553" s="522"/>
      <c r="O3553" s="522" t="s">
        <v>3225</v>
      </c>
      <c r="P3553" s="522"/>
      <c r="Q3553" s="523"/>
      <c r="R3553" s="522">
        <f>R3552/M3543</f>
        <v>2855.46</v>
      </c>
      <c r="S3553" s="252"/>
      <c r="U3553" s="522" t="s">
        <v>3766</v>
      </c>
      <c r="V3553" s="252">
        <f>1.4*2.025</f>
        <v>2.84</v>
      </c>
      <c r="W3553" s="253"/>
      <c r="AD3553" s="522" t="s">
        <v>4637</v>
      </c>
      <c r="AE3553" s="252">
        <f>0.8*2.325</f>
        <v>1.86</v>
      </c>
      <c r="AF3553" s="296"/>
    </row>
    <row r="3554" spans="6:33" ht="24" customHeight="1">
      <c r="H3554" s="296" t="s">
        <v>1142</v>
      </c>
      <c r="Q3554" s="296"/>
      <c r="S3554" s="522">
        <f>V3553</f>
        <v>2.84</v>
      </c>
      <c r="T3554" s="522" t="s">
        <v>609</v>
      </c>
      <c r="U3554" s="522"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522" t="s">
        <v>3635</v>
      </c>
      <c r="V3555" s="522">
        <f>P3527</f>
        <v>330.2</v>
      </c>
      <c r="W3555" s="530" t="s">
        <v>609</v>
      </c>
      <c r="X3555" s="522">
        <f t="shared" ref="X3555:X3562" si="344">V3555*S3555</f>
        <v>937.77</v>
      </c>
      <c r="AB3555" s="522">
        <f>AE3553</f>
        <v>1.86</v>
      </c>
      <c r="AC3555" s="522" t="s">
        <v>609</v>
      </c>
      <c r="AD3555" s="522" t="s">
        <v>3635</v>
      </c>
      <c r="AE3555" s="522">
        <f t="shared" ref="AE3555:AE3563" si="345">AE3539</f>
        <v>214.1</v>
      </c>
      <c r="AF3555" s="522" t="s">
        <v>609</v>
      </c>
      <c r="AG3555" s="522">
        <f t="shared" ref="AG3555:AG3562" si="346">AE3555*AB3555</f>
        <v>398.23</v>
      </c>
    </row>
    <row r="3556" spans="6:33" ht="24" customHeight="1">
      <c r="H3556" s="358" t="s">
        <v>1586</v>
      </c>
      <c r="O3556" s="276" t="s">
        <v>6169</v>
      </c>
      <c r="Q3556" s="296"/>
      <c r="S3556" s="522">
        <v>4</v>
      </c>
      <c r="T3556" s="522" t="s">
        <v>769</v>
      </c>
      <c r="U3556" s="522" t="s">
        <v>3636</v>
      </c>
      <c r="V3556" s="522">
        <f t="shared" ref="V3556:V3563" si="347">V3540</f>
        <v>57.65</v>
      </c>
      <c r="W3556" s="530" t="s">
        <v>769</v>
      </c>
      <c r="X3556" s="522">
        <f t="shared" si="344"/>
        <v>230.6</v>
      </c>
      <c r="AB3556" s="522">
        <v>2</v>
      </c>
      <c r="AC3556" s="522" t="s">
        <v>769</v>
      </c>
      <c r="AD3556" s="522" t="s">
        <v>3636</v>
      </c>
      <c r="AE3556" s="522">
        <f t="shared" si="345"/>
        <v>57.65</v>
      </c>
      <c r="AF3556" s="522" t="s">
        <v>769</v>
      </c>
      <c r="AG3556" s="522">
        <f t="shared" si="346"/>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7"/>
        <v>89.6</v>
      </c>
      <c r="W3557" s="530" t="s">
        <v>769</v>
      </c>
      <c r="X3557" s="522">
        <f t="shared" si="344"/>
        <v>537.6</v>
      </c>
      <c r="AB3557" s="522">
        <v>4</v>
      </c>
      <c r="AC3557" s="522" t="s">
        <v>769</v>
      </c>
      <c r="AD3557" s="522" t="s">
        <v>3637</v>
      </c>
      <c r="AE3557" s="522">
        <f t="shared" si="345"/>
        <v>89.6</v>
      </c>
      <c r="AF3557" s="522" t="s">
        <v>769</v>
      </c>
      <c r="AG3557" s="522">
        <f t="shared" si="346"/>
        <v>358.4</v>
      </c>
    </row>
    <row r="3558" spans="6:33" ht="33.75" customHeight="1">
      <c r="H3558" s="296"/>
      <c r="O3558" s="296" t="s">
        <v>1143</v>
      </c>
      <c r="Q3558" s="296"/>
      <c r="S3558" s="522">
        <v>4</v>
      </c>
      <c r="T3558" s="522" t="s">
        <v>769</v>
      </c>
      <c r="U3558" s="522" t="s">
        <v>3638</v>
      </c>
      <c r="V3558" s="522">
        <f t="shared" si="347"/>
        <v>64.8</v>
      </c>
      <c r="W3558" s="530" t="s">
        <v>769</v>
      </c>
      <c r="X3558" s="522">
        <f t="shared" si="344"/>
        <v>259.2</v>
      </c>
      <c r="AB3558" s="522">
        <v>2</v>
      </c>
      <c r="AC3558" s="522" t="s">
        <v>769</v>
      </c>
      <c r="AD3558" s="522" t="s">
        <v>3638</v>
      </c>
      <c r="AE3558" s="522">
        <f t="shared" si="345"/>
        <v>64.8</v>
      </c>
      <c r="AF3558" s="522" t="s">
        <v>769</v>
      </c>
      <c r="AG3558" s="522">
        <f t="shared" si="346"/>
        <v>129.6</v>
      </c>
    </row>
    <row r="3559" spans="6:33" ht="24" customHeight="1">
      <c r="H3559" s="296"/>
      <c r="J3559" s="253"/>
      <c r="O3559" s="358" t="s">
        <v>1586</v>
      </c>
      <c r="Q3559" s="296"/>
      <c r="S3559" s="522">
        <v>1</v>
      </c>
      <c r="T3559" s="522" t="s">
        <v>769</v>
      </c>
      <c r="U3559" s="522" t="s">
        <v>2455</v>
      </c>
      <c r="V3559" s="522">
        <f t="shared" si="347"/>
        <v>181</v>
      </c>
      <c r="W3559" s="530" t="s">
        <v>769</v>
      </c>
      <c r="X3559" s="522">
        <f t="shared" si="344"/>
        <v>181</v>
      </c>
      <c r="AB3559" s="522">
        <v>1</v>
      </c>
      <c r="AC3559" s="522" t="s">
        <v>769</v>
      </c>
      <c r="AD3559" s="522" t="s">
        <v>2455</v>
      </c>
      <c r="AE3559" s="522">
        <f t="shared" si="345"/>
        <v>181</v>
      </c>
      <c r="AF3559" s="522" t="s">
        <v>769</v>
      </c>
      <c r="AG3559" s="522">
        <f t="shared" si="346"/>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7"/>
        <v>2.41</v>
      </c>
      <c r="W3560" s="530" t="s">
        <v>769</v>
      </c>
      <c r="X3560" s="522">
        <f t="shared" si="344"/>
        <v>284.38</v>
      </c>
      <c r="AB3560" s="522">
        <v>92</v>
      </c>
      <c r="AC3560" s="522" t="s">
        <v>769</v>
      </c>
      <c r="AD3560" s="522" t="s">
        <v>3639</v>
      </c>
      <c r="AE3560" s="522">
        <f t="shared" si="345"/>
        <v>2.41</v>
      </c>
      <c r="AF3560" s="522" t="s">
        <v>769</v>
      </c>
      <c r="AG3560" s="522">
        <f t="shared" si="346"/>
        <v>221.72</v>
      </c>
    </row>
    <row r="3561" spans="6:33" ht="24" customHeight="1">
      <c r="H3561" s="296"/>
      <c r="J3561" s="253"/>
      <c r="O3561" s="296"/>
      <c r="Q3561" s="296"/>
      <c r="S3561" s="522">
        <v>2</v>
      </c>
      <c r="T3561" s="522" t="s">
        <v>769</v>
      </c>
      <c r="U3561" s="522" t="s">
        <v>3640</v>
      </c>
      <c r="V3561" s="522">
        <f t="shared" si="347"/>
        <v>23.1</v>
      </c>
      <c r="W3561" s="530" t="s">
        <v>769</v>
      </c>
      <c r="X3561" s="522">
        <f t="shared" si="344"/>
        <v>46.2</v>
      </c>
      <c r="AB3561" s="522">
        <v>1</v>
      </c>
      <c r="AC3561" s="522" t="s">
        <v>769</v>
      </c>
      <c r="AD3561" s="522" t="s">
        <v>3640</v>
      </c>
      <c r="AE3561" s="522">
        <f t="shared" si="345"/>
        <v>23.1</v>
      </c>
      <c r="AF3561" s="522" t="s">
        <v>769</v>
      </c>
      <c r="AG3561" s="522">
        <f t="shared" si="346"/>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7"/>
        <v>49.55</v>
      </c>
      <c r="W3562" s="530" t="s">
        <v>769</v>
      </c>
      <c r="X3562" s="522">
        <f t="shared" si="344"/>
        <v>99.1</v>
      </c>
      <c r="AB3562" s="522">
        <v>1</v>
      </c>
      <c r="AC3562" s="522" t="s">
        <v>769</v>
      </c>
      <c r="AD3562" s="522" t="s">
        <v>3641</v>
      </c>
      <c r="AE3562" s="522">
        <f t="shared" si="345"/>
        <v>49.55</v>
      </c>
      <c r="AF3562" s="522" t="s">
        <v>769</v>
      </c>
      <c r="AG3562" s="522">
        <f t="shared" si="346"/>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7"/>
        <v>233.74</v>
      </c>
      <c r="W3563" s="610" t="s">
        <v>609</v>
      </c>
      <c r="X3563" s="608"/>
      <c r="AB3563" s="609">
        <v>0.39</v>
      </c>
      <c r="AC3563" s="608" t="s">
        <v>609</v>
      </c>
      <c r="AD3563" s="608" t="s">
        <v>3760</v>
      </c>
      <c r="AE3563" s="522">
        <f t="shared" si="345"/>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522"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522"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522"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522"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522" t="s">
        <v>3635</v>
      </c>
      <c r="V3571" s="522">
        <f t="shared" ref="V3571:V3579" si="348">V3555</f>
        <v>330.2</v>
      </c>
      <c r="W3571" s="530" t="s">
        <v>609</v>
      </c>
      <c r="X3571" s="522">
        <f t="shared" ref="X3571:X3578" si="349">V3571*S3571</f>
        <v>1076.45</v>
      </c>
    </row>
    <row r="3572" spans="1:119" ht="24" customHeight="1">
      <c r="H3572" s="613" t="s">
        <v>3728</v>
      </c>
      <c r="I3572" s="356"/>
      <c r="J3572" s="252"/>
      <c r="O3572" s="296" t="s">
        <v>1751</v>
      </c>
      <c r="Q3572" s="296"/>
      <c r="R3572" s="274">
        <f>SUM(R3560:R3570)</f>
        <v>3337.32</v>
      </c>
      <c r="S3572" s="522">
        <v>4</v>
      </c>
      <c r="T3572" s="522" t="s">
        <v>769</v>
      </c>
      <c r="U3572" s="522" t="s">
        <v>3636</v>
      </c>
      <c r="V3572" s="522">
        <f t="shared" si="348"/>
        <v>57.65</v>
      </c>
      <c r="W3572" s="530" t="s">
        <v>769</v>
      </c>
      <c r="X3572" s="522">
        <f t="shared" si="349"/>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8"/>
        <v>89.6</v>
      </c>
      <c r="W3573" s="530" t="s">
        <v>769</v>
      </c>
      <c r="X3573" s="522">
        <f t="shared" si="349"/>
        <v>537.6</v>
      </c>
    </row>
    <row r="3574" spans="1:119"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8"/>
        <v>64.8</v>
      </c>
      <c r="W3574" s="530" t="s">
        <v>769</v>
      </c>
      <c r="X3574" s="522">
        <f t="shared" si="349"/>
        <v>259.2</v>
      </c>
    </row>
    <row r="3575" spans="1:119" ht="35.1" customHeight="1">
      <c r="H3575" s="252" t="s">
        <v>3709</v>
      </c>
      <c r="K3575" s="252">
        <f>SUM(K3573:K3574)</f>
        <v>7590</v>
      </c>
      <c r="S3575" s="522">
        <v>1</v>
      </c>
      <c r="T3575" s="522" t="s">
        <v>769</v>
      </c>
      <c r="U3575" s="522" t="s">
        <v>2455</v>
      </c>
      <c r="V3575" s="522">
        <f t="shared" si="348"/>
        <v>181</v>
      </c>
      <c r="W3575" s="530" t="s">
        <v>769</v>
      </c>
      <c r="X3575" s="522">
        <f t="shared" si="349"/>
        <v>181</v>
      </c>
    </row>
    <row r="3576" spans="1:119" ht="35.1" customHeight="1">
      <c r="H3576" s="274" t="s">
        <v>3710</v>
      </c>
      <c r="I3576" s="274"/>
      <c r="J3576" s="276"/>
      <c r="K3576" s="274">
        <f>K3575/10</f>
        <v>759</v>
      </c>
      <c r="S3576" s="522">
        <v>118</v>
      </c>
      <c r="T3576" s="522" t="s">
        <v>769</v>
      </c>
      <c r="U3576" s="522" t="s">
        <v>3639</v>
      </c>
      <c r="V3576" s="522">
        <f t="shared" si="348"/>
        <v>2.41</v>
      </c>
      <c r="W3576" s="530" t="s">
        <v>769</v>
      </c>
      <c r="X3576" s="522">
        <f t="shared" si="349"/>
        <v>284.38</v>
      </c>
    </row>
    <row r="3577" spans="1:119"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8"/>
        <v>23.1</v>
      </c>
      <c r="W3577" s="530" t="s">
        <v>769</v>
      </c>
      <c r="X3577" s="522">
        <f t="shared" si="349"/>
        <v>46.2</v>
      </c>
    </row>
    <row r="3578" spans="1:119" ht="35.1" customHeight="1">
      <c r="F3578" s="252">
        <v>2</v>
      </c>
      <c r="G3578" s="252" t="s">
        <v>1432</v>
      </c>
      <c r="H3578" s="422" t="s">
        <v>144</v>
      </c>
      <c r="I3578" s="252">
        <f>I2349</f>
        <v>651</v>
      </c>
      <c r="J3578" s="296" t="s">
        <v>1398</v>
      </c>
      <c r="K3578" s="252">
        <f>I3578*F3578</f>
        <v>1302</v>
      </c>
      <c r="S3578" s="522">
        <v>2</v>
      </c>
      <c r="T3578" s="522" t="s">
        <v>769</v>
      </c>
      <c r="U3578" s="522" t="s">
        <v>3641</v>
      </c>
      <c r="V3578" s="522">
        <f t="shared" si="348"/>
        <v>49.55</v>
      </c>
      <c r="W3578" s="530" t="s">
        <v>769</v>
      </c>
      <c r="X3578" s="522">
        <f t="shared" si="349"/>
        <v>99.1</v>
      </c>
    </row>
    <row r="3579" spans="1:119" ht="35.1" customHeight="1">
      <c r="H3579" s="252" t="s">
        <v>3713</v>
      </c>
      <c r="K3579" s="252">
        <v>10.3</v>
      </c>
      <c r="S3579" s="609">
        <v>0.73</v>
      </c>
      <c r="T3579" s="608" t="s">
        <v>609</v>
      </c>
      <c r="U3579" s="608" t="s">
        <v>3760</v>
      </c>
      <c r="V3579" s="522">
        <f t="shared" si="348"/>
        <v>233.74</v>
      </c>
      <c r="W3579" s="610" t="s">
        <v>609</v>
      </c>
      <c r="X3579" s="608"/>
    </row>
    <row r="3580" spans="1:119" ht="35.1" customHeight="1">
      <c r="H3580" s="252" t="s">
        <v>3715</v>
      </c>
      <c r="K3580" s="252">
        <f>SUM(K3577:K3579)</f>
        <v>2071.3000000000002</v>
      </c>
      <c r="S3580" s="522"/>
      <c r="T3580" s="522"/>
      <c r="U3580" s="522"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522"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19"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19" ht="35.1" customHeight="1">
      <c r="H3585" s="274" t="s">
        <v>3719</v>
      </c>
      <c r="K3585" s="274">
        <f>SUM(K3583:K3584)</f>
        <v>6897</v>
      </c>
      <c r="S3585" s="522">
        <f>V3584</f>
        <v>3.95</v>
      </c>
      <c r="T3585" s="522" t="s">
        <v>609</v>
      </c>
      <c r="U3585" s="522" t="s">
        <v>3634</v>
      </c>
      <c r="V3585" s="522">
        <f>V3570</f>
        <v>2255</v>
      </c>
      <c r="W3585" s="530" t="s">
        <v>609</v>
      </c>
      <c r="X3585" s="522">
        <f>V3585*S3585</f>
        <v>8907.25</v>
      </c>
    </row>
    <row r="3586" spans="1:119" ht="35.1" customHeight="1">
      <c r="H3586" s="274" t="s">
        <v>3710</v>
      </c>
      <c r="K3586" s="274">
        <f>K3585/10</f>
        <v>689.7</v>
      </c>
      <c r="S3586" s="522">
        <f>S3585</f>
        <v>3.95</v>
      </c>
      <c r="T3586" s="522" t="s">
        <v>609</v>
      </c>
      <c r="U3586" s="522" t="s">
        <v>3635</v>
      </c>
      <c r="V3586" s="522">
        <f t="shared" ref="V3586:V3593" si="350">V3571</f>
        <v>330.2</v>
      </c>
      <c r="W3586" s="530" t="s">
        <v>609</v>
      </c>
      <c r="X3586" s="522">
        <f t="shared" ref="X3586:X3593" si="351">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522" t="s">
        <v>3636</v>
      </c>
      <c r="V3587" s="522">
        <f t="shared" si="350"/>
        <v>57.65</v>
      </c>
      <c r="W3587" s="530" t="s">
        <v>769</v>
      </c>
      <c r="X3587" s="522">
        <f t="shared" si="351"/>
        <v>230.6</v>
      </c>
    </row>
    <row r="3588" spans="1:119" ht="35.1" customHeight="1">
      <c r="H3588" s="252" t="s">
        <v>3720</v>
      </c>
      <c r="K3588" s="252">
        <v>4.3499999999999996</v>
      </c>
      <c r="S3588" s="522">
        <v>8</v>
      </c>
      <c r="T3588" s="522" t="s">
        <v>769</v>
      </c>
      <c r="U3588" s="522" t="s">
        <v>3637</v>
      </c>
      <c r="V3588" s="522">
        <f t="shared" si="350"/>
        <v>89.6</v>
      </c>
      <c r="W3588" s="530" t="s">
        <v>769</v>
      </c>
      <c r="X3588" s="522">
        <f t="shared" si="351"/>
        <v>716.8</v>
      </c>
    </row>
    <row r="3589" spans="1:119" ht="35.1" customHeight="1">
      <c r="H3589" s="252" t="s">
        <v>3721</v>
      </c>
      <c r="K3589" s="252">
        <f>SUM(K3586:K3588)</f>
        <v>1996.05</v>
      </c>
      <c r="S3589" s="522">
        <v>4</v>
      </c>
      <c r="T3589" s="522" t="s">
        <v>769</v>
      </c>
      <c r="U3589" s="522" t="s">
        <v>3638</v>
      </c>
      <c r="V3589" s="522">
        <f t="shared" si="350"/>
        <v>64.8</v>
      </c>
      <c r="W3589" s="530" t="s">
        <v>769</v>
      </c>
      <c r="X3589" s="522">
        <f t="shared" si="351"/>
        <v>259.2</v>
      </c>
    </row>
    <row r="3590" spans="1:119" ht="35.1" customHeight="1">
      <c r="H3590" s="274" t="s">
        <v>3722</v>
      </c>
      <c r="I3590" s="274"/>
      <c r="J3590" s="276"/>
      <c r="K3590" s="274">
        <f>K3589/6</f>
        <v>332.68</v>
      </c>
      <c r="S3590" s="522">
        <v>1</v>
      </c>
      <c r="T3590" s="522" t="s">
        <v>769</v>
      </c>
      <c r="U3590" s="522" t="s">
        <v>2455</v>
      </c>
      <c r="V3590" s="522">
        <f t="shared" si="350"/>
        <v>181</v>
      </c>
      <c r="W3590" s="530" t="s">
        <v>769</v>
      </c>
      <c r="X3590" s="522">
        <f t="shared" si="351"/>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522" t="s">
        <v>3639</v>
      </c>
      <c r="V3591" s="522">
        <f t="shared" si="350"/>
        <v>2.41</v>
      </c>
      <c r="W3591" s="530" t="s">
        <v>769</v>
      </c>
      <c r="X3591" s="522">
        <f t="shared" si="351"/>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522" t="s">
        <v>3640</v>
      </c>
      <c r="V3592" s="522">
        <f t="shared" si="350"/>
        <v>23.1</v>
      </c>
      <c r="W3592" s="530" t="s">
        <v>769</v>
      </c>
      <c r="X3592" s="522">
        <f t="shared" si="351"/>
        <v>46.2</v>
      </c>
      <c r="Y3592" s="252"/>
    </row>
    <row r="3593" spans="1:119" s="274" customFormat="1" ht="35.1" customHeight="1">
      <c r="H3593" s="252" t="s">
        <v>3725</v>
      </c>
      <c r="I3593" s="252">
        <f>K3592</f>
        <v>677.9</v>
      </c>
      <c r="J3593" s="296">
        <f>J3592</f>
        <v>332.68</v>
      </c>
      <c r="K3593" s="252">
        <f>SUM(I3593:J3593)</f>
        <v>1010.58</v>
      </c>
      <c r="S3593" s="522">
        <v>2</v>
      </c>
      <c r="T3593" s="522" t="s">
        <v>769</v>
      </c>
      <c r="U3593" s="522" t="s">
        <v>3641</v>
      </c>
      <c r="V3593" s="522">
        <f t="shared" si="350"/>
        <v>49.55</v>
      </c>
      <c r="W3593" s="530" t="s">
        <v>769</v>
      </c>
      <c r="X3593" s="522">
        <f t="shared" si="351"/>
        <v>99.1</v>
      </c>
      <c r="Y3593" s="252"/>
    </row>
    <row r="3594" spans="1:119" s="274" customFormat="1" ht="35.1" customHeight="1">
      <c r="H3594" s="252" t="s">
        <v>3726</v>
      </c>
      <c r="I3594" s="252">
        <f>K3593</f>
        <v>1010.58</v>
      </c>
      <c r="J3594" s="296">
        <f>J3593</f>
        <v>332.68</v>
      </c>
      <c r="K3594" s="252">
        <f>SUM(I3594:J3594)</f>
        <v>1343.26</v>
      </c>
      <c r="S3594" s="526"/>
      <c r="T3594" s="522"/>
      <c r="U3594" s="522"/>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522"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3045.27</v>
      </c>
      <c r="Y3596" s="252">
        <f>[9]Data!X3597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522"/>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2">(F3600*I3600)</f>
        <v>7027.58</v>
      </c>
      <c r="L3600" s="296"/>
      <c r="S3600" s="522"/>
      <c r="T3600" s="522"/>
      <c r="U3600" s="522" t="s">
        <v>4087</v>
      </c>
      <c r="V3600" s="522"/>
      <c r="W3600" s="530"/>
    </row>
    <row r="3601" spans="6:29" ht="24" customHeight="1">
      <c r="F3601" s="447">
        <v>5.16</v>
      </c>
      <c r="G3601" s="252" t="s">
        <v>609</v>
      </c>
      <c r="H3601" s="296" t="s">
        <v>3814</v>
      </c>
      <c r="I3601" s="252">
        <f>AE57</f>
        <v>1547</v>
      </c>
      <c r="J3601" s="296" t="s">
        <v>869</v>
      </c>
      <c r="K3601" s="252">
        <f t="shared" si="352"/>
        <v>7982.52</v>
      </c>
      <c r="L3601" s="296"/>
      <c r="S3601" s="252"/>
      <c r="U3601" s="481"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2"/>
        <v>1125.0999999999999</v>
      </c>
      <c r="L3602" s="296"/>
      <c r="S3602" s="522">
        <f>V3601</f>
        <v>3.44</v>
      </c>
      <c r="T3602" s="522" t="s">
        <v>609</v>
      </c>
      <c r="U3602" s="522" t="s">
        <v>3634</v>
      </c>
      <c r="V3602" s="522">
        <f>V3585</f>
        <v>2255</v>
      </c>
      <c r="W3602" s="530" t="s">
        <v>609</v>
      </c>
      <c r="X3602" s="522">
        <f>V3602*S3602</f>
        <v>7757.2</v>
      </c>
    </row>
    <row r="3603" spans="6:29" ht="24" customHeight="1">
      <c r="F3603" s="252">
        <v>22.66</v>
      </c>
      <c r="G3603" s="252" t="s">
        <v>826</v>
      </c>
      <c r="H3603" s="296" t="s">
        <v>5911</v>
      </c>
      <c r="I3603" s="362">
        <v>15.45</v>
      </c>
      <c r="J3603" s="252" t="s">
        <v>826</v>
      </c>
      <c r="K3603" s="252">
        <f t="shared" si="352"/>
        <v>350.1</v>
      </c>
      <c r="L3603" s="296"/>
      <c r="S3603" s="522">
        <f>S3602</f>
        <v>3.44</v>
      </c>
      <c r="T3603" s="522" t="s">
        <v>609</v>
      </c>
      <c r="U3603" s="522" t="s">
        <v>3635</v>
      </c>
      <c r="V3603" s="522">
        <f t="shared" ref="V3603:V3610" si="353">V3586</f>
        <v>330.2</v>
      </c>
      <c r="W3603" s="530" t="s">
        <v>609</v>
      </c>
      <c r="X3603" s="522">
        <f t="shared" ref="X3603:X3610" si="354">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3"/>
        <v>57.65</v>
      </c>
      <c r="W3604" s="530" t="s">
        <v>769</v>
      </c>
      <c r="X3604" s="522">
        <f t="shared" si="354"/>
        <v>230.6</v>
      </c>
    </row>
    <row r="3605" spans="6:29" ht="24" customHeight="1">
      <c r="F3605" s="252">
        <v>10</v>
      </c>
      <c r="G3605" s="252" t="s">
        <v>868</v>
      </c>
      <c r="H3605" s="296" t="s">
        <v>5912</v>
      </c>
      <c r="I3605" s="362">
        <v>82.25</v>
      </c>
      <c r="J3605" s="296" t="s">
        <v>868</v>
      </c>
      <c r="K3605" s="252">
        <f>(F3604*I3605)</f>
        <v>1233.75</v>
      </c>
      <c r="L3605" s="296"/>
      <c r="S3605" s="522">
        <v>6</v>
      </c>
      <c r="T3605" s="522" t="s">
        <v>769</v>
      </c>
      <c r="U3605" s="522" t="s">
        <v>3637</v>
      </c>
      <c r="V3605" s="522">
        <f t="shared" si="353"/>
        <v>89.6</v>
      </c>
      <c r="W3605" s="530" t="s">
        <v>769</v>
      </c>
      <c r="X3605" s="522">
        <f t="shared" si="354"/>
        <v>537.6</v>
      </c>
    </row>
    <row r="3606" spans="6:29"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3"/>
        <v>64.8</v>
      </c>
      <c r="W3606" s="530" t="s">
        <v>769</v>
      </c>
      <c r="X3606" s="522">
        <f t="shared" si="354"/>
        <v>259.2</v>
      </c>
    </row>
    <row r="3607" spans="6:29"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3"/>
        <v>181</v>
      </c>
      <c r="W3607" s="530" t="s">
        <v>769</v>
      </c>
      <c r="X3607" s="522">
        <f t="shared" si="354"/>
        <v>181</v>
      </c>
    </row>
    <row r="3608" spans="6:29" ht="24" customHeight="1">
      <c r="F3608" s="252">
        <v>10</v>
      </c>
      <c r="H3608" s="296" t="s">
        <v>1141</v>
      </c>
      <c r="I3608" s="252">
        <f>I3430</f>
        <v>2.41</v>
      </c>
      <c r="J3608" s="296" t="s">
        <v>868</v>
      </c>
      <c r="K3608" s="252">
        <f t="shared" si="352"/>
        <v>24.1</v>
      </c>
      <c r="L3608" s="296"/>
      <c r="S3608" s="522">
        <v>118</v>
      </c>
      <c r="T3608" s="522" t="s">
        <v>769</v>
      </c>
      <c r="U3608" s="522" t="s">
        <v>3639</v>
      </c>
      <c r="V3608" s="522">
        <f t="shared" si="353"/>
        <v>2.41</v>
      </c>
      <c r="W3608" s="530" t="s">
        <v>769</v>
      </c>
      <c r="X3608" s="522">
        <f t="shared" si="354"/>
        <v>284.38</v>
      </c>
    </row>
    <row r="3609" spans="6:29" ht="24" customHeight="1">
      <c r="K3609" s="358" t="s">
        <v>1586</v>
      </c>
      <c r="L3609" s="296"/>
      <c r="S3609" s="522">
        <v>2</v>
      </c>
      <c r="T3609" s="522" t="s">
        <v>769</v>
      </c>
      <c r="U3609" s="522" t="s">
        <v>3640</v>
      </c>
      <c r="V3609" s="522">
        <f t="shared" si="353"/>
        <v>23.1</v>
      </c>
      <c r="W3609" s="530" t="s">
        <v>769</v>
      </c>
      <c r="X3609" s="522">
        <f t="shared" si="354"/>
        <v>46.2</v>
      </c>
    </row>
    <row r="3610" spans="6:29" ht="24" customHeight="1">
      <c r="H3610" s="253" t="s">
        <v>3817</v>
      </c>
      <c r="K3610" s="252">
        <f>SUM(K3596:K3608)</f>
        <v>20134.740000000002</v>
      </c>
      <c r="L3610" s="296"/>
      <c r="S3610" s="522">
        <v>2</v>
      </c>
      <c r="T3610" s="522" t="s">
        <v>769</v>
      </c>
      <c r="U3610" s="522" t="s">
        <v>3641</v>
      </c>
      <c r="V3610" s="522">
        <f t="shared" si="353"/>
        <v>49.55</v>
      </c>
      <c r="W3610" s="530" t="s">
        <v>769</v>
      </c>
      <c r="X3610" s="522">
        <f t="shared" si="354"/>
        <v>99.1</v>
      </c>
    </row>
    <row r="3611" spans="6:29" ht="24" customHeight="1">
      <c r="K3611" s="358" t="s">
        <v>1586</v>
      </c>
      <c r="L3611" s="296"/>
      <c r="S3611" s="526"/>
      <c r="T3611" s="522"/>
      <c r="U3611" s="522"/>
      <c r="V3611" s="522"/>
      <c r="W3611" s="530" t="s">
        <v>609</v>
      </c>
      <c r="X3611" s="522">
        <f>V3611*S3611</f>
        <v>0</v>
      </c>
    </row>
    <row r="3612" spans="6:29" ht="24" customHeight="1">
      <c r="H3612" s="255" t="s">
        <v>552</v>
      </c>
      <c r="I3612" s="296" t="s">
        <v>975</v>
      </c>
      <c r="K3612" s="274">
        <f>K3610/F3601</f>
        <v>3902.08</v>
      </c>
      <c r="S3612" s="522"/>
      <c r="T3612" s="522"/>
      <c r="U3612" s="522" t="s">
        <v>4089</v>
      </c>
      <c r="V3612" s="522"/>
      <c r="W3612" s="530"/>
      <c r="X3612" s="522">
        <f>SUM(X3602:X3611)</f>
        <v>10531.17</v>
      </c>
    </row>
    <row r="3613" spans="6:29" ht="24" customHeight="1">
      <c r="K3613" s="358" t="s">
        <v>2055</v>
      </c>
      <c r="S3613" s="522"/>
      <c r="T3613" s="522"/>
      <c r="U3613" s="522"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522" t="s">
        <v>5365</v>
      </c>
      <c r="V3615" s="522"/>
      <c r="W3615" s="530"/>
    </row>
    <row r="3616" spans="6:29" ht="24" customHeight="1">
      <c r="H3616" s="358" t="s">
        <v>1586</v>
      </c>
      <c r="S3616" s="252"/>
      <c r="U3616" s="481" t="s">
        <v>4640</v>
      </c>
      <c r="W3616" s="253">
        <f>1.1*2.025</f>
        <v>2.23</v>
      </c>
      <c r="Y3616" s="522"/>
      <c r="Z3616" s="522"/>
      <c r="AA3616" s="522" t="s">
        <v>5987</v>
      </c>
      <c r="AB3616" s="522"/>
      <c r="AC3616" s="523"/>
    </row>
    <row r="3617" spans="6:30" ht="18.75" customHeight="1">
      <c r="H3617" s="296" t="s">
        <v>3833</v>
      </c>
      <c r="I3617" s="407" t="s">
        <v>2055</v>
      </c>
      <c r="J3617" s="548">
        <f>0.65*0.65</f>
        <v>0.42249999999999999</v>
      </c>
      <c r="K3617" s="252" t="s">
        <v>2283</v>
      </c>
      <c r="S3617" s="522">
        <f>W3616</f>
        <v>2.23</v>
      </c>
      <c r="T3617" s="522" t="s">
        <v>609</v>
      </c>
      <c r="U3617" s="522" t="s">
        <v>3634</v>
      </c>
      <c r="V3617" s="522">
        <f>AE3554</f>
        <v>2255</v>
      </c>
      <c r="W3617" s="530" t="s">
        <v>609</v>
      </c>
      <c r="X3617" s="522">
        <f>V3617*S3617</f>
        <v>5028.6499999999996</v>
      </c>
      <c r="AA3617" s="481" t="s">
        <v>5988</v>
      </c>
      <c r="AC3617" s="296">
        <f>0.65*2.025</f>
        <v>1.32</v>
      </c>
    </row>
    <row r="3618" spans="6:30" ht="18.75" customHeight="1">
      <c r="H3618" s="296"/>
      <c r="I3618" s="407"/>
      <c r="J3618" s="462"/>
      <c r="S3618" s="522">
        <f>S3617</f>
        <v>2.23</v>
      </c>
      <c r="T3618" s="522" t="s">
        <v>609</v>
      </c>
      <c r="U3618" s="522" t="s">
        <v>3635</v>
      </c>
      <c r="V3618" s="522">
        <f>V3603</f>
        <v>330.2</v>
      </c>
      <c r="W3618" s="530" t="s">
        <v>609</v>
      </c>
      <c r="X3618" s="522">
        <f t="shared" ref="X3618:X3625" si="355">V3618*S3618</f>
        <v>736.35</v>
      </c>
      <c r="Y3618" s="522">
        <f>AC3617</f>
        <v>1.32</v>
      </c>
      <c r="Z3618" s="522" t="s">
        <v>609</v>
      </c>
      <c r="AA3618" s="522" t="s">
        <v>3634</v>
      </c>
      <c r="AB3618" s="522">
        <f>V3618</f>
        <v>330.2</v>
      </c>
      <c r="AC3618" s="522" t="s">
        <v>609</v>
      </c>
      <c r="AD3618" s="522">
        <f>AB3618*Y3618</f>
        <v>435.86</v>
      </c>
    </row>
    <row r="3619" spans="6:30" ht="18.75" customHeight="1">
      <c r="H3619" s="296" t="s">
        <v>6170</v>
      </c>
      <c r="I3619" s="407" t="s">
        <v>2055</v>
      </c>
      <c r="J3619" s="548">
        <v>5.1999999999999998E-2</v>
      </c>
      <c r="K3619" s="252" t="s">
        <v>2151</v>
      </c>
      <c r="S3619" s="522">
        <v>4</v>
      </c>
      <c r="T3619" s="522" t="s">
        <v>769</v>
      </c>
      <c r="U3619" s="522" t="s">
        <v>3636</v>
      </c>
      <c r="V3619" s="522">
        <f t="shared" ref="V3619:V3625" si="356">AE3556</f>
        <v>57.65</v>
      </c>
      <c r="W3619" s="530" t="s">
        <v>769</v>
      </c>
      <c r="X3619" s="522">
        <f t="shared" si="355"/>
        <v>230.6</v>
      </c>
      <c r="Y3619" s="522">
        <f>Y3618</f>
        <v>1.32</v>
      </c>
      <c r="Z3619" s="522" t="s">
        <v>609</v>
      </c>
      <c r="AA3619" s="522" t="s">
        <v>3635</v>
      </c>
      <c r="AB3619" s="522">
        <f t="shared" ref="AB3619:AB3626" si="357">V3619</f>
        <v>57.65</v>
      </c>
      <c r="AC3619" s="522" t="s">
        <v>609</v>
      </c>
      <c r="AD3619" s="522">
        <f t="shared" ref="AD3619:AD3627" si="358">AB3619*Y3619</f>
        <v>76.099999999999994</v>
      </c>
    </row>
    <row r="3620" spans="6:30" ht="18.75" customHeight="1">
      <c r="H3620" s="296" t="s">
        <v>3259</v>
      </c>
      <c r="J3620" s="407"/>
      <c r="S3620" s="522">
        <v>6</v>
      </c>
      <c r="T3620" s="522" t="s">
        <v>769</v>
      </c>
      <c r="U3620" s="522" t="s">
        <v>3637</v>
      </c>
      <c r="V3620" s="522">
        <f t="shared" si="356"/>
        <v>89.6</v>
      </c>
      <c r="W3620" s="530" t="s">
        <v>769</v>
      </c>
      <c r="X3620" s="522">
        <f t="shared" si="355"/>
        <v>537.6</v>
      </c>
      <c r="Y3620" s="522">
        <v>2</v>
      </c>
      <c r="Z3620" s="522" t="s">
        <v>769</v>
      </c>
      <c r="AA3620" s="522" t="s">
        <v>3636</v>
      </c>
      <c r="AB3620" s="522">
        <f t="shared" si="357"/>
        <v>89.6</v>
      </c>
      <c r="AC3620" s="522" t="s">
        <v>769</v>
      </c>
      <c r="AD3620" s="522">
        <f t="shared" si="358"/>
        <v>179.2</v>
      </c>
    </row>
    <row r="3621" spans="6:30" ht="18.75" customHeight="1">
      <c r="H3621" s="296" t="s">
        <v>3834</v>
      </c>
      <c r="I3621" s="407" t="s">
        <v>2055</v>
      </c>
      <c r="J3621" s="588">
        <v>1.772E-2</v>
      </c>
      <c r="S3621" s="522">
        <v>4</v>
      </c>
      <c r="T3621" s="522" t="s">
        <v>769</v>
      </c>
      <c r="U3621" s="522" t="s">
        <v>3638</v>
      </c>
      <c r="V3621" s="522">
        <f t="shared" si="356"/>
        <v>64.8</v>
      </c>
      <c r="W3621" s="530" t="s">
        <v>769</v>
      </c>
      <c r="X3621" s="522">
        <f t="shared" si="355"/>
        <v>259.2</v>
      </c>
      <c r="Y3621" s="522">
        <v>3</v>
      </c>
      <c r="Z3621" s="522" t="s">
        <v>769</v>
      </c>
      <c r="AA3621" s="522" t="s">
        <v>3637</v>
      </c>
      <c r="AB3621" s="522">
        <f t="shared" si="357"/>
        <v>64.8</v>
      </c>
      <c r="AC3621" s="522" t="s">
        <v>769</v>
      </c>
      <c r="AD3621" s="522">
        <f t="shared" si="358"/>
        <v>194.4</v>
      </c>
    </row>
    <row r="3622" spans="6:30" ht="18.75" customHeight="1">
      <c r="H3622" s="358"/>
      <c r="S3622" s="522">
        <v>1</v>
      </c>
      <c r="T3622" s="522" t="s">
        <v>769</v>
      </c>
      <c r="U3622" s="522" t="s">
        <v>2455</v>
      </c>
      <c r="V3622" s="522">
        <f t="shared" si="356"/>
        <v>181</v>
      </c>
      <c r="W3622" s="530" t="s">
        <v>769</v>
      </c>
      <c r="X3622" s="522">
        <f t="shared" si="355"/>
        <v>181</v>
      </c>
      <c r="Y3622" s="522">
        <v>2</v>
      </c>
      <c r="Z3622" s="522" t="s">
        <v>769</v>
      </c>
      <c r="AA3622" s="522" t="s">
        <v>3638</v>
      </c>
      <c r="AB3622" s="522">
        <f t="shared" si="357"/>
        <v>181</v>
      </c>
      <c r="AC3622" s="522" t="s">
        <v>769</v>
      </c>
      <c r="AD3622" s="522">
        <f t="shared" si="358"/>
        <v>362</v>
      </c>
    </row>
    <row r="3623" spans="6:30" ht="18.75" customHeight="1">
      <c r="F3623" s="447">
        <v>5.3E-3</v>
      </c>
      <c r="G3623" s="252" t="s">
        <v>1341</v>
      </c>
      <c r="H3623" s="296" t="s">
        <v>1342</v>
      </c>
      <c r="I3623" s="252">
        <f>I3600</f>
        <v>99400</v>
      </c>
      <c r="J3623" s="296" t="s">
        <v>869</v>
      </c>
      <c r="K3623" s="252">
        <f t="shared" ref="K3623:K3629" si="359">(F3623*I3623)</f>
        <v>526.82000000000005</v>
      </c>
      <c r="S3623" s="522">
        <v>118</v>
      </c>
      <c r="T3623" s="522" t="s">
        <v>769</v>
      </c>
      <c r="U3623" s="522" t="s">
        <v>3639</v>
      </c>
      <c r="V3623" s="522">
        <f t="shared" si="356"/>
        <v>2.41</v>
      </c>
      <c r="W3623" s="530" t="s">
        <v>769</v>
      </c>
      <c r="X3623" s="522">
        <f t="shared" si="355"/>
        <v>284.38</v>
      </c>
      <c r="Y3623" s="522">
        <v>1</v>
      </c>
      <c r="Z3623" s="522" t="s">
        <v>769</v>
      </c>
      <c r="AA3623" s="522" t="s">
        <v>2455</v>
      </c>
      <c r="AB3623" s="522">
        <f t="shared" si="357"/>
        <v>2.41</v>
      </c>
      <c r="AC3623" s="522" t="s">
        <v>769</v>
      </c>
      <c r="AD3623" s="522">
        <f t="shared" si="358"/>
        <v>2.41</v>
      </c>
    </row>
    <row r="3624" spans="6:30" ht="24" customHeight="1">
      <c r="F3624" s="447">
        <v>0.27450000000000002</v>
      </c>
      <c r="G3624" s="252" t="s">
        <v>609</v>
      </c>
      <c r="H3624" s="296" t="str">
        <f>H3602</f>
        <v>4 mm thicj frosted glass</v>
      </c>
      <c r="I3624" s="252">
        <f>I3602</f>
        <v>306.89999999999998</v>
      </c>
      <c r="J3624" s="296" t="s">
        <v>869</v>
      </c>
      <c r="K3624" s="252">
        <f t="shared" si="359"/>
        <v>84.24</v>
      </c>
      <c r="S3624" s="522">
        <v>2</v>
      </c>
      <c r="T3624" s="522" t="s">
        <v>769</v>
      </c>
      <c r="U3624" s="522" t="s">
        <v>3640</v>
      </c>
      <c r="V3624" s="522">
        <f t="shared" si="356"/>
        <v>23.1</v>
      </c>
      <c r="W3624" s="530" t="s">
        <v>769</v>
      </c>
      <c r="X3624" s="522">
        <f t="shared" si="355"/>
        <v>46.2</v>
      </c>
      <c r="Y3624" s="522">
        <v>92</v>
      </c>
      <c r="Z3624" s="522" t="s">
        <v>769</v>
      </c>
      <c r="AA3624" s="522" t="s">
        <v>3639</v>
      </c>
      <c r="AB3624" s="522">
        <f t="shared" si="357"/>
        <v>23.1</v>
      </c>
      <c r="AC3624" s="522" t="s">
        <v>769</v>
      </c>
      <c r="AD3624" s="522">
        <f t="shared" si="358"/>
        <v>2125.1999999999998</v>
      </c>
    </row>
    <row r="3625" spans="6:30" ht="24" customHeight="1">
      <c r="F3625" s="447">
        <v>0.4</v>
      </c>
      <c r="G3625" s="252" t="s">
        <v>609</v>
      </c>
      <c r="H3625" s="296" t="s">
        <v>2092</v>
      </c>
      <c r="I3625" s="252">
        <f>AE34</f>
        <v>1197</v>
      </c>
      <c r="J3625" s="296" t="s">
        <v>609</v>
      </c>
      <c r="K3625" s="252">
        <f t="shared" si="359"/>
        <v>478.8</v>
      </c>
      <c r="S3625" s="522">
        <v>2</v>
      </c>
      <c r="T3625" s="522" t="s">
        <v>769</v>
      </c>
      <c r="U3625" s="522" t="s">
        <v>3641</v>
      </c>
      <c r="V3625" s="522">
        <f t="shared" si="356"/>
        <v>49.55</v>
      </c>
      <c r="W3625" s="530" t="s">
        <v>769</v>
      </c>
      <c r="X3625" s="522">
        <f t="shared" si="355"/>
        <v>99.1</v>
      </c>
      <c r="Y3625" s="522">
        <v>1</v>
      </c>
      <c r="Z3625" s="522" t="s">
        <v>769</v>
      </c>
      <c r="AA3625" s="522" t="s">
        <v>3640</v>
      </c>
      <c r="AB3625" s="522">
        <f t="shared" si="357"/>
        <v>49.55</v>
      </c>
      <c r="AC3625" s="522" t="s">
        <v>769</v>
      </c>
      <c r="AD3625" s="522">
        <f t="shared" si="358"/>
        <v>49.55</v>
      </c>
    </row>
    <row r="3626" spans="6:30" ht="24" customHeight="1">
      <c r="F3626" s="252">
        <v>2</v>
      </c>
      <c r="G3626" s="252" t="s">
        <v>1995</v>
      </c>
      <c r="H3626" s="376" t="s">
        <v>1996</v>
      </c>
      <c r="I3626" s="314">
        <v>148</v>
      </c>
      <c r="J3626" s="296" t="s">
        <v>1995</v>
      </c>
      <c r="K3626" s="252">
        <f t="shared" si="359"/>
        <v>296</v>
      </c>
      <c r="S3626" s="526"/>
      <c r="T3626" s="522" t="s">
        <v>609</v>
      </c>
      <c r="U3626" s="522"/>
      <c r="W3626" s="530" t="s">
        <v>609</v>
      </c>
      <c r="X3626" s="522">
        <f>V3625*S3626</f>
        <v>0</v>
      </c>
      <c r="Y3626" s="522">
        <v>1</v>
      </c>
      <c r="Z3626" s="522" t="s">
        <v>769</v>
      </c>
      <c r="AA3626" s="522" t="s">
        <v>3641</v>
      </c>
      <c r="AB3626" s="522">
        <f t="shared" si="357"/>
        <v>0</v>
      </c>
      <c r="AC3626" s="522" t="s">
        <v>769</v>
      </c>
      <c r="AD3626" s="522">
        <f t="shared" si="358"/>
        <v>0</v>
      </c>
    </row>
    <row r="3627" spans="6:30" ht="24" customHeight="1">
      <c r="F3627" s="252">
        <v>1</v>
      </c>
      <c r="G3627" s="252" t="s">
        <v>868</v>
      </c>
      <c r="H3627" s="296" t="s">
        <v>1997</v>
      </c>
      <c r="I3627" s="252">
        <f>C293</f>
        <v>6.1</v>
      </c>
      <c r="J3627" s="296" t="s">
        <v>868</v>
      </c>
      <c r="K3627" s="252">
        <f t="shared" si="359"/>
        <v>6.1</v>
      </c>
      <c r="S3627" s="522"/>
      <c r="T3627" s="522"/>
      <c r="U3627" s="522" t="s">
        <v>3643</v>
      </c>
      <c r="V3627" s="522"/>
      <c r="W3627" s="530"/>
      <c r="X3627" s="522">
        <f>SUM(X3617:X3626)</f>
        <v>7403.08</v>
      </c>
      <c r="Y3627" s="609">
        <v>0.35</v>
      </c>
      <c r="Z3627" s="522" t="s">
        <v>609</v>
      </c>
      <c r="AA3627" s="522"/>
      <c r="AC3627" s="522" t="s">
        <v>609</v>
      </c>
      <c r="AD3627" s="522">
        <f t="shared" si="358"/>
        <v>0</v>
      </c>
    </row>
    <row r="3628" spans="6:30" ht="24" customHeight="1">
      <c r="F3628" s="252">
        <v>1</v>
      </c>
      <c r="G3628" s="252" t="s">
        <v>868</v>
      </c>
      <c r="H3628" s="296" t="s">
        <v>1998</v>
      </c>
      <c r="I3628" s="252">
        <f>C291</f>
        <v>11.8</v>
      </c>
      <c r="J3628" s="296" t="s">
        <v>868</v>
      </c>
      <c r="K3628" s="252">
        <f t="shared" si="359"/>
        <v>11.8</v>
      </c>
      <c r="S3628" s="522"/>
      <c r="T3628" s="522"/>
      <c r="U3628" s="522"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59"/>
        <v>24.1</v>
      </c>
      <c r="W3629" s="253"/>
      <c r="Y3629" s="522"/>
      <c r="Z3629" s="522"/>
      <c r="AA3629" s="522" t="s">
        <v>3225</v>
      </c>
      <c r="AB3629" s="522"/>
      <c r="AC3629" s="523"/>
      <c r="AD3629" s="522">
        <f>AD3628/Y3619</f>
        <v>2594.48</v>
      </c>
    </row>
    <row r="3630" spans="6:30" ht="24" customHeight="1">
      <c r="K3630" s="358" t="s">
        <v>1586</v>
      </c>
      <c r="S3630" s="252"/>
      <c r="U3630" s="276" t="s">
        <v>1741</v>
      </c>
      <c r="W3630" s="253"/>
    </row>
    <row r="3631" spans="6:30" ht="24" customHeight="1">
      <c r="H3631" s="253" t="s">
        <v>34</v>
      </c>
      <c r="K3631" s="252">
        <f>SUM(K3613:K3629)</f>
        <v>1427.86</v>
      </c>
      <c r="S3631" s="252"/>
      <c r="U3631" s="255"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52" t="s">
        <v>3124</v>
      </c>
      <c r="V3634" s="252">
        <f>P1111</f>
        <v>111600</v>
      </c>
      <c r="W3634" s="253" t="s">
        <v>869</v>
      </c>
      <c r="X3634" s="252">
        <f>V3634*S3634</f>
        <v>2544.48</v>
      </c>
    </row>
    <row r="3635" spans="6:33" ht="24" customHeight="1">
      <c r="K3635" s="358" t="s">
        <v>2055</v>
      </c>
      <c r="S3635" s="316">
        <v>3.5400000000000001E-2</v>
      </c>
      <c r="T3635" s="252" t="s">
        <v>869</v>
      </c>
      <c r="U3635" s="252" t="s">
        <v>2488</v>
      </c>
      <c r="V3635" s="252">
        <f>P1112</f>
        <v>99400</v>
      </c>
      <c r="W3635" s="253" t="s">
        <v>869</v>
      </c>
      <c r="X3635" s="252">
        <f t="shared" ref="X3635:X3644" si="360">V3635*S3635</f>
        <v>3518.76</v>
      </c>
    </row>
    <row r="3636" spans="6:33" ht="24" customHeight="1">
      <c r="F3636" s="252">
        <v>45</v>
      </c>
      <c r="H3636" s="614" t="s">
        <v>3987</v>
      </c>
      <c r="I3636" s="614"/>
      <c r="J3636" s="614"/>
      <c r="S3636" s="400">
        <v>3.2300000000000002E-2</v>
      </c>
      <c r="T3636" s="252" t="s">
        <v>869</v>
      </c>
      <c r="U3636" s="252" t="s">
        <v>937</v>
      </c>
      <c r="V3636" s="252">
        <f>P1113</f>
        <v>95000</v>
      </c>
      <c r="W3636" s="253" t="s">
        <v>869</v>
      </c>
      <c r="X3636" s="252">
        <f t="shared" si="360"/>
        <v>3068.5</v>
      </c>
    </row>
    <row r="3637" spans="6:33" ht="24" customHeight="1">
      <c r="H3637" s="614"/>
      <c r="I3637" s="614"/>
      <c r="J3637" s="614"/>
      <c r="S3637" s="356">
        <v>2.835</v>
      </c>
      <c r="T3637" s="252" t="s">
        <v>609</v>
      </c>
      <c r="U3637" s="252" t="s">
        <v>883</v>
      </c>
      <c r="V3637" s="252">
        <f>P1114</f>
        <v>1537</v>
      </c>
      <c r="W3637" s="253" t="s">
        <v>609</v>
      </c>
      <c r="X3637" s="252">
        <f t="shared" si="360"/>
        <v>4357.3999999999996</v>
      </c>
    </row>
    <row r="3638" spans="6:33" ht="24" customHeight="1">
      <c r="S3638" s="252">
        <v>2</v>
      </c>
      <c r="T3638" s="252" t="s">
        <v>1873</v>
      </c>
      <c r="U3638" s="252" t="s">
        <v>3736</v>
      </c>
      <c r="V3638" s="362">
        <v>254.5</v>
      </c>
      <c r="W3638" s="253" t="s">
        <v>1398</v>
      </c>
      <c r="X3638" s="252">
        <f t="shared" si="360"/>
        <v>509</v>
      </c>
    </row>
    <row r="3639" spans="6:33" ht="24" customHeight="1">
      <c r="F3639" s="259">
        <v>0.15</v>
      </c>
      <c r="G3639" s="259" t="s">
        <v>869</v>
      </c>
      <c r="H3639" s="262" t="s">
        <v>5913</v>
      </c>
      <c r="I3639" s="615">
        <f>91.1/0.0354</f>
        <v>2573.4499999999998</v>
      </c>
      <c r="J3639" s="261" t="s">
        <v>869</v>
      </c>
      <c r="K3639" s="259">
        <f t="shared" ref="K3639:K3644" si="361">I3639*F3639</f>
        <v>386.02</v>
      </c>
      <c r="L3639" s="259"/>
      <c r="S3639" s="252">
        <v>6</v>
      </c>
      <c r="T3639" s="252" t="s">
        <v>1873</v>
      </c>
      <c r="U3639" s="252" t="s">
        <v>3737</v>
      </c>
      <c r="V3639" s="362">
        <v>214.1</v>
      </c>
      <c r="W3639" s="253" t="s">
        <v>1398</v>
      </c>
      <c r="X3639" s="252">
        <f t="shared" si="360"/>
        <v>1284.5999999999999</v>
      </c>
    </row>
    <row r="3640" spans="6:33" ht="33" customHeight="1">
      <c r="F3640" s="316">
        <v>7.1999999999999995E-2</v>
      </c>
      <c r="G3640" s="252" t="s">
        <v>861</v>
      </c>
      <c r="H3640" s="252" t="s">
        <v>862</v>
      </c>
      <c r="I3640" s="252">
        <f>I1645</f>
        <v>6040</v>
      </c>
      <c r="J3640" s="296" t="s">
        <v>861</v>
      </c>
      <c r="K3640" s="252">
        <f t="shared" si="361"/>
        <v>434.88</v>
      </c>
      <c r="S3640" s="252">
        <v>4</v>
      </c>
      <c r="T3640" s="252" t="s">
        <v>1873</v>
      </c>
      <c r="U3640" s="252" t="s">
        <v>3738</v>
      </c>
      <c r="V3640" s="362">
        <v>408</v>
      </c>
      <c r="W3640" s="253" t="s">
        <v>1398</v>
      </c>
      <c r="X3640" s="252">
        <f t="shared" si="360"/>
        <v>1632</v>
      </c>
    </row>
    <row r="3641" spans="6:33" ht="24" customHeight="1">
      <c r="F3641" s="252">
        <v>1.6</v>
      </c>
      <c r="G3641" s="252" t="s">
        <v>769</v>
      </c>
      <c r="H3641" s="252" t="s">
        <v>2009</v>
      </c>
      <c r="I3641" s="252">
        <f>I1646</f>
        <v>999</v>
      </c>
      <c r="J3641" s="296" t="s">
        <v>769</v>
      </c>
      <c r="K3641" s="252">
        <f t="shared" si="361"/>
        <v>1598.4</v>
      </c>
      <c r="S3641" s="252">
        <v>1</v>
      </c>
      <c r="T3641" s="252" t="s">
        <v>1873</v>
      </c>
      <c r="U3641" s="252" t="s">
        <v>3739</v>
      </c>
      <c r="V3641" s="314">
        <v>985</v>
      </c>
      <c r="W3641" s="253" t="s">
        <v>1398</v>
      </c>
      <c r="X3641" s="252">
        <f t="shared" si="360"/>
        <v>985</v>
      </c>
    </row>
    <row r="3642" spans="6:33" ht="24" customHeight="1">
      <c r="F3642" s="252">
        <v>0.5</v>
      </c>
      <c r="G3642" s="252" t="s">
        <v>769</v>
      </c>
      <c r="H3642" s="252" t="s">
        <v>1902</v>
      </c>
      <c r="I3642" s="252">
        <f>I1647</f>
        <v>651</v>
      </c>
      <c r="J3642" s="296" t="s">
        <v>769</v>
      </c>
      <c r="K3642" s="252">
        <f t="shared" si="361"/>
        <v>325.5</v>
      </c>
      <c r="S3642" s="252">
        <v>2</v>
      </c>
      <c r="T3642" s="252" t="s">
        <v>1873</v>
      </c>
      <c r="U3642" s="252" t="s">
        <v>3731</v>
      </c>
      <c r="V3642" s="314">
        <v>23.1</v>
      </c>
      <c r="W3642" s="253" t="s">
        <v>1398</v>
      </c>
      <c r="X3642" s="252">
        <f t="shared" si="360"/>
        <v>46.2</v>
      </c>
    </row>
    <row r="3643" spans="6:33" ht="24" customHeight="1">
      <c r="F3643" s="252">
        <v>1.1000000000000001</v>
      </c>
      <c r="G3643" s="252" t="s">
        <v>769</v>
      </c>
      <c r="H3643" s="252" t="s">
        <v>320</v>
      </c>
      <c r="I3643" s="252">
        <f>I1648</f>
        <v>534</v>
      </c>
      <c r="J3643" s="296" t="s">
        <v>769</v>
      </c>
      <c r="K3643" s="252">
        <f t="shared" si="361"/>
        <v>587.4</v>
      </c>
      <c r="S3643" s="252">
        <v>2</v>
      </c>
      <c r="T3643" s="252" t="s">
        <v>1873</v>
      </c>
      <c r="U3643" s="252" t="s">
        <v>1982</v>
      </c>
      <c r="V3643" s="252">
        <v>49.55</v>
      </c>
      <c r="W3643" s="253" t="s">
        <v>1398</v>
      </c>
      <c r="X3643" s="252">
        <f t="shared" si="360"/>
        <v>99.1</v>
      </c>
    </row>
    <row r="3644" spans="6:33" ht="24" customHeight="1">
      <c r="F3644" s="252">
        <v>14.5</v>
      </c>
      <c r="G3644" s="252" t="s">
        <v>359</v>
      </c>
      <c r="H3644" s="252" t="s">
        <v>3988</v>
      </c>
      <c r="I3644" s="252">
        <f>I3747</f>
        <v>24.93</v>
      </c>
      <c r="J3644" s="296" t="s">
        <v>359</v>
      </c>
      <c r="K3644" s="252">
        <f t="shared" si="361"/>
        <v>361.49</v>
      </c>
      <c r="S3644" s="252">
        <v>118</v>
      </c>
      <c r="T3644" s="274"/>
      <c r="U3644" s="252" t="s">
        <v>1141</v>
      </c>
      <c r="V3644" s="252">
        <v>2.41</v>
      </c>
      <c r="W3644" s="253"/>
      <c r="X3644" s="252">
        <f t="shared" si="360"/>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274"/>
      <c r="W3646" s="253"/>
      <c r="X3646" s="377" t="s">
        <v>146</v>
      </c>
    </row>
    <row r="3647" spans="6:33" ht="24" customHeight="1">
      <c r="H3647" s="252" t="s">
        <v>441</v>
      </c>
      <c r="K3647" s="252">
        <f>SUM(K3639:K3646)</f>
        <v>3700.69</v>
      </c>
      <c r="S3647" s="252"/>
      <c r="T3647" s="274"/>
      <c r="U3647" s="274" t="s">
        <v>2082</v>
      </c>
      <c r="W3647" s="253"/>
      <c r="X3647" s="274">
        <f>X3645/2.835</f>
        <v>6465.4</v>
      </c>
    </row>
    <row r="3648" spans="6:33" ht="24" customHeight="1">
      <c r="H3648" s="252" t="s">
        <v>552</v>
      </c>
      <c r="K3648" s="252">
        <f>K3647/10</f>
        <v>370.07</v>
      </c>
      <c r="S3648" s="252"/>
      <c r="T3648" s="274"/>
      <c r="W3648" s="253"/>
      <c r="X3648" s="377" t="s">
        <v>146</v>
      </c>
      <c r="AB3648" s="1096" t="s">
        <v>5742</v>
      </c>
      <c r="AC3648" s="1096"/>
      <c r="AD3648" s="1096"/>
      <c r="AE3648" s="1096"/>
      <c r="AF3648" s="1096"/>
      <c r="AG3648" s="1096"/>
    </row>
    <row r="3649" spans="6:33" ht="24" customHeight="1">
      <c r="S3649" s="252"/>
      <c r="W3649" s="253"/>
      <c r="AB3649" s="1096"/>
      <c r="AC3649" s="1096"/>
      <c r="AD3649" s="1096"/>
      <c r="AE3649" s="1096"/>
      <c r="AF3649" s="1096"/>
      <c r="AG3649" s="1096"/>
    </row>
    <row r="3650" spans="6:33" ht="24" customHeight="1">
      <c r="K3650" s="252" t="s">
        <v>2055</v>
      </c>
      <c r="S3650" s="487" t="s">
        <v>4120</v>
      </c>
      <c r="T3650" s="487"/>
      <c r="U3650" s="487"/>
      <c r="V3650" s="487"/>
      <c r="W3650" s="482"/>
      <c r="X3650" s="482"/>
      <c r="Y3650" s="481"/>
      <c r="AB3650" s="484"/>
      <c r="AC3650" s="481"/>
      <c r="AD3650" s="482"/>
      <c r="AE3650" s="481"/>
      <c r="AF3650" s="481"/>
      <c r="AG3650" s="481"/>
    </row>
    <row r="3651" spans="6:33" ht="24" customHeight="1">
      <c r="S3651" s="484"/>
      <c r="T3651" s="481"/>
      <c r="U3651" s="482"/>
      <c r="V3651" s="481"/>
      <c r="W3651" s="486"/>
      <c r="X3651" s="481"/>
      <c r="Y3651" s="481"/>
      <c r="AB3651" s="484"/>
      <c r="AC3651" s="481"/>
      <c r="AD3651" s="485"/>
      <c r="AE3651" s="616"/>
      <c r="AF3651" s="481"/>
      <c r="AG3651" s="481"/>
    </row>
    <row r="3652" spans="6:33" ht="24" customHeight="1">
      <c r="H3652" s="255" t="s">
        <v>3823</v>
      </c>
      <c r="J3652" s="252"/>
      <c r="S3652" s="484"/>
      <c r="T3652" s="481"/>
      <c r="U3652" s="485"/>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2">AE3653*AB3653</f>
        <v>1325.36</v>
      </c>
    </row>
    <row r="3654" spans="6:33" ht="24" customHeight="1">
      <c r="G3654" s="296" t="s">
        <v>2251</v>
      </c>
      <c r="H3654" s="276" t="s">
        <v>3824</v>
      </c>
      <c r="J3654" s="252"/>
      <c r="S3654" s="619">
        <v>3.82</v>
      </c>
      <c r="T3654" s="481" t="s">
        <v>826</v>
      </c>
      <c r="U3654" s="485" t="s">
        <v>5914</v>
      </c>
      <c r="V3654" s="618">
        <v>38.25</v>
      </c>
      <c r="W3654" s="486" t="s">
        <v>826</v>
      </c>
      <c r="X3654" s="481">
        <v>501.66</v>
      </c>
      <c r="Y3654" s="481"/>
      <c r="AB3654" s="484">
        <v>2.4300000000000002</v>
      </c>
      <c r="AC3654" s="481" t="s">
        <v>233</v>
      </c>
      <c r="AD3654" s="485" t="s">
        <v>4039</v>
      </c>
      <c r="AE3654" s="481">
        <f>V3655</f>
        <v>362.5</v>
      </c>
      <c r="AF3654" s="481" t="s">
        <v>233</v>
      </c>
      <c r="AG3654" s="481">
        <f t="shared" si="362"/>
        <v>880.88</v>
      </c>
    </row>
    <row r="3655" spans="6:33" ht="24" customHeight="1">
      <c r="H3655" s="276" t="s">
        <v>3825</v>
      </c>
      <c r="J3655" s="252"/>
      <c r="S3655" s="484">
        <v>1.52</v>
      </c>
      <c r="T3655" s="481" t="s">
        <v>233</v>
      </c>
      <c r="U3655" s="485" t="s">
        <v>4039</v>
      </c>
      <c r="V3655" s="618">
        <v>362.5</v>
      </c>
      <c r="W3655" s="486" t="s">
        <v>233</v>
      </c>
      <c r="X3655" s="481">
        <f t="shared" ref="X3655:X3664" si="363">V3655*S3655</f>
        <v>551</v>
      </c>
      <c r="Y3655" s="481"/>
      <c r="AB3655" s="484">
        <v>4.8499999999999996</v>
      </c>
      <c r="AC3655" s="481" t="s">
        <v>233</v>
      </c>
      <c r="AD3655" s="485" t="s">
        <v>4040</v>
      </c>
      <c r="AE3655" s="481">
        <f>V3656</f>
        <v>695</v>
      </c>
      <c r="AF3655" s="481" t="s">
        <v>769</v>
      </c>
      <c r="AG3655" s="481">
        <f t="shared" si="362"/>
        <v>3370.75</v>
      </c>
    </row>
    <row r="3656" spans="6:33" ht="24" customHeight="1">
      <c r="H3656" s="276" t="s">
        <v>153</v>
      </c>
      <c r="J3656" s="252"/>
      <c r="S3656" s="484">
        <v>1.52</v>
      </c>
      <c r="T3656" s="481" t="s">
        <v>233</v>
      </c>
      <c r="U3656" s="485" t="s">
        <v>4040</v>
      </c>
      <c r="V3656" s="616">
        <v>695</v>
      </c>
      <c r="W3656" s="486" t="s">
        <v>769</v>
      </c>
      <c r="X3656" s="481">
        <f t="shared" si="363"/>
        <v>1056.4000000000001</v>
      </c>
      <c r="Y3656" s="481"/>
      <c r="AB3656" s="522">
        <v>144</v>
      </c>
      <c r="AC3656" s="522" t="s">
        <v>1873</v>
      </c>
      <c r="AD3656" s="522" t="s">
        <v>5915</v>
      </c>
      <c r="AE3656" s="618">
        <v>2.41</v>
      </c>
      <c r="AF3656" s="523" t="s">
        <v>1394</v>
      </c>
      <c r="AG3656" s="481">
        <f>AE3656*AB3656</f>
        <v>347.04</v>
      </c>
    </row>
    <row r="3657" spans="6:33" ht="24" customHeight="1">
      <c r="H3657" s="358" t="s">
        <v>1586</v>
      </c>
      <c r="J3657" s="252"/>
      <c r="S3657" s="484">
        <v>3</v>
      </c>
      <c r="T3657" s="481" t="s">
        <v>222</v>
      </c>
      <c r="U3657" s="485" t="s">
        <v>5916</v>
      </c>
      <c r="V3657" s="618">
        <v>11.9</v>
      </c>
      <c r="W3657" s="486" t="s">
        <v>222</v>
      </c>
      <c r="X3657" s="481">
        <f t="shared" si="363"/>
        <v>35.700000000000003</v>
      </c>
      <c r="Y3657" s="481"/>
      <c r="AB3657" s="522">
        <v>12</v>
      </c>
      <c r="AC3657" s="522" t="s">
        <v>1873</v>
      </c>
      <c r="AD3657" s="522" t="s">
        <v>5917</v>
      </c>
      <c r="AE3657" s="618">
        <v>4.88</v>
      </c>
      <c r="AF3657" s="523" t="s">
        <v>1394</v>
      </c>
      <c r="AG3657" s="481">
        <f>AE3657*AB3657</f>
        <v>58.56</v>
      </c>
    </row>
    <row r="3658" spans="6:33" ht="24" customHeight="1">
      <c r="G3658" s="296" t="s">
        <v>154</v>
      </c>
      <c r="H3658" s="620" t="s">
        <v>3826</v>
      </c>
      <c r="J3658" s="252"/>
      <c r="S3658" s="484">
        <v>4.2</v>
      </c>
      <c r="T3658" s="481" t="s">
        <v>1398</v>
      </c>
      <c r="U3658" s="485" t="s">
        <v>5366</v>
      </c>
      <c r="V3658" s="618">
        <v>7.95</v>
      </c>
      <c r="W3658" s="486" t="s">
        <v>769</v>
      </c>
      <c r="X3658" s="481">
        <f t="shared" si="363"/>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485" t="s">
        <v>3922</v>
      </c>
      <c r="V3659" s="481">
        <f>X3675</f>
        <v>1998</v>
      </c>
      <c r="W3659" s="486" t="s">
        <v>2283</v>
      </c>
      <c r="X3659" s="481">
        <f t="shared" si="363"/>
        <v>6293.7</v>
      </c>
      <c r="Y3659" s="481"/>
      <c r="AB3659" s="484">
        <v>2</v>
      </c>
      <c r="AC3659" s="481" t="s">
        <v>222</v>
      </c>
      <c r="AD3659" s="485" t="s">
        <v>4123</v>
      </c>
      <c r="AE3659" s="618">
        <f>V3657</f>
        <v>11.9</v>
      </c>
      <c r="AF3659" s="481" t="s">
        <v>222</v>
      </c>
      <c r="AG3659" s="481">
        <f t="shared" si="362"/>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274" t="s">
        <v>5367</v>
      </c>
      <c r="V3660" s="366">
        <v>49.55</v>
      </c>
      <c r="W3660" s="255" t="s">
        <v>1398</v>
      </c>
      <c r="X3660" s="274">
        <f t="shared" si="363"/>
        <v>49.55</v>
      </c>
      <c r="Y3660" s="481"/>
      <c r="AB3660" s="484">
        <v>6.6150000000000002</v>
      </c>
      <c r="AC3660" s="481" t="s">
        <v>2283</v>
      </c>
      <c r="AD3660" s="485" t="s">
        <v>3922</v>
      </c>
      <c r="AE3660" s="618">
        <f>V3659</f>
        <v>1998</v>
      </c>
      <c r="AF3660" s="481" t="s">
        <v>2283</v>
      </c>
      <c r="AG3660" s="481">
        <f t="shared" si="362"/>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274" t="s">
        <v>4124</v>
      </c>
      <c r="V3661" s="366">
        <v>1008</v>
      </c>
      <c r="W3661" s="255" t="s">
        <v>1398</v>
      </c>
      <c r="X3661" s="274">
        <f t="shared" si="363"/>
        <v>1008</v>
      </c>
      <c r="Y3661" s="481"/>
      <c r="AB3661" s="484"/>
      <c r="AC3661" s="481"/>
      <c r="AD3661" s="296" t="s">
        <v>4043</v>
      </c>
      <c r="AE3661" s="618"/>
      <c r="AF3661" s="481"/>
      <c r="AG3661" s="487">
        <f>SUM(AG3652:AG3660)</f>
        <v>31865.62</v>
      </c>
    </row>
    <row r="3662" spans="6:33" ht="40.5" customHeight="1">
      <c r="F3662" s="252">
        <v>30</v>
      </c>
      <c r="G3662" s="296" t="s">
        <v>1771</v>
      </c>
      <c r="H3662" s="275" t="s">
        <v>5979</v>
      </c>
      <c r="I3662" s="621">
        <v>288</v>
      </c>
      <c r="J3662" s="296" t="s">
        <v>1771</v>
      </c>
      <c r="K3662" s="252">
        <f>(F3662*I3662)</f>
        <v>8640</v>
      </c>
      <c r="S3662" s="522">
        <v>45</v>
      </c>
      <c r="T3662" s="522" t="s">
        <v>1873</v>
      </c>
      <c r="U3662" s="522" t="s">
        <v>5368</v>
      </c>
      <c r="V3662" s="608">
        <v>2.21</v>
      </c>
      <c r="W3662" s="530" t="s">
        <v>1394</v>
      </c>
      <c r="X3662" s="481">
        <f t="shared" si="363"/>
        <v>99.45</v>
      </c>
      <c r="Y3662" s="481"/>
      <c r="AB3662" s="484"/>
      <c r="AC3662" s="481"/>
      <c r="AD3662" s="296" t="s">
        <v>552</v>
      </c>
      <c r="AE3662" s="618"/>
      <c r="AF3662" s="482"/>
      <c r="AG3662" s="487">
        <f>AG3661/AB3660</f>
        <v>4817.18</v>
      </c>
    </row>
    <row r="3663" spans="6:33" ht="45.75" customHeight="1">
      <c r="J3663" s="252"/>
      <c r="S3663" s="522">
        <v>2</v>
      </c>
      <c r="T3663" s="522" t="s">
        <v>1873</v>
      </c>
      <c r="U3663" s="522" t="s">
        <v>6054</v>
      </c>
      <c r="V3663" s="608">
        <v>130.5</v>
      </c>
      <c r="W3663" s="255" t="s">
        <v>1398</v>
      </c>
      <c r="X3663" s="481">
        <f t="shared" si="363"/>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522" t="s">
        <v>6055</v>
      </c>
      <c r="V3664" s="608">
        <v>64.8</v>
      </c>
      <c r="W3664" s="255" t="s">
        <v>1398</v>
      </c>
      <c r="X3664" s="481">
        <f t="shared" si="363"/>
        <v>129.6</v>
      </c>
      <c r="Y3664" s="481"/>
      <c r="AB3664" s="481">
        <v>1</v>
      </c>
      <c r="AC3664" s="481" t="s">
        <v>868</v>
      </c>
      <c r="AD3664" s="485" t="s">
        <v>6139</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6140</v>
      </c>
      <c r="AE3665" s="618">
        <f>V3671</f>
        <v>651</v>
      </c>
      <c r="AF3665" s="485" t="s">
        <v>868</v>
      </c>
      <c r="AG3665" s="481">
        <f>AE3665*AB3665</f>
        <v>651</v>
      </c>
    </row>
    <row r="3666" spans="6:33" ht="24" customHeight="1">
      <c r="H3666" s="296" t="s">
        <v>2160</v>
      </c>
      <c r="J3666" s="252"/>
      <c r="S3666" s="484"/>
      <c r="T3666" s="481"/>
      <c r="U3666" s="485"/>
      <c r="V3666" s="481"/>
      <c r="W3666" s="486"/>
      <c r="X3666" s="481"/>
      <c r="Y3666" s="481"/>
      <c r="AB3666" s="481">
        <v>0.5</v>
      </c>
      <c r="AC3666" s="481" t="s">
        <v>868</v>
      </c>
      <c r="AD3666" s="485" t="s">
        <v>6141</v>
      </c>
      <c r="AE3666" s="618">
        <f>V3672</f>
        <v>932</v>
      </c>
      <c r="AF3666" s="485" t="s">
        <v>868</v>
      </c>
      <c r="AG3666" s="481">
        <f>AE3666*AB3666</f>
        <v>466</v>
      </c>
    </row>
    <row r="3667" spans="6:33" ht="24" customHeight="1">
      <c r="H3667" s="296" t="s">
        <v>2161</v>
      </c>
      <c r="J3667" s="252"/>
      <c r="S3667" s="484"/>
      <c r="T3667" s="481"/>
      <c r="U3667" s="296" t="s">
        <v>4115</v>
      </c>
      <c r="W3667" s="486"/>
      <c r="X3667" s="481">
        <f>SUM(X3653:X3666)</f>
        <v>19278.7</v>
      </c>
      <c r="Y3667" s="481"/>
      <c r="AB3667" s="481"/>
      <c r="AC3667" s="481" t="s">
        <v>449</v>
      </c>
      <c r="AD3667" s="485"/>
      <c r="AE3667" s="618">
        <f>V3673</f>
        <v>0</v>
      </c>
      <c r="AF3667" s="485" t="s">
        <v>449</v>
      </c>
      <c r="AG3667" s="481"/>
    </row>
    <row r="3668" spans="6:33" ht="24" customHeight="1">
      <c r="H3668" s="296" t="s">
        <v>5980</v>
      </c>
      <c r="J3668" s="252"/>
      <c r="S3668" s="484"/>
      <c r="T3668" s="481"/>
      <c r="U3668" s="296"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489"/>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485" t="s">
        <v>6139</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485" t="s">
        <v>6140</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485" t="s">
        <v>6141</v>
      </c>
      <c r="V3672" s="481">
        <f>AE20</f>
        <v>932</v>
      </c>
      <c r="W3672" s="486" t="s">
        <v>868</v>
      </c>
      <c r="X3672" s="481">
        <f>V3672*S3672</f>
        <v>466</v>
      </c>
      <c r="Y3672" s="481"/>
    </row>
    <row r="3673" spans="6:33" ht="24" customHeight="1">
      <c r="J3673" s="252"/>
      <c r="S3673" s="481"/>
      <c r="T3673" s="481" t="s">
        <v>449</v>
      </c>
      <c r="U3673" s="485"/>
      <c r="V3673" s="481"/>
      <c r="W3673" s="486" t="s">
        <v>449</v>
      </c>
      <c r="X3673" s="481"/>
      <c r="Y3673" s="481"/>
    </row>
    <row r="3674" spans="6:33" ht="24" customHeight="1">
      <c r="J3674" s="252"/>
      <c r="K3674" s="358" t="s">
        <v>1586</v>
      </c>
      <c r="S3674" s="481"/>
      <c r="T3674" s="481"/>
      <c r="U3674" s="481"/>
      <c r="V3674" s="481"/>
      <c r="W3674" s="486"/>
      <c r="X3674" s="490" t="s">
        <v>1586</v>
      </c>
      <c r="Y3674" s="481"/>
    </row>
    <row r="3675" spans="6:33" ht="24" customHeight="1">
      <c r="H3675" s="296" t="s">
        <v>1544</v>
      </c>
      <c r="J3675" s="252"/>
      <c r="K3675" s="252">
        <f>SUM(K3660:K3672)</f>
        <v>14427.83</v>
      </c>
      <c r="S3675" s="481"/>
      <c r="T3675" s="481"/>
      <c r="U3675" s="485" t="s">
        <v>3931</v>
      </c>
      <c r="V3675" s="481"/>
      <c r="W3675" s="486"/>
      <c r="X3675" s="487">
        <f>SUM(X3670:X3674)</f>
        <v>1998</v>
      </c>
      <c r="Y3675" s="481"/>
    </row>
    <row r="3676" spans="6:33" ht="24" customHeight="1">
      <c r="J3676" s="252"/>
      <c r="K3676" s="358" t="s">
        <v>1586</v>
      </c>
      <c r="S3676" s="481"/>
      <c r="T3676" s="481"/>
      <c r="U3676" s="481"/>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24"/>
      <c r="V3679" s="624"/>
      <c r="W3679" s="625"/>
      <c r="X3679" s="624"/>
    </row>
    <row r="3680" spans="6:33" ht="24" customHeight="1">
      <c r="H3680" s="358" t="s">
        <v>1586</v>
      </c>
      <c r="J3680" s="252"/>
      <c r="S3680" s="1091" t="s">
        <v>4121</v>
      </c>
      <c r="T3680" s="1091"/>
      <c r="U3680" s="1091"/>
      <c r="V3680" s="1091"/>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48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485"/>
      <c r="V3682" s="481"/>
      <c r="W3682" s="486"/>
      <c r="X3682" s="481"/>
    </row>
    <row r="3683" spans="6:25" ht="33.75" customHeight="1">
      <c r="F3683" s="252">
        <f>F3662</f>
        <v>30</v>
      </c>
      <c r="G3683" s="296" t="s">
        <v>1771</v>
      </c>
      <c r="H3683" s="275" t="s">
        <v>5979</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485" t="s">
        <v>4041</v>
      </c>
      <c r="V3684" s="481">
        <f t="shared" ref="V3684:V3694" si="364">V3654</f>
        <v>38.25</v>
      </c>
      <c r="W3684" s="486" t="s">
        <v>826</v>
      </c>
      <c r="X3684" s="481">
        <f t="shared" ref="X3684:X3694" si="365">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4"/>
        <v>362.5</v>
      </c>
      <c r="W3685" s="486" t="s">
        <v>233</v>
      </c>
      <c r="X3685" s="481">
        <f t="shared" si="365"/>
        <v>540.13</v>
      </c>
    </row>
    <row r="3686" spans="6:25" ht="24" customHeight="1">
      <c r="H3686" s="296" t="str">
        <f>H3665</f>
        <v>TO PROPER GRADEAND</v>
      </c>
      <c r="J3686" s="252"/>
      <c r="S3686" s="484">
        <v>0.75</v>
      </c>
      <c r="T3686" s="481" t="s">
        <v>233</v>
      </c>
      <c r="U3686" s="485" t="s">
        <v>4040</v>
      </c>
      <c r="V3686" s="481">
        <f t="shared" si="364"/>
        <v>695</v>
      </c>
      <c r="W3686" s="486" t="s">
        <v>769</v>
      </c>
      <c r="X3686" s="481">
        <f t="shared" si="365"/>
        <v>521.25</v>
      </c>
    </row>
    <row r="3687" spans="6:25" ht="24" customHeight="1">
      <c r="H3687" s="296" t="str">
        <f>H3666</f>
        <v>ALIGNMENT,JOINTING</v>
      </c>
      <c r="J3687" s="252"/>
      <c r="S3687" s="626">
        <v>2</v>
      </c>
      <c r="T3687" s="481" t="s">
        <v>222</v>
      </c>
      <c r="U3687" s="485" t="s">
        <v>4123</v>
      </c>
      <c r="V3687" s="481">
        <f t="shared" si="364"/>
        <v>11.9</v>
      </c>
      <c r="W3687" s="486" t="s">
        <v>222</v>
      </c>
      <c r="X3687" s="481">
        <f t="shared" si="365"/>
        <v>23.8</v>
      </c>
    </row>
    <row r="3688" spans="6:25" ht="24" customHeight="1">
      <c r="G3688" s="296"/>
      <c r="H3688" s="296" t="str">
        <f>H3667</f>
        <v>ETC BUT EXCLUDING  COST OF</v>
      </c>
      <c r="S3688" s="484">
        <v>7.08</v>
      </c>
      <c r="T3688" s="481" t="s">
        <v>1398</v>
      </c>
      <c r="U3688" s="485" t="s">
        <v>4109</v>
      </c>
      <c r="V3688" s="481">
        <f t="shared" si="364"/>
        <v>7.95</v>
      </c>
      <c r="W3688" s="486" t="s">
        <v>769</v>
      </c>
      <c r="X3688" s="481">
        <f t="shared" si="365"/>
        <v>56.29</v>
      </c>
    </row>
    <row r="3689" spans="6:25" ht="24" customHeight="1">
      <c r="G3689" s="296"/>
      <c r="H3689" s="296" t="s">
        <v>5980</v>
      </c>
      <c r="S3689" s="484">
        <v>2.1</v>
      </c>
      <c r="T3689" s="481" t="s">
        <v>2283</v>
      </c>
      <c r="U3689" s="485" t="s">
        <v>3922</v>
      </c>
      <c r="V3689" s="481">
        <f t="shared" si="364"/>
        <v>1998</v>
      </c>
      <c r="W3689" s="486" t="s">
        <v>2283</v>
      </c>
      <c r="X3689" s="481">
        <f t="shared" si="365"/>
        <v>4195.8</v>
      </c>
    </row>
    <row r="3690" spans="6:25" ht="24" customHeight="1">
      <c r="G3690" s="296"/>
      <c r="H3690" s="296"/>
      <c r="S3690" s="274">
        <v>1</v>
      </c>
      <c r="T3690" s="274" t="s">
        <v>1873</v>
      </c>
      <c r="U3690" s="274" t="s">
        <v>4110</v>
      </c>
      <c r="V3690" s="481">
        <f t="shared" si="364"/>
        <v>49.55</v>
      </c>
      <c r="W3690" s="255" t="s">
        <v>1398</v>
      </c>
      <c r="X3690" s="481">
        <f t="shared" si="365"/>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4"/>
        <v>1008</v>
      </c>
      <c r="W3691" s="255" t="s">
        <v>1398</v>
      </c>
      <c r="X3691" s="481">
        <f t="shared" si="365"/>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4"/>
        <v>2.21</v>
      </c>
      <c r="W3692" s="530" t="s">
        <v>1394</v>
      </c>
      <c r="X3692" s="481">
        <f t="shared" si="365"/>
        <v>13.26</v>
      </c>
    </row>
    <row r="3693" spans="6:25" ht="24" customHeight="1">
      <c r="H3693" s="296" t="str">
        <f>H3672</f>
        <v>SUNDRIES</v>
      </c>
      <c r="J3693" s="296" t="s">
        <v>449</v>
      </c>
      <c r="K3693" s="252">
        <v>24.3</v>
      </c>
      <c r="S3693" s="522">
        <v>2</v>
      </c>
      <c r="T3693" s="522" t="s">
        <v>1873</v>
      </c>
      <c r="U3693" s="522" t="s">
        <v>4125</v>
      </c>
      <c r="V3693" s="481">
        <f t="shared" si="364"/>
        <v>130.5</v>
      </c>
      <c r="W3693" s="255" t="s">
        <v>1398</v>
      </c>
      <c r="X3693" s="481">
        <f t="shared" si="365"/>
        <v>261</v>
      </c>
    </row>
    <row r="3694" spans="6:25" ht="24" customHeight="1">
      <c r="J3694" s="252"/>
      <c r="S3694" s="522">
        <v>2</v>
      </c>
      <c r="T3694" s="522" t="s">
        <v>1873</v>
      </c>
      <c r="U3694" s="522" t="s">
        <v>4114</v>
      </c>
      <c r="V3694" s="481">
        <f t="shared" si="364"/>
        <v>64.8</v>
      </c>
      <c r="W3694" s="255" t="s">
        <v>1398</v>
      </c>
      <c r="X3694" s="481">
        <f t="shared" si="365"/>
        <v>129.6</v>
      </c>
    </row>
    <row r="3695" spans="6:25" ht="24" customHeight="1">
      <c r="H3695" s="296" t="s">
        <v>1544</v>
      </c>
      <c r="J3695" s="252"/>
      <c r="K3695" s="252">
        <f>SUM(K3681:K3694)</f>
        <v>24154.18</v>
      </c>
      <c r="S3695" s="252"/>
      <c r="U3695" s="296" t="s">
        <v>4126</v>
      </c>
      <c r="W3695" s="486"/>
      <c r="X3695" s="481">
        <f>SUM(X3683:X3694)</f>
        <v>16596.61</v>
      </c>
      <c r="Y3695" s="481"/>
    </row>
    <row r="3696" spans="6:25" ht="24" customHeight="1">
      <c r="J3696" s="252"/>
      <c r="K3696" s="358" t="s">
        <v>1586</v>
      </c>
      <c r="S3696" s="624"/>
      <c r="T3696" s="624"/>
      <c r="U3696" s="296" t="s">
        <v>552</v>
      </c>
      <c r="W3696" s="482"/>
      <c r="X3696" s="487">
        <f>X3695/2.1</f>
        <v>7903.15</v>
      </c>
      <c r="Y3696" s="487"/>
    </row>
    <row r="3697" spans="6:26" ht="24" customHeight="1">
      <c r="H3697" s="296" t="s">
        <v>1545</v>
      </c>
      <c r="J3697" s="252"/>
      <c r="K3697" s="274">
        <f>(K3695/30)</f>
        <v>805.14</v>
      </c>
      <c r="S3697" s="624"/>
      <c r="T3697" s="624"/>
      <c r="U3697" s="624"/>
      <c r="V3697" s="624"/>
      <c r="W3697" s="625"/>
      <c r="X3697" s="624"/>
    </row>
    <row r="3698" spans="6:26" ht="24" customHeight="1">
      <c r="J3698" s="252"/>
      <c r="S3698" s="252"/>
      <c r="U3698" s="274" t="s">
        <v>4222</v>
      </c>
      <c r="W3698" s="253"/>
    </row>
    <row r="3699" spans="6:26" ht="24" customHeight="1">
      <c r="S3699" s="487"/>
      <c r="T3699" s="487"/>
      <c r="U3699" s="627" t="s">
        <v>6171</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485"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485"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485"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274"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274"/>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097" t="s">
        <v>4061</v>
      </c>
      <c r="G3711" s="1097"/>
      <c r="H3711" s="1097"/>
      <c r="I3711" s="1097"/>
      <c r="J3711" s="1097"/>
      <c r="K3711" s="1097"/>
      <c r="L3711" s="624"/>
      <c r="M3711" s="624"/>
      <c r="N3711" s="624"/>
      <c r="O3711" s="1098" t="s">
        <v>4724</v>
      </c>
      <c r="P3711" s="1098"/>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Y3712" s="481"/>
    </row>
    <row r="3713" spans="6:25" ht="36.75" customHeight="1">
      <c r="F3713" s="518">
        <v>36</v>
      </c>
      <c r="G3713" s="624" t="s">
        <v>826</v>
      </c>
      <c r="H3713" s="577" t="s">
        <v>5918</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6">P3713*M3713</f>
        <v>7585.8</v>
      </c>
      <c r="S3713" s="487"/>
      <c r="T3713" s="487"/>
      <c r="U3713" s="627" t="s">
        <v>6172</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6"/>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6"/>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6"/>
        <v>449.44</v>
      </c>
      <c r="S3716" s="619">
        <v>10.433999999999999</v>
      </c>
      <c r="T3716" s="481" t="s">
        <v>826</v>
      </c>
      <c r="U3716" s="485" t="s">
        <v>4041</v>
      </c>
      <c r="V3716" s="481">
        <f t="shared" ref="V3716:V3721" si="367">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66"/>
        <v>25882.9</v>
      </c>
      <c r="S3717" s="484">
        <v>2.16</v>
      </c>
      <c r="T3717" s="481" t="s">
        <v>233</v>
      </c>
      <c r="U3717" s="485" t="s">
        <v>4218</v>
      </c>
      <c r="V3717" s="481">
        <f t="shared" si="367"/>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66"/>
        <v>16</v>
      </c>
      <c r="S3718" s="484">
        <v>6</v>
      </c>
      <c r="T3718" s="481" t="s">
        <v>1432</v>
      </c>
      <c r="U3718" s="485" t="s">
        <v>4220</v>
      </c>
      <c r="V3718" s="481">
        <f t="shared" si="367"/>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485" t="s">
        <v>4219</v>
      </c>
      <c r="V3719" s="481">
        <f t="shared" si="367"/>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485" t="s">
        <v>4221</v>
      </c>
      <c r="V3720" s="481">
        <f t="shared" si="367"/>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7"/>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274"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274"/>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6173</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8">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8"/>
        <v>434.88</v>
      </c>
      <c r="L3746" s="624"/>
      <c r="M3746" s="624"/>
      <c r="N3746" s="624"/>
      <c r="W3746" s="253"/>
    </row>
    <row r="3747" spans="6:23" ht="24" customHeight="1">
      <c r="F3747" s="518">
        <v>14.5</v>
      </c>
      <c r="G3747" s="518" t="s">
        <v>913</v>
      </c>
      <c r="H3747" s="276" t="s">
        <v>3966</v>
      </c>
      <c r="I3747" s="362">
        <f>P2433</f>
        <v>24.93</v>
      </c>
      <c r="J3747" s="518" t="s">
        <v>913</v>
      </c>
      <c r="K3747" s="518">
        <f t="shared" si="368"/>
        <v>361.49</v>
      </c>
      <c r="L3747" s="624"/>
      <c r="M3747" s="624"/>
      <c r="N3747" s="624"/>
      <c r="W3747" s="253"/>
    </row>
    <row r="3748" spans="6:23" ht="24" customHeight="1">
      <c r="F3748" s="518">
        <v>1.6</v>
      </c>
      <c r="G3748" s="518" t="s">
        <v>258</v>
      </c>
      <c r="H3748" s="518" t="s">
        <v>4065</v>
      </c>
      <c r="I3748" s="518">
        <f>AE9</f>
        <v>999</v>
      </c>
      <c r="J3748" s="518" t="s">
        <v>258</v>
      </c>
      <c r="K3748" s="518">
        <f t="shared" si="368"/>
        <v>1598.4</v>
      </c>
      <c r="L3748" s="624"/>
      <c r="M3748" s="624"/>
      <c r="N3748" s="624"/>
      <c r="W3748" s="253"/>
    </row>
    <row r="3749" spans="6:23" ht="24" customHeight="1">
      <c r="F3749" s="518">
        <v>0.5</v>
      </c>
      <c r="G3749" s="518" t="s">
        <v>258</v>
      </c>
      <c r="H3749" s="577" t="s">
        <v>1902</v>
      </c>
      <c r="I3749" s="518">
        <f>AE11</f>
        <v>651</v>
      </c>
      <c r="J3749" s="518" t="s">
        <v>258</v>
      </c>
      <c r="K3749" s="518">
        <f t="shared" si="368"/>
        <v>325.5</v>
      </c>
      <c r="L3749" s="624"/>
      <c r="M3749" s="624"/>
      <c r="N3749" s="624"/>
      <c r="W3749" s="253"/>
    </row>
    <row r="3750" spans="6:23" ht="24" customHeight="1">
      <c r="F3750" s="518">
        <v>1.1000000000000001</v>
      </c>
      <c r="G3750" s="518" t="s">
        <v>258</v>
      </c>
      <c r="H3750" s="577" t="s">
        <v>320</v>
      </c>
      <c r="I3750" s="518">
        <f>AE12</f>
        <v>534</v>
      </c>
      <c r="J3750" s="518" t="s">
        <v>258</v>
      </c>
      <c r="K3750" s="518">
        <f t="shared" si="368"/>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69">I3781*F3781</f>
        <v>12629.5</v>
      </c>
      <c r="L3781" s="481"/>
      <c r="W3781" s="253"/>
    </row>
    <row r="3782" spans="6:23" ht="24" customHeight="1">
      <c r="F3782" s="484">
        <v>2.4300000000000002</v>
      </c>
      <c r="G3782" s="648" t="s">
        <v>233</v>
      </c>
      <c r="H3782" s="649" t="s">
        <v>4039</v>
      </c>
      <c r="I3782" s="618">
        <v>362.5</v>
      </c>
      <c r="J3782" s="481" t="s">
        <v>233</v>
      </c>
      <c r="K3782" s="481">
        <f t="shared" si="369"/>
        <v>880.88</v>
      </c>
      <c r="L3782" s="481"/>
      <c r="W3782" s="253"/>
    </row>
    <row r="3783" spans="6:23" ht="24" customHeight="1">
      <c r="F3783" s="484">
        <v>4.8499999999999996</v>
      </c>
      <c r="G3783" s="648" t="s">
        <v>233</v>
      </c>
      <c r="H3783" s="649" t="s">
        <v>4040</v>
      </c>
      <c r="I3783" s="616">
        <v>695</v>
      </c>
      <c r="J3783" s="481" t="s">
        <v>769</v>
      </c>
      <c r="K3783" s="481">
        <f t="shared" si="369"/>
        <v>3370.75</v>
      </c>
      <c r="L3783" s="481"/>
      <c r="W3783" s="253"/>
    </row>
    <row r="3784" spans="6:23" ht="24" customHeight="1">
      <c r="F3784" s="619">
        <v>34.65</v>
      </c>
      <c r="G3784" s="648" t="s">
        <v>826</v>
      </c>
      <c r="H3784" s="649" t="s">
        <v>5919</v>
      </c>
      <c r="I3784" s="618">
        <v>38.25</v>
      </c>
      <c r="J3784" s="481" t="s">
        <v>826</v>
      </c>
      <c r="K3784" s="481">
        <f t="shared" si="369"/>
        <v>1325.36</v>
      </c>
      <c r="L3784" s="481"/>
      <c r="W3784" s="253"/>
    </row>
    <row r="3785" spans="6:23" ht="24" customHeight="1">
      <c r="F3785" s="522">
        <v>144</v>
      </c>
      <c r="G3785" s="650" t="s">
        <v>1873</v>
      </c>
      <c r="H3785" s="650" t="s">
        <v>5920</v>
      </c>
      <c r="I3785" s="608">
        <v>2.41</v>
      </c>
      <c r="J3785" s="523" t="s">
        <v>1394</v>
      </c>
      <c r="K3785" s="481">
        <f t="shared" si="369"/>
        <v>347.04</v>
      </c>
      <c r="L3785" s="481"/>
      <c r="W3785" s="253"/>
    </row>
    <row r="3786" spans="6:23" ht="24" customHeight="1">
      <c r="F3786" s="522">
        <v>12</v>
      </c>
      <c r="G3786" s="650" t="s">
        <v>1873</v>
      </c>
      <c r="H3786" s="650" t="s">
        <v>5921</v>
      </c>
      <c r="I3786" s="608">
        <v>4.88</v>
      </c>
      <c r="J3786" s="523" t="s">
        <v>1394</v>
      </c>
      <c r="K3786" s="481">
        <f t="shared" si="369"/>
        <v>58.56</v>
      </c>
      <c r="L3786" s="481"/>
      <c r="W3786" s="253"/>
    </row>
    <row r="3787" spans="6:23" ht="24" customHeight="1">
      <c r="F3787" s="522">
        <v>12</v>
      </c>
      <c r="G3787" s="650" t="s">
        <v>1873</v>
      </c>
      <c r="H3787" s="650" t="s">
        <v>5922</v>
      </c>
      <c r="I3787" s="608">
        <v>1.08</v>
      </c>
      <c r="J3787" s="523" t="s">
        <v>1394</v>
      </c>
      <c r="K3787" s="481">
        <f t="shared" si="369"/>
        <v>12.96</v>
      </c>
      <c r="L3787" s="481"/>
      <c r="W3787" s="253"/>
    </row>
    <row r="3788" spans="6:23" ht="24" customHeight="1">
      <c r="F3788" s="484">
        <v>2</v>
      </c>
      <c r="G3788" s="648" t="s">
        <v>222</v>
      </c>
      <c r="H3788" s="649" t="s">
        <v>5923</v>
      </c>
      <c r="I3788" s="618">
        <v>11.9</v>
      </c>
      <c r="J3788" s="481" t="s">
        <v>222</v>
      </c>
      <c r="K3788" s="481">
        <f t="shared" si="369"/>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6139</v>
      </c>
      <c r="I3794" s="481">
        <f>AE17</f>
        <v>881</v>
      </c>
      <c r="J3794" s="485" t="s">
        <v>868</v>
      </c>
      <c r="K3794" s="481">
        <f>I3794*F3794</f>
        <v>881</v>
      </c>
      <c r="L3794" s="481"/>
      <c r="W3794" s="253"/>
    </row>
    <row r="3795" spans="6:23" ht="24" customHeight="1">
      <c r="F3795" s="481">
        <v>1</v>
      </c>
      <c r="G3795" s="481" t="s">
        <v>868</v>
      </c>
      <c r="H3795" s="485" t="s">
        <v>6140</v>
      </c>
      <c r="I3795" s="481">
        <f>AE11</f>
        <v>651</v>
      </c>
      <c r="J3795" s="485" t="s">
        <v>868</v>
      </c>
      <c r="K3795" s="481">
        <f>I3795*F3795</f>
        <v>651</v>
      </c>
      <c r="L3795" s="481"/>
      <c r="W3795" s="253"/>
    </row>
    <row r="3796" spans="6:23" ht="24" customHeight="1">
      <c r="F3796" s="481">
        <v>0.5</v>
      </c>
      <c r="G3796" s="481" t="s">
        <v>868</v>
      </c>
      <c r="H3796" s="485" t="s">
        <v>6141</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6128</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5929.26</v>
      </c>
      <c r="J3807" s="296" t="s">
        <v>869</v>
      </c>
      <c r="K3807" s="252">
        <f>(F3807*I3807)</f>
        <v>118.59</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3083.91</v>
      </c>
      <c r="W3812" s="253"/>
    </row>
    <row r="3813" spans="6:23" ht="24" customHeight="1">
      <c r="K3813" s="358" t="s">
        <v>1586</v>
      </c>
      <c r="W3813" s="253"/>
    </row>
    <row r="3814" spans="6:23" ht="24" customHeight="1">
      <c r="H3814" s="255" t="s">
        <v>552</v>
      </c>
      <c r="K3814" s="274">
        <f>(K3812/1.86)</f>
        <v>1658.02</v>
      </c>
      <c r="W3814" s="253"/>
    </row>
    <row r="3815" spans="6:23" ht="24" customHeight="1">
      <c r="K3815" s="358" t="s">
        <v>2055</v>
      </c>
      <c r="W3815" s="253"/>
    </row>
    <row r="3816" spans="6:23" ht="24" customHeight="1">
      <c r="W3816" s="253"/>
    </row>
    <row r="3817" spans="6:23" ht="24" customHeight="1">
      <c r="F3817" s="375"/>
      <c r="G3817" s="252" t="s">
        <v>2251</v>
      </c>
      <c r="H3817" s="296" t="s">
        <v>6127</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4479.66</v>
      </c>
      <c r="J3822" s="296" t="s">
        <v>869</v>
      </c>
      <c r="K3822" s="252">
        <f>(F3822*I3822)</f>
        <v>940.73</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0">I3458</f>
        <v>932</v>
      </c>
      <c r="J3825" s="296" t="s">
        <v>769</v>
      </c>
      <c r="K3825" s="252">
        <f>(F3825*I3825)</f>
        <v>1025.2</v>
      </c>
      <c r="W3825" s="253"/>
    </row>
    <row r="3826" spans="6:23" ht="24" customHeight="1">
      <c r="F3826" s="252">
        <v>2.2000000000000002</v>
      </c>
      <c r="G3826" s="252" t="s">
        <v>769</v>
      </c>
      <c r="H3826" s="296" t="s">
        <v>1902</v>
      </c>
      <c r="I3826" s="252">
        <f t="shared" si="370"/>
        <v>651</v>
      </c>
      <c r="J3826" s="296" t="s">
        <v>769</v>
      </c>
      <c r="K3826" s="252">
        <f>(F3826*I3826)</f>
        <v>1432.2</v>
      </c>
      <c r="W3826" s="253"/>
    </row>
    <row r="3827" spans="6:23" ht="24" customHeight="1">
      <c r="F3827" s="252">
        <v>2.2000000000000002</v>
      </c>
      <c r="G3827" s="252" t="s">
        <v>769</v>
      </c>
      <c r="H3827" s="296" t="s">
        <v>320</v>
      </c>
      <c r="I3827" s="252">
        <f t="shared" si="370"/>
        <v>534</v>
      </c>
      <c r="J3827" s="296" t="s">
        <v>769</v>
      </c>
      <c r="K3827" s="252">
        <f>(F3827*I3827)</f>
        <v>1174.8</v>
      </c>
      <c r="W3827" s="253"/>
    </row>
    <row r="3828" spans="6:23" ht="24" customHeight="1">
      <c r="F3828" s="356">
        <v>20</v>
      </c>
      <c r="G3828" s="252" t="s">
        <v>1645</v>
      </c>
      <c r="H3828" s="296" t="s">
        <v>862</v>
      </c>
      <c r="I3828" s="252">
        <f t="shared" si="370"/>
        <v>6040</v>
      </c>
      <c r="J3828" s="296" t="s">
        <v>861</v>
      </c>
      <c r="K3828" s="252">
        <f>(F3828*I3828)/1000</f>
        <v>120.8</v>
      </c>
      <c r="W3828" s="253"/>
    </row>
    <row r="3829" spans="6:23" ht="24" customHeight="1">
      <c r="F3829" s="356">
        <v>2</v>
      </c>
      <c r="G3829" s="252" t="s">
        <v>1645</v>
      </c>
      <c r="H3829" s="296" t="s">
        <v>2081</v>
      </c>
      <c r="I3829" s="252">
        <f t="shared" si="370"/>
        <v>36.1</v>
      </c>
      <c r="J3829" s="296" t="s">
        <v>1645</v>
      </c>
      <c r="K3829" s="252">
        <f>(F3829*I3829)</f>
        <v>72.2</v>
      </c>
      <c r="W3829" s="253"/>
    </row>
    <row r="3830" spans="6:23" ht="24" customHeight="1">
      <c r="F3830" s="252">
        <v>1.6</v>
      </c>
      <c r="G3830" s="252" t="s">
        <v>769</v>
      </c>
      <c r="H3830" s="296" t="s">
        <v>1712</v>
      </c>
      <c r="I3830" s="252">
        <f t="shared" si="370"/>
        <v>932</v>
      </c>
      <c r="J3830" s="296" t="s">
        <v>769</v>
      </c>
      <c r="K3830" s="252">
        <f>(F3830*I3830)</f>
        <v>1491.2</v>
      </c>
      <c r="W3830" s="253"/>
    </row>
    <row r="3831" spans="6:23" ht="24" customHeight="1">
      <c r="F3831" s="252">
        <v>0.5</v>
      </c>
      <c r="G3831" s="252" t="s">
        <v>769</v>
      </c>
      <c r="H3831" s="296" t="s">
        <v>1902</v>
      </c>
      <c r="I3831" s="252">
        <f t="shared" si="370"/>
        <v>651</v>
      </c>
      <c r="J3831" s="296" t="s">
        <v>769</v>
      </c>
      <c r="K3831" s="252">
        <f>(F3831*I3831)</f>
        <v>325.5</v>
      </c>
      <c r="W3831" s="253"/>
    </row>
    <row r="3832" spans="6:23" ht="24" customHeight="1">
      <c r="F3832" s="252">
        <v>1.1000000000000001</v>
      </c>
      <c r="G3832" s="252" t="s">
        <v>769</v>
      </c>
      <c r="H3832" s="296" t="s">
        <v>320</v>
      </c>
      <c r="I3832" s="252">
        <f t="shared" si="370"/>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13651.03</v>
      </c>
      <c r="W3835" s="253"/>
    </row>
    <row r="3836" spans="6:23" ht="24" customHeight="1">
      <c r="K3836" s="358" t="s">
        <v>1586</v>
      </c>
      <c r="W3836" s="253"/>
    </row>
    <row r="3837" spans="6:23" ht="24" customHeight="1">
      <c r="F3837" s="356"/>
      <c r="H3837" s="255" t="s">
        <v>552</v>
      </c>
      <c r="K3837" s="274">
        <f>(K3835/10)</f>
        <v>1365.1</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8463.24</v>
      </c>
      <c r="J3920" s="296" t="s">
        <v>869</v>
      </c>
      <c r="K3920" s="252">
        <f>F3920*I3920</f>
        <v>322.45</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1">F3922*I3922</f>
        <v>44.4</v>
      </c>
      <c r="W3922" s="253"/>
    </row>
    <row r="3923" spans="6:23" ht="24" customHeight="1">
      <c r="F3923" s="252">
        <v>12</v>
      </c>
      <c r="G3923" s="252" t="s">
        <v>868</v>
      </c>
      <c r="H3923" s="296" t="s">
        <v>1187</v>
      </c>
      <c r="I3923" s="399">
        <v>2</v>
      </c>
      <c r="J3923" s="296" t="s">
        <v>868</v>
      </c>
      <c r="K3923" s="252">
        <f t="shared" si="371"/>
        <v>24</v>
      </c>
      <c r="W3923" s="253"/>
    </row>
    <row r="3924" spans="6:23" ht="24" customHeight="1">
      <c r="F3924" s="252">
        <v>2</v>
      </c>
      <c r="G3924" s="252" t="s">
        <v>868</v>
      </c>
      <c r="H3924" s="296" t="s">
        <v>1188</v>
      </c>
      <c r="I3924" s="399">
        <v>4.9000000000000004</v>
      </c>
      <c r="J3924" s="296" t="s">
        <v>868</v>
      </c>
      <c r="K3924" s="252">
        <f t="shared" si="371"/>
        <v>9.8000000000000007</v>
      </c>
      <c r="W3924" s="253"/>
    </row>
    <row r="3925" spans="6:23" ht="24" customHeight="1">
      <c r="F3925" s="252">
        <v>6</v>
      </c>
      <c r="G3925" s="252" t="s">
        <v>868</v>
      </c>
      <c r="H3925" s="296" t="s">
        <v>2220</v>
      </c>
      <c r="I3925" s="399">
        <v>4.45</v>
      </c>
      <c r="J3925" s="296" t="s">
        <v>868</v>
      </c>
      <c r="K3925" s="252">
        <f t="shared" si="371"/>
        <v>26.7</v>
      </c>
      <c r="W3925" s="253"/>
    </row>
    <row r="3926" spans="6:23" ht="24" customHeight="1">
      <c r="F3926" s="252">
        <v>1</v>
      </c>
      <c r="G3926" s="252" t="s">
        <v>868</v>
      </c>
      <c r="H3926" s="296" t="s">
        <v>1193</v>
      </c>
      <c r="I3926" s="252">
        <f>I865</f>
        <v>999</v>
      </c>
      <c r="J3926" s="296" t="s">
        <v>868</v>
      </c>
      <c r="K3926" s="252">
        <f t="shared" si="371"/>
        <v>999</v>
      </c>
      <c r="W3926" s="253"/>
    </row>
    <row r="3927" spans="6:23" ht="24" customHeight="1">
      <c r="F3927" s="252">
        <v>1</v>
      </c>
      <c r="G3927" s="252" t="s">
        <v>868</v>
      </c>
      <c r="H3927" s="296" t="s">
        <v>1194</v>
      </c>
      <c r="I3927" s="252">
        <f>I866</f>
        <v>651</v>
      </c>
      <c r="J3927" s="296" t="s">
        <v>868</v>
      </c>
      <c r="K3927" s="252">
        <f t="shared" si="371"/>
        <v>651</v>
      </c>
      <c r="W3927" s="253"/>
    </row>
    <row r="3928" spans="6:23" ht="24" customHeight="1">
      <c r="F3928" s="252">
        <v>1</v>
      </c>
      <c r="G3928" s="252" t="s">
        <v>868</v>
      </c>
      <c r="H3928" s="296" t="s">
        <v>1195</v>
      </c>
      <c r="I3928" s="399">
        <v>25</v>
      </c>
      <c r="J3928" s="296" t="s">
        <v>868</v>
      </c>
      <c r="K3928" s="252">
        <f t="shared" si="371"/>
        <v>25</v>
      </c>
      <c r="W3928" s="253"/>
    </row>
    <row r="3929" spans="6:23" ht="24" customHeight="1">
      <c r="F3929" s="252">
        <v>0.5</v>
      </c>
      <c r="G3929" s="252" t="s">
        <v>868</v>
      </c>
      <c r="H3929" s="296" t="s">
        <v>1196</v>
      </c>
      <c r="I3929" s="252">
        <f>I868</f>
        <v>534</v>
      </c>
      <c r="J3929" s="296" t="s">
        <v>868</v>
      </c>
      <c r="K3929" s="252">
        <f t="shared" si="371"/>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2815.74</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6174</v>
      </c>
      <c r="I3938" s="252">
        <f t="shared" ref="I3938:I3945" si="372">I3920</f>
        <v>8463.24</v>
      </c>
      <c r="J3938" s="296" t="s">
        <v>869</v>
      </c>
      <c r="K3938" s="252">
        <f>F3938*I3938</f>
        <v>311.45</v>
      </c>
      <c r="W3938" s="253"/>
    </row>
    <row r="3939" spans="6:23" ht="46.5" customHeight="1">
      <c r="F3939" s="252">
        <v>4.87</v>
      </c>
      <c r="G3939" s="252" t="s">
        <v>1645</v>
      </c>
      <c r="H3939" s="296" t="s">
        <v>2074</v>
      </c>
      <c r="I3939" s="252">
        <f t="shared" si="372"/>
        <v>88873.5</v>
      </c>
      <c r="J3939" s="296" t="s">
        <v>861</v>
      </c>
      <c r="K3939" s="252">
        <f>F3939*I3939/1000</f>
        <v>432.81</v>
      </c>
      <c r="W3939" s="253"/>
    </row>
    <row r="3940" spans="6:23" ht="24" customHeight="1">
      <c r="F3940" s="252">
        <v>3</v>
      </c>
      <c r="G3940" s="252" t="s">
        <v>868</v>
      </c>
      <c r="H3940" s="296" t="s">
        <v>1186</v>
      </c>
      <c r="I3940" s="434">
        <f t="shared" si="372"/>
        <v>14.8</v>
      </c>
      <c r="J3940" s="296" t="s">
        <v>868</v>
      </c>
      <c r="K3940" s="252">
        <f t="shared" ref="K3940:K3947" si="373">F3940*I3940</f>
        <v>44.4</v>
      </c>
      <c r="W3940" s="253"/>
    </row>
    <row r="3941" spans="6:23" ht="24" customHeight="1">
      <c r="F3941" s="252">
        <v>12</v>
      </c>
      <c r="G3941" s="252" t="s">
        <v>868</v>
      </c>
      <c r="H3941" s="296" t="s">
        <v>1187</v>
      </c>
      <c r="I3941" s="434">
        <f t="shared" si="372"/>
        <v>2</v>
      </c>
      <c r="J3941" s="296" t="s">
        <v>868</v>
      </c>
      <c r="K3941" s="252">
        <f t="shared" si="373"/>
        <v>24</v>
      </c>
      <c r="W3941" s="253"/>
    </row>
    <row r="3942" spans="6:23" ht="24" customHeight="1">
      <c r="F3942" s="252">
        <v>2</v>
      </c>
      <c r="G3942" s="252" t="s">
        <v>868</v>
      </c>
      <c r="H3942" s="296" t="s">
        <v>1188</v>
      </c>
      <c r="I3942" s="434">
        <f t="shared" si="372"/>
        <v>4.9000000000000004</v>
      </c>
      <c r="J3942" s="296" t="s">
        <v>868</v>
      </c>
      <c r="K3942" s="252">
        <f t="shared" si="373"/>
        <v>9.8000000000000007</v>
      </c>
      <c r="W3942" s="253"/>
    </row>
    <row r="3943" spans="6:23" ht="24" customHeight="1">
      <c r="F3943" s="252">
        <v>6</v>
      </c>
      <c r="G3943" s="252" t="s">
        <v>868</v>
      </c>
      <c r="H3943" s="296" t="s">
        <v>2220</v>
      </c>
      <c r="I3943" s="434">
        <f t="shared" si="372"/>
        <v>4.45</v>
      </c>
      <c r="J3943" s="296" t="s">
        <v>868</v>
      </c>
      <c r="K3943" s="252">
        <f t="shared" si="373"/>
        <v>26.7</v>
      </c>
      <c r="W3943" s="253"/>
    </row>
    <row r="3944" spans="6:23" ht="24" customHeight="1">
      <c r="F3944" s="252">
        <v>1</v>
      </c>
      <c r="G3944" s="252" t="s">
        <v>868</v>
      </c>
      <c r="H3944" s="296" t="s">
        <v>1193</v>
      </c>
      <c r="I3944" s="252">
        <f t="shared" si="372"/>
        <v>999</v>
      </c>
      <c r="J3944" s="296" t="s">
        <v>868</v>
      </c>
      <c r="K3944" s="252">
        <f t="shared" si="373"/>
        <v>999</v>
      </c>
      <c r="W3944" s="253"/>
    </row>
    <row r="3945" spans="6:23" ht="24" customHeight="1">
      <c r="F3945" s="252">
        <v>1</v>
      </c>
      <c r="G3945" s="252" t="s">
        <v>868</v>
      </c>
      <c r="H3945" s="296" t="s">
        <v>1194</v>
      </c>
      <c r="I3945" s="252">
        <f t="shared" si="372"/>
        <v>651</v>
      </c>
      <c r="J3945" s="296" t="s">
        <v>868</v>
      </c>
      <c r="K3945" s="252">
        <f t="shared" si="373"/>
        <v>651</v>
      </c>
      <c r="W3945" s="253"/>
    </row>
    <row r="3946" spans="6:23" ht="24" customHeight="1">
      <c r="F3946" s="252">
        <v>1</v>
      </c>
      <c r="G3946" s="252" t="s">
        <v>868</v>
      </c>
      <c r="H3946" s="296" t="s">
        <v>1195</v>
      </c>
      <c r="I3946" s="420">
        <v>25</v>
      </c>
      <c r="J3946" s="296" t="s">
        <v>868</v>
      </c>
      <c r="K3946" s="252">
        <f t="shared" si="373"/>
        <v>25</v>
      </c>
      <c r="W3946" s="253"/>
    </row>
    <row r="3947" spans="6:23" ht="24" customHeight="1">
      <c r="F3947" s="252">
        <v>0.5</v>
      </c>
      <c r="G3947" s="252" t="s">
        <v>868</v>
      </c>
      <c r="H3947" s="296" t="s">
        <v>1196</v>
      </c>
      <c r="I3947" s="252">
        <f>I3929</f>
        <v>534</v>
      </c>
      <c r="J3947" s="296" t="s">
        <v>868</v>
      </c>
      <c r="K3947" s="252">
        <f t="shared" si="373"/>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2793.14</v>
      </c>
      <c r="L3950" s="252">
        <f>K3950-1729</f>
        <v>1064.1400000000001</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4">I3938</f>
        <v>8463.24</v>
      </c>
      <c r="J3954" s="296" t="s">
        <v>869</v>
      </c>
      <c r="K3954" s="252">
        <f>F3954*I3954</f>
        <v>298.75</v>
      </c>
      <c r="W3954" s="253"/>
    </row>
    <row r="3955" spans="6:23" ht="24" customHeight="1">
      <c r="F3955" s="252">
        <v>4.59</v>
      </c>
      <c r="G3955" s="252" t="s">
        <v>1645</v>
      </c>
      <c r="H3955" s="296" t="s">
        <v>2074</v>
      </c>
      <c r="I3955" s="252">
        <f t="shared" si="374"/>
        <v>88873.5</v>
      </c>
      <c r="J3955" s="296" t="s">
        <v>861</v>
      </c>
      <c r="K3955" s="252">
        <f>F3955*I3955/1000</f>
        <v>407.93</v>
      </c>
      <c r="W3955" s="253"/>
    </row>
    <row r="3956" spans="6:23" ht="24" customHeight="1">
      <c r="F3956" s="252">
        <v>3</v>
      </c>
      <c r="G3956" s="252" t="s">
        <v>868</v>
      </c>
      <c r="H3956" s="296" t="s">
        <v>1186</v>
      </c>
      <c r="I3956" s="434">
        <f t="shared" si="374"/>
        <v>14.8</v>
      </c>
      <c r="J3956" s="296" t="s">
        <v>868</v>
      </c>
      <c r="K3956" s="252">
        <f t="shared" ref="K3956:K3963" si="375">F3956*I3956</f>
        <v>44.4</v>
      </c>
      <c r="W3956" s="253"/>
    </row>
    <row r="3957" spans="6:23" ht="24" customHeight="1">
      <c r="F3957" s="252">
        <v>12</v>
      </c>
      <c r="G3957" s="252" t="s">
        <v>868</v>
      </c>
      <c r="H3957" s="296" t="s">
        <v>1187</v>
      </c>
      <c r="I3957" s="434">
        <f t="shared" si="374"/>
        <v>2</v>
      </c>
      <c r="J3957" s="296" t="s">
        <v>868</v>
      </c>
      <c r="K3957" s="252">
        <f t="shared" si="375"/>
        <v>24</v>
      </c>
      <c r="W3957" s="253"/>
    </row>
    <row r="3958" spans="6:23" ht="24" customHeight="1">
      <c r="F3958" s="252">
        <v>2</v>
      </c>
      <c r="G3958" s="252" t="s">
        <v>868</v>
      </c>
      <c r="H3958" s="252" t="str">
        <f>H3942</f>
        <v>TOWER BOLT RECEIVER</v>
      </c>
      <c r="I3958" s="434">
        <f t="shared" si="374"/>
        <v>4.9000000000000004</v>
      </c>
      <c r="J3958" s="296" t="s">
        <v>868</v>
      </c>
      <c r="K3958" s="252">
        <f t="shared" si="375"/>
        <v>9.8000000000000007</v>
      </c>
      <c r="W3958" s="253"/>
    </row>
    <row r="3959" spans="6:23" ht="24" customHeight="1">
      <c r="F3959" s="252">
        <v>6</v>
      </c>
      <c r="G3959" s="252" t="s">
        <v>868</v>
      </c>
      <c r="H3959" s="296" t="s">
        <v>2220</v>
      </c>
      <c r="I3959" s="434">
        <f t="shared" si="374"/>
        <v>4.45</v>
      </c>
      <c r="J3959" s="296" t="s">
        <v>868</v>
      </c>
      <c r="K3959" s="252">
        <f t="shared" si="375"/>
        <v>26.7</v>
      </c>
      <c r="W3959" s="253"/>
    </row>
    <row r="3960" spans="6:23" ht="24" customHeight="1">
      <c r="F3960" s="252">
        <v>1</v>
      </c>
      <c r="G3960" s="252" t="s">
        <v>868</v>
      </c>
      <c r="H3960" s="296" t="s">
        <v>1193</v>
      </c>
      <c r="I3960" s="252">
        <f>I3944</f>
        <v>999</v>
      </c>
      <c r="J3960" s="296" t="s">
        <v>868</v>
      </c>
      <c r="K3960" s="252">
        <f t="shared" si="375"/>
        <v>999</v>
      </c>
      <c r="W3960" s="253"/>
    </row>
    <row r="3961" spans="6:23" ht="24" customHeight="1">
      <c r="F3961" s="252">
        <v>1</v>
      </c>
      <c r="G3961" s="252" t="s">
        <v>868</v>
      </c>
      <c r="H3961" s="296" t="s">
        <v>1194</v>
      </c>
      <c r="I3961" s="252">
        <f>I3945</f>
        <v>651</v>
      </c>
      <c r="J3961" s="296" t="s">
        <v>868</v>
      </c>
      <c r="K3961" s="252">
        <f t="shared" si="375"/>
        <v>651</v>
      </c>
      <c r="W3961" s="253"/>
    </row>
    <row r="3962" spans="6:23" ht="24" customHeight="1">
      <c r="F3962" s="252">
        <v>1</v>
      </c>
      <c r="G3962" s="252" t="s">
        <v>868</v>
      </c>
      <c r="H3962" s="252" t="str">
        <f>H3946</f>
        <v>MOULDING CHARGES</v>
      </c>
      <c r="I3962" s="252">
        <f>I3946</f>
        <v>25</v>
      </c>
      <c r="J3962" s="296" t="s">
        <v>868</v>
      </c>
      <c r="K3962" s="252">
        <f t="shared" si="375"/>
        <v>25</v>
      </c>
      <c r="W3962" s="253"/>
    </row>
    <row r="3963" spans="6:23" ht="24" customHeight="1">
      <c r="F3963" s="252">
        <v>0.5</v>
      </c>
      <c r="G3963" s="252" t="s">
        <v>868</v>
      </c>
      <c r="H3963" s="296" t="s">
        <v>1196</v>
      </c>
      <c r="I3963" s="252">
        <f>I3947</f>
        <v>534</v>
      </c>
      <c r="J3963" s="296" t="s">
        <v>868</v>
      </c>
      <c r="K3963" s="252">
        <f t="shared" si="375"/>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2754.97</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8463.24</v>
      </c>
      <c r="J3971" s="296" t="s">
        <v>869</v>
      </c>
      <c r="K3971" s="252">
        <f>I3971*F3971</f>
        <v>550.11</v>
      </c>
      <c r="W3971" s="253"/>
    </row>
    <row r="3972" spans="6:23" ht="24" customHeight="1">
      <c r="F3972" s="438">
        <v>8.4499999999999993</v>
      </c>
      <c r="G3972" s="252" t="s">
        <v>1645</v>
      </c>
      <c r="H3972" s="296" t="s">
        <v>2074</v>
      </c>
      <c r="I3972" s="252">
        <f t="shared" ref="I3972:I3981" si="376">I3955</f>
        <v>88873.5</v>
      </c>
      <c r="J3972" s="296" t="s">
        <v>861</v>
      </c>
      <c r="K3972" s="252">
        <f>I3972*F3972/1000</f>
        <v>750.98</v>
      </c>
      <c r="W3972" s="253"/>
    </row>
    <row r="3973" spans="6:23" ht="24" customHeight="1">
      <c r="F3973" s="252">
        <v>3</v>
      </c>
      <c r="G3973" s="252" t="s">
        <v>868</v>
      </c>
      <c r="H3973" s="296" t="s">
        <v>1186</v>
      </c>
      <c r="I3973" s="252">
        <f t="shared" si="376"/>
        <v>14.8</v>
      </c>
      <c r="J3973" s="296" t="s">
        <v>868</v>
      </c>
      <c r="K3973" s="252">
        <f t="shared" ref="K3973:K3980" si="377">I3973*F3973</f>
        <v>44.4</v>
      </c>
      <c r="W3973" s="253"/>
    </row>
    <row r="3974" spans="6:23" ht="24" customHeight="1">
      <c r="F3974" s="252">
        <v>12</v>
      </c>
      <c r="G3974" s="252" t="s">
        <v>868</v>
      </c>
      <c r="H3974" s="296" t="s">
        <v>1187</v>
      </c>
      <c r="I3974" s="252">
        <f t="shared" si="376"/>
        <v>2</v>
      </c>
      <c r="J3974" s="296" t="s">
        <v>868</v>
      </c>
      <c r="K3974" s="252">
        <f t="shared" si="377"/>
        <v>24</v>
      </c>
      <c r="W3974" s="253"/>
    </row>
    <row r="3975" spans="6:23" ht="24" customHeight="1">
      <c r="F3975" s="252">
        <v>2</v>
      </c>
      <c r="G3975" s="252" t="s">
        <v>868</v>
      </c>
      <c r="H3975" s="296" t="s">
        <v>1188</v>
      </c>
      <c r="I3975" s="252">
        <f t="shared" si="376"/>
        <v>4.9000000000000004</v>
      </c>
      <c r="J3975" s="296" t="s">
        <v>868</v>
      </c>
      <c r="K3975" s="252">
        <f t="shared" si="377"/>
        <v>9.8000000000000007</v>
      </c>
      <c r="W3975" s="253"/>
    </row>
    <row r="3976" spans="6:23" ht="24" customHeight="1">
      <c r="F3976" s="252">
        <v>6</v>
      </c>
      <c r="G3976" s="252" t="s">
        <v>868</v>
      </c>
      <c r="H3976" s="296" t="s">
        <v>2220</v>
      </c>
      <c r="I3976" s="252">
        <f t="shared" si="376"/>
        <v>4.45</v>
      </c>
      <c r="J3976" s="296" t="s">
        <v>868</v>
      </c>
      <c r="K3976" s="252">
        <f t="shared" si="377"/>
        <v>26.7</v>
      </c>
      <c r="W3976" s="253"/>
    </row>
    <row r="3977" spans="6:23" ht="24" customHeight="1">
      <c r="F3977" s="252">
        <v>1</v>
      </c>
      <c r="G3977" s="252" t="s">
        <v>868</v>
      </c>
      <c r="H3977" s="296" t="s">
        <v>1193</v>
      </c>
      <c r="I3977" s="252">
        <f t="shared" si="376"/>
        <v>999</v>
      </c>
      <c r="J3977" s="296" t="s">
        <v>868</v>
      </c>
      <c r="K3977" s="252">
        <f t="shared" si="377"/>
        <v>999</v>
      </c>
      <c r="W3977" s="253"/>
    </row>
    <row r="3978" spans="6:23" ht="24" customHeight="1">
      <c r="F3978" s="252">
        <v>1</v>
      </c>
      <c r="G3978" s="252" t="s">
        <v>868</v>
      </c>
      <c r="H3978" s="296" t="s">
        <v>1194</v>
      </c>
      <c r="I3978" s="252">
        <f t="shared" si="376"/>
        <v>651</v>
      </c>
      <c r="J3978" s="296" t="s">
        <v>868</v>
      </c>
      <c r="K3978" s="252">
        <f t="shared" si="377"/>
        <v>651</v>
      </c>
      <c r="W3978" s="253"/>
    </row>
    <row r="3979" spans="6:23" ht="24" customHeight="1">
      <c r="F3979" s="252">
        <v>1</v>
      </c>
      <c r="G3979" s="252" t="s">
        <v>868</v>
      </c>
      <c r="H3979" s="296" t="s">
        <v>1195</v>
      </c>
      <c r="I3979" s="252">
        <f t="shared" si="376"/>
        <v>25</v>
      </c>
      <c r="J3979" s="296" t="s">
        <v>868</v>
      </c>
      <c r="K3979" s="252">
        <f t="shared" si="377"/>
        <v>25</v>
      </c>
      <c r="W3979" s="253"/>
    </row>
    <row r="3980" spans="6:23" ht="24" customHeight="1">
      <c r="F3980" s="252">
        <v>0.5</v>
      </c>
      <c r="G3980" s="252" t="s">
        <v>868</v>
      </c>
      <c r="H3980" s="296" t="s">
        <v>1196</v>
      </c>
      <c r="I3980" s="252">
        <f t="shared" si="376"/>
        <v>534</v>
      </c>
      <c r="J3980" s="296" t="s">
        <v>868</v>
      </c>
      <c r="K3980" s="252">
        <f t="shared" si="377"/>
        <v>267</v>
      </c>
      <c r="W3980" s="253"/>
    </row>
    <row r="3981" spans="6:23" ht="24" customHeight="1">
      <c r="G3981" s="252" t="s">
        <v>449</v>
      </c>
      <c r="H3981" s="296" t="s">
        <v>2139</v>
      </c>
      <c r="I3981" s="252">
        <f t="shared" si="376"/>
        <v>0</v>
      </c>
      <c r="J3981" s="296" t="s">
        <v>449</v>
      </c>
      <c r="K3981" s="252">
        <v>2.1</v>
      </c>
      <c r="W3981" s="253"/>
    </row>
    <row r="3982" spans="6:23" ht="24" customHeight="1">
      <c r="K3982" s="358" t="s">
        <v>1586</v>
      </c>
      <c r="W3982" s="253"/>
    </row>
    <row r="3983" spans="6:23" ht="24" customHeight="1">
      <c r="H3983" s="255" t="s">
        <v>283</v>
      </c>
      <c r="K3983" s="274">
        <f>SUM(K3971:K3981)</f>
        <v>3350.09</v>
      </c>
      <c r="W3983" s="253"/>
    </row>
    <row r="3984" spans="6:23" ht="24" customHeight="1">
      <c r="K3984" s="358" t="s">
        <v>1586</v>
      </c>
      <c r="W3984" s="253"/>
    </row>
    <row r="3985" spans="6:23" ht="24" customHeight="1">
      <c r="F3985" s="1095" t="s">
        <v>4312</v>
      </c>
      <c r="G3985" s="1095"/>
      <c r="H3985" s="1095"/>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78">I3987*F3987</f>
        <v>1586</v>
      </c>
      <c r="W3987" s="253"/>
    </row>
    <row r="3988" spans="6:23" ht="24" customHeight="1">
      <c r="F3988" s="356">
        <v>7.76</v>
      </c>
      <c r="G3988" s="252" t="s">
        <v>913</v>
      </c>
      <c r="H3988" s="296" t="s">
        <v>1854</v>
      </c>
      <c r="I3988" s="252">
        <f>I3987</f>
        <v>325</v>
      </c>
      <c r="J3988" s="252" t="s">
        <v>913</v>
      </c>
      <c r="K3988" s="252">
        <f t="shared" si="378"/>
        <v>2522</v>
      </c>
      <c r="W3988" s="253"/>
    </row>
    <row r="3989" spans="6:23" ht="24" customHeight="1">
      <c r="F3989" s="356">
        <v>3.03</v>
      </c>
      <c r="G3989" s="252" t="s">
        <v>913</v>
      </c>
      <c r="H3989" s="296" t="s">
        <v>1854</v>
      </c>
      <c r="I3989" s="252">
        <f>I3988</f>
        <v>325</v>
      </c>
      <c r="J3989" s="252" t="s">
        <v>913</v>
      </c>
      <c r="K3989" s="252">
        <f t="shared" si="378"/>
        <v>984.75</v>
      </c>
      <c r="W3989" s="253"/>
    </row>
    <row r="3990" spans="6:23" ht="24" customHeight="1">
      <c r="F3990" s="356">
        <v>1.45</v>
      </c>
      <c r="G3990" s="252" t="s">
        <v>913</v>
      </c>
      <c r="H3990" s="296" t="s">
        <v>1854</v>
      </c>
      <c r="I3990" s="252">
        <f>I3989</f>
        <v>325</v>
      </c>
      <c r="J3990" s="252" t="s">
        <v>913</v>
      </c>
      <c r="K3990" s="252">
        <f t="shared" si="378"/>
        <v>471.25</v>
      </c>
      <c r="W3990" s="253"/>
    </row>
    <row r="3991" spans="6:23" ht="24" customHeight="1">
      <c r="F3991" s="356">
        <v>2.4300000000000002</v>
      </c>
      <c r="G3991" s="252" t="s">
        <v>233</v>
      </c>
      <c r="H3991" s="296" t="s">
        <v>1855</v>
      </c>
      <c r="I3991" s="252">
        <f>AB1354</f>
        <v>306.89999999999998</v>
      </c>
      <c r="J3991" s="252" t="s">
        <v>233</v>
      </c>
      <c r="K3991" s="252">
        <f t="shared" si="378"/>
        <v>745.77</v>
      </c>
      <c r="W3991" s="253"/>
    </row>
    <row r="3992" spans="6:23" ht="24" customHeight="1">
      <c r="F3992" s="356">
        <v>11.7</v>
      </c>
      <c r="G3992" s="252" t="s">
        <v>826</v>
      </c>
      <c r="H3992" s="296" t="s">
        <v>1856</v>
      </c>
      <c r="I3992" s="252">
        <f>AB1355</f>
        <v>29.05</v>
      </c>
      <c r="J3992" s="252" t="s">
        <v>826</v>
      </c>
      <c r="K3992" s="252">
        <f t="shared" si="378"/>
        <v>339.89</v>
      </c>
      <c r="W3992" s="253"/>
    </row>
    <row r="3993" spans="6:23" ht="24" customHeight="1">
      <c r="F3993" s="356">
        <v>3</v>
      </c>
      <c r="G3993" s="252" t="s">
        <v>769</v>
      </c>
      <c r="H3993" s="296" t="s">
        <v>4314</v>
      </c>
      <c r="I3993" s="252">
        <v>350</v>
      </c>
      <c r="J3993" s="252" t="s">
        <v>769</v>
      </c>
      <c r="K3993" s="252">
        <f t="shared" si="378"/>
        <v>1050</v>
      </c>
      <c r="W3993" s="253"/>
    </row>
    <row r="3994" spans="6:23" ht="24" customHeight="1">
      <c r="F3994" s="356">
        <v>3</v>
      </c>
      <c r="G3994" s="252" t="s">
        <v>769</v>
      </c>
      <c r="H3994" s="296" t="s">
        <v>1858</v>
      </c>
      <c r="I3994" s="252">
        <f>V1359</f>
        <v>57.65</v>
      </c>
      <c r="J3994" s="252" t="s">
        <v>769</v>
      </c>
      <c r="K3994" s="252">
        <f t="shared" si="378"/>
        <v>172.95</v>
      </c>
      <c r="W3994" s="253"/>
    </row>
    <row r="3995" spans="6:23" ht="24" customHeight="1">
      <c r="F3995" s="356">
        <v>4</v>
      </c>
      <c r="G3995" s="252" t="s">
        <v>769</v>
      </c>
      <c r="H3995" s="296" t="s">
        <v>1861</v>
      </c>
      <c r="I3995" s="252">
        <f>AB1360</f>
        <v>15</v>
      </c>
      <c r="J3995" s="252" t="s">
        <v>769</v>
      </c>
      <c r="K3995" s="252">
        <f t="shared" si="378"/>
        <v>60</v>
      </c>
      <c r="W3995" s="253"/>
    </row>
    <row r="3996" spans="6:23" ht="24" customHeight="1">
      <c r="F3996" s="356">
        <v>2.4300000000000002</v>
      </c>
      <c r="G3996" s="252" t="s">
        <v>2283</v>
      </c>
      <c r="H3996" s="296" t="s">
        <v>1862</v>
      </c>
      <c r="I3996" s="252">
        <f>AB1361</f>
        <v>1998</v>
      </c>
      <c r="J3996" s="252" t="s">
        <v>769</v>
      </c>
      <c r="K3996" s="252">
        <f t="shared" si="378"/>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095" t="s">
        <v>4316</v>
      </c>
      <c r="I4002" s="1095"/>
      <c r="J4002" s="1095"/>
      <c r="K4002" s="1095"/>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79">I4007*F4007</f>
        <v>559.48</v>
      </c>
      <c r="W4007" s="253"/>
    </row>
    <row r="4008" spans="6:23" ht="24" customHeight="1">
      <c r="F4008" s="316">
        <v>8.1</v>
      </c>
      <c r="G4008" s="252" t="s">
        <v>826</v>
      </c>
      <c r="H4008" s="296" t="s">
        <v>1856</v>
      </c>
      <c r="I4008" s="252">
        <f>I3992</f>
        <v>29.05</v>
      </c>
      <c r="J4008" s="252" t="s">
        <v>826</v>
      </c>
      <c r="K4008" s="252">
        <f t="shared" si="379"/>
        <v>235.31</v>
      </c>
      <c r="W4008" s="253"/>
    </row>
    <row r="4009" spans="6:23" ht="24" customHeight="1">
      <c r="F4009" s="316">
        <v>2</v>
      </c>
      <c r="G4009" s="252" t="s">
        <v>3926</v>
      </c>
      <c r="H4009" s="296" t="s">
        <v>4317</v>
      </c>
      <c r="I4009" s="252">
        <f>I3993</f>
        <v>350</v>
      </c>
      <c r="J4009" s="252" t="s">
        <v>769</v>
      </c>
      <c r="K4009" s="252">
        <f t="shared" si="379"/>
        <v>700</v>
      </c>
      <c r="W4009" s="253"/>
    </row>
    <row r="4010" spans="6:23" ht="24" customHeight="1">
      <c r="F4010" s="316">
        <v>2</v>
      </c>
      <c r="G4010" s="252" t="s">
        <v>769</v>
      </c>
      <c r="H4010" s="296" t="s">
        <v>1858</v>
      </c>
      <c r="I4010" s="252">
        <f>I3994</f>
        <v>57.65</v>
      </c>
      <c r="J4010" s="252" t="s">
        <v>769</v>
      </c>
      <c r="K4010" s="252">
        <f t="shared" si="379"/>
        <v>115.3</v>
      </c>
      <c r="W4010" s="253"/>
    </row>
    <row r="4011" spans="6:23" ht="24" customHeight="1">
      <c r="F4011" s="316">
        <v>4</v>
      </c>
      <c r="G4011" s="252" t="s">
        <v>769</v>
      </c>
      <c r="H4011" s="296" t="s">
        <v>1861</v>
      </c>
      <c r="I4011" s="314">
        <v>15</v>
      </c>
      <c r="J4011" s="252" t="s">
        <v>769</v>
      </c>
      <c r="K4011" s="252">
        <f t="shared" si="379"/>
        <v>60</v>
      </c>
      <c r="W4011" s="253"/>
    </row>
    <row r="4012" spans="6:23" ht="24" customHeight="1">
      <c r="F4012" s="316">
        <v>1.823</v>
      </c>
      <c r="G4012" s="252" t="s">
        <v>2283</v>
      </c>
      <c r="H4012" s="296" t="s">
        <v>1862</v>
      </c>
      <c r="I4012" s="252">
        <f>I3996</f>
        <v>1998</v>
      </c>
      <c r="J4012" s="252" t="s">
        <v>2283</v>
      </c>
      <c r="K4012" s="252">
        <f t="shared" si="379"/>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0">I4019*F4019</f>
        <v>1485.25</v>
      </c>
      <c r="W4019" s="253"/>
    </row>
    <row r="4020" spans="6:23" ht="24" customHeight="1">
      <c r="F4020" s="356">
        <v>1.18</v>
      </c>
      <c r="G4020" s="252" t="s">
        <v>913</v>
      </c>
      <c r="H4020" s="296" t="s">
        <v>1854</v>
      </c>
      <c r="I4020" s="252">
        <f>I4019</f>
        <v>325</v>
      </c>
      <c r="J4020" s="252" t="s">
        <v>913</v>
      </c>
      <c r="K4020" s="252">
        <f t="shared" si="380"/>
        <v>383.5</v>
      </c>
      <c r="W4020" s="253"/>
    </row>
    <row r="4021" spans="6:23" ht="24" customHeight="1">
      <c r="F4021" s="356">
        <v>0.86</v>
      </c>
      <c r="G4021" s="252" t="s">
        <v>913</v>
      </c>
      <c r="H4021" s="296" t="s">
        <v>1854</v>
      </c>
      <c r="I4021" s="252">
        <f>I4020</f>
        <v>325</v>
      </c>
      <c r="J4021" s="252" t="s">
        <v>913</v>
      </c>
      <c r="K4021" s="252">
        <f t="shared" si="380"/>
        <v>279.5</v>
      </c>
      <c r="W4021" s="253"/>
    </row>
    <row r="4022" spans="6:23" ht="24" customHeight="1">
      <c r="F4022" s="356">
        <v>1.42</v>
      </c>
      <c r="G4022" s="252" t="s">
        <v>233</v>
      </c>
      <c r="H4022" s="296" t="s">
        <v>1855</v>
      </c>
      <c r="I4022" s="252">
        <f t="shared" ref="I4022:I4027" si="381">I4007</f>
        <v>306.89999999999998</v>
      </c>
      <c r="J4022" s="252" t="s">
        <v>233</v>
      </c>
      <c r="K4022" s="252">
        <f t="shared" si="380"/>
        <v>435.8</v>
      </c>
      <c r="W4022" s="253"/>
    </row>
    <row r="4023" spans="6:23" ht="24" customHeight="1">
      <c r="F4023" s="356">
        <v>6.9</v>
      </c>
      <c r="G4023" s="252" t="s">
        <v>826</v>
      </c>
      <c r="H4023" s="296" t="s">
        <v>1856</v>
      </c>
      <c r="I4023" s="252">
        <f t="shared" si="381"/>
        <v>29.05</v>
      </c>
      <c r="J4023" s="252" t="s">
        <v>826</v>
      </c>
      <c r="K4023" s="252">
        <f t="shared" si="380"/>
        <v>200.45</v>
      </c>
      <c r="W4023" s="253"/>
    </row>
    <row r="4024" spans="6:23" ht="24" customHeight="1">
      <c r="F4024" s="356">
        <v>2</v>
      </c>
      <c r="G4024" s="252" t="s">
        <v>769</v>
      </c>
      <c r="H4024" s="296" t="s">
        <v>4317</v>
      </c>
      <c r="I4024" s="252">
        <f t="shared" si="381"/>
        <v>350</v>
      </c>
      <c r="J4024" s="252" t="s">
        <v>769</v>
      </c>
      <c r="K4024" s="252">
        <f t="shared" si="380"/>
        <v>700</v>
      </c>
      <c r="W4024" s="253"/>
    </row>
    <row r="4025" spans="6:23" ht="24" customHeight="1">
      <c r="F4025" s="356">
        <v>2</v>
      </c>
      <c r="G4025" s="252" t="s">
        <v>769</v>
      </c>
      <c r="H4025" s="296" t="s">
        <v>1858</v>
      </c>
      <c r="I4025" s="252">
        <f t="shared" si="381"/>
        <v>57.65</v>
      </c>
      <c r="J4025" s="252" t="s">
        <v>769</v>
      </c>
      <c r="K4025" s="252">
        <f t="shared" si="380"/>
        <v>115.3</v>
      </c>
      <c r="W4025" s="253"/>
    </row>
    <row r="4026" spans="6:23" ht="24" customHeight="1">
      <c r="F4026" s="356">
        <v>4</v>
      </c>
      <c r="G4026" s="252" t="s">
        <v>769</v>
      </c>
      <c r="H4026" s="296" t="s">
        <v>1861</v>
      </c>
      <c r="I4026" s="252">
        <f t="shared" si="381"/>
        <v>15</v>
      </c>
      <c r="J4026" s="252" t="s">
        <v>769</v>
      </c>
      <c r="K4026" s="252">
        <f>I4026*F4026</f>
        <v>60</v>
      </c>
      <c r="W4026" s="253"/>
    </row>
    <row r="4027" spans="6:23" ht="24" customHeight="1">
      <c r="F4027" s="356">
        <v>1.42</v>
      </c>
      <c r="G4027" s="252" t="s">
        <v>2283</v>
      </c>
      <c r="H4027" s="296" t="s">
        <v>1862</v>
      </c>
      <c r="I4027" s="252">
        <f t="shared" si="381"/>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2">I4034*F4034</f>
        <v>226.59</v>
      </c>
      <c r="W4034" s="253"/>
    </row>
    <row r="4035" spans="6:23" ht="24" customHeight="1">
      <c r="F4035" s="484">
        <v>1.62</v>
      </c>
      <c r="G4035" s="481" t="s">
        <v>233</v>
      </c>
      <c r="H4035" s="485" t="s">
        <v>3918</v>
      </c>
      <c r="I4035" s="481">
        <f>I4022</f>
        <v>306.89999999999998</v>
      </c>
      <c r="J4035" s="481" t="s">
        <v>233</v>
      </c>
      <c r="K4035" s="481">
        <f t="shared" si="382"/>
        <v>497.18</v>
      </c>
      <c r="W4035" s="253"/>
    </row>
    <row r="4036" spans="6:23" ht="24" customHeight="1">
      <c r="F4036" s="484">
        <v>2</v>
      </c>
      <c r="G4036" s="481" t="s">
        <v>769</v>
      </c>
      <c r="H4036" s="485" t="s">
        <v>3919</v>
      </c>
      <c r="I4036" s="481">
        <f>I4025</f>
        <v>57.65</v>
      </c>
      <c r="J4036" s="481" t="s">
        <v>769</v>
      </c>
      <c r="K4036" s="481">
        <f t="shared" si="382"/>
        <v>115.3</v>
      </c>
      <c r="W4036" s="253"/>
    </row>
    <row r="4037" spans="6:23" ht="24" customHeight="1">
      <c r="F4037" s="484">
        <v>2</v>
      </c>
      <c r="G4037" s="481" t="s">
        <v>769</v>
      </c>
      <c r="H4037" s="485" t="s">
        <v>4322</v>
      </c>
      <c r="I4037" s="481">
        <f>I4024</f>
        <v>350</v>
      </c>
      <c r="J4037" s="481" t="s">
        <v>769</v>
      </c>
      <c r="K4037" s="481">
        <f t="shared" si="382"/>
        <v>700</v>
      </c>
      <c r="W4037" s="253"/>
    </row>
    <row r="4038" spans="6:23" ht="24" customHeight="1">
      <c r="F4038" s="484">
        <v>4</v>
      </c>
      <c r="G4038" s="481" t="s">
        <v>769</v>
      </c>
      <c r="H4038" s="485" t="s">
        <v>3921</v>
      </c>
      <c r="I4038" s="481">
        <f>I4026</f>
        <v>15</v>
      </c>
      <c r="J4038" s="481" t="s">
        <v>769</v>
      </c>
      <c r="K4038" s="481">
        <f t="shared" si="382"/>
        <v>60</v>
      </c>
      <c r="W4038" s="253"/>
    </row>
    <row r="4039" spans="6:23" ht="24" customHeight="1">
      <c r="F4039" s="484">
        <v>1.62</v>
      </c>
      <c r="G4039" s="481" t="s">
        <v>2283</v>
      </c>
      <c r="H4039" s="485" t="s">
        <v>3922</v>
      </c>
      <c r="I4039" s="481">
        <f>I4027</f>
        <v>1998</v>
      </c>
      <c r="J4039" s="481" t="s">
        <v>2283</v>
      </c>
      <c r="K4039" s="481">
        <f t="shared" si="382"/>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6175</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3">(F4066*I4066)</f>
        <v>612.85</v>
      </c>
      <c r="M4066" s="356"/>
      <c r="W4066" s="253"/>
    </row>
    <row r="4067" spans="6:23" ht="33.950000000000003" customHeight="1">
      <c r="F4067" s="252">
        <f>J4061</f>
        <v>12.9</v>
      </c>
      <c r="G4067" s="252" t="s">
        <v>826</v>
      </c>
      <c r="H4067" s="276" t="s">
        <v>4370</v>
      </c>
      <c r="I4067" s="252">
        <f t="shared" ref="I4067:I4072" si="384">V3117</f>
        <v>15.45</v>
      </c>
      <c r="J4067" s="252" t="s">
        <v>826</v>
      </c>
      <c r="K4067" s="252">
        <f t="shared" si="383"/>
        <v>199.31</v>
      </c>
      <c r="M4067" s="356"/>
      <c r="W4067" s="253"/>
    </row>
    <row r="4068" spans="6:23" ht="33.950000000000003" customHeight="1">
      <c r="F4068" s="252">
        <v>9</v>
      </c>
      <c r="G4068" s="252" t="s">
        <v>868</v>
      </c>
      <c r="H4068" s="296" t="s">
        <v>1517</v>
      </c>
      <c r="I4068" s="252">
        <f t="shared" si="384"/>
        <v>89.6</v>
      </c>
      <c r="J4068" s="296" t="s">
        <v>868</v>
      </c>
      <c r="K4068" s="252">
        <f t="shared" si="383"/>
        <v>806.4</v>
      </c>
      <c r="M4068" s="356"/>
      <c r="W4068" s="253"/>
    </row>
    <row r="4069" spans="6:23" ht="33.950000000000003" customHeight="1">
      <c r="F4069" s="252">
        <v>6</v>
      </c>
      <c r="G4069" s="252" t="s">
        <v>868</v>
      </c>
      <c r="H4069" s="296" t="s">
        <v>3547</v>
      </c>
      <c r="I4069" s="252">
        <f t="shared" si="384"/>
        <v>82.25</v>
      </c>
      <c r="J4069" s="296" t="s">
        <v>868</v>
      </c>
      <c r="K4069" s="252">
        <f t="shared" si="383"/>
        <v>493.5</v>
      </c>
      <c r="M4069" s="356"/>
      <c r="W4069" s="253"/>
    </row>
    <row r="4070" spans="6:23" ht="33.950000000000003" customHeight="1">
      <c r="F4070" s="252">
        <v>3</v>
      </c>
      <c r="G4070" s="252" t="s">
        <v>868</v>
      </c>
      <c r="H4070" s="296" t="s">
        <v>3548</v>
      </c>
      <c r="I4070" s="252">
        <f t="shared" si="384"/>
        <v>57.65</v>
      </c>
      <c r="J4070" s="296" t="s">
        <v>868</v>
      </c>
      <c r="K4070" s="252">
        <f t="shared" si="383"/>
        <v>172.95</v>
      </c>
      <c r="M4070" s="356"/>
      <c r="W4070" s="253"/>
    </row>
    <row r="4071" spans="6:23" ht="33.950000000000003" customHeight="1">
      <c r="F4071" s="252">
        <v>3</v>
      </c>
      <c r="G4071" s="252" t="s">
        <v>868</v>
      </c>
      <c r="H4071" s="296" t="s">
        <v>1980</v>
      </c>
      <c r="I4071" s="252">
        <f t="shared" si="384"/>
        <v>7.3</v>
      </c>
      <c r="J4071" s="296" t="s">
        <v>868</v>
      </c>
      <c r="K4071" s="252">
        <f t="shared" si="383"/>
        <v>21.9</v>
      </c>
      <c r="M4071" s="356"/>
      <c r="W4071" s="253"/>
    </row>
    <row r="4072" spans="6:23" ht="33.950000000000003" customHeight="1">
      <c r="F4072" s="252">
        <v>120</v>
      </c>
      <c r="G4072" s="252" t="s">
        <v>868</v>
      </c>
      <c r="H4072" s="296" t="s">
        <v>4371</v>
      </c>
      <c r="I4072" s="252">
        <f t="shared" si="384"/>
        <v>2.41</v>
      </c>
      <c r="J4072" s="296" t="s">
        <v>868</v>
      </c>
      <c r="K4072" s="252">
        <f t="shared" si="383"/>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094"/>
      <c r="K4078" s="1094"/>
      <c r="L4078" s="1094"/>
      <c r="M4078" s="1094"/>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3">
    <mergeCell ref="S3680:V3680"/>
    <mergeCell ref="F3711:K3711"/>
    <mergeCell ref="F3985:H3985"/>
    <mergeCell ref="O3711:P3711"/>
    <mergeCell ref="J4078:M4078"/>
    <mergeCell ref="H4002:K4002"/>
    <mergeCell ref="H2422:H2423"/>
    <mergeCell ref="H2420:K2420"/>
    <mergeCell ref="P1474:R1474"/>
    <mergeCell ref="S1474:U1474"/>
    <mergeCell ref="AB3648:AG3649"/>
    <mergeCell ref="U2:X2"/>
    <mergeCell ref="O2343:Q2343"/>
    <mergeCell ref="O2353:Q2353"/>
    <mergeCell ref="O2427:R2427"/>
    <mergeCell ref="O2429:O2430"/>
    <mergeCell ref="N1531:R1531"/>
    <mergeCell ref="AH550:AI550"/>
    <mergeCell ref="AD2601:AG2601"/>
    <mergeCell ref="I3046:J3046"/>
    <mergeCell ref="S3148:T3148"/>
    <mergeCell ref="I3492:J3492"/>
    <mergeCell ref="AA550:AB550"/>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850"/>
  <sheetViews>
    <sheetView view="pageBreakPreview" topLeftCell="A836" zoomScaleSheetLayoutView="100" workbookViewId="0">
      <selection activeCell="C848" sqref="C848"/>
    </sheetView>
  </sheetViews>
  <sheetFormatPr defaultRowHeight="15.75"/>
  <cols>
    <col min="3" max="3" width="39.77734375" bestFit="1" customWidth="1"/>
    <col min="4" max="4" width="11.33203125" customWidth="1"/>
    <col min="6" max="6" width="11.441406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[7]Data!O3</f>
        <v>PECHIPARAI</v>
      </c>
      <c r="D3" s="252"/>
      <c r="E3" s="276" t="str">
        <f>Data!W3</f>
        <v>2023-24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1464.46</v>
      </c>
      <c r="E10" s="296" t="s">
        <v>869</v>
      </c>
      <c r="F10" s="252">
        <f>(A10*D10)</f>
        <v>1464.46</v>
      </c>
    </row>
    <row r="11" spans="1:6">
      <c r="A11" s="252">
        <v>1</v>
      </c>
      <c r="B11" s="252" t="s">
        <v>869</v>
      </c>
      <c r="C11" s="296" t="s">
        <v>874</v>
      </c>
      <c r="D11" s="252">
        <f>Data!I11</f>
        <v>116</v>
      </c>
      <c r="E11" s="296" t="s">
        <v>869</v>
      </c>
      <c r="F11" s="252">
        <f>(A11*D11)</f>
        <v>116</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7378.86</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1464.46</v>
      </c>
      <c r="E19" s="296" t="s">
        <v>869</v>
      </c>
      <c r="F19" s="252">
        <f>(A19*D19)</f>
        <v>1464.46</v>
      </c>
    </row>
    <row r="20" spans="1:6">
      <c r="A20" s="252">
        <v>1</v>
      </c>
      <c r="B20" s="252" t="s">
        <v>869</v>
      </c>
      <c r="C20" s="296" t="s">
        <v>874</v>
      </c>
      <c r="D20" s="252">
        <f>Data!I20</f>
        <v>116</v>
      </c>
      <c r="E20" s="296" t="s">
        <v>869</v>
      </c>
      <c r="F20" s="252">
        <f>(A20*D20)</f>
        <v>116</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5929.26</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1464.46</v>
      </c>
      <c r="E28" s="296" t="s">
        <v>869</v>
      </c>
      <c r="F28" s="252">
        <f>(A28*D28)</f>
        <v>1464.46</v>
      </c>
    </row>
    <row r="29" spans="1:6">
      <c r="A29" s="252">
        <v>1</v>
      </c>
      <c r="B29" s="252" t="s">
        <v>869</v>
      </c>
      <c r="C29" s="296" t="s">
        <v>874</v>
      </c>
      <c r="D29" s="252">
        <f>Data!I29</f>
        <v>116</v>
      </c>
      <c r="E29" s="296" t="s">
        <v>869</v>
      </c>
      <c r="F29" s="252">
        <f>(A29*D29)</f>
        <v>116</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4479.66</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1464.46</v>
      </c>
      <c r="E36" s="296" t="s">
        <v>869</v>
      </c>
      <c r="F36" s="252">
        <f>(A36*D36)</f>
        <v>1464.46</v>
      </c>
    </row>
    <row r="37" spans="1:6">
      <c r="A37" s="252">
        <v>1</v>
      </c>
      <c r="B37" s="252" t="s">
        <v>869</v>
      </c>
      <c r="C37" s="296" t="s">
        <v>874</v>
      </c>
      <c r="D37" s="252">
        <f>Data!I37</f>
        <v>116</v>
      </c>
      <c r="E37" s="296" t="s">
        <v>869</v>
      </c>
      <c r="F37" s="252">
        <f>(A37*D37)</f>
        <v>116</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3754.86</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1464.46</v>
      </c>
      <c r="E45" s="296" t="s">
        <v>869</v>
      </c>
      <c r="F45" s="252">
        <f>(A45*D45)</f>
        <v>1464.46</v>
      </c>
    </row>
    <row r="46" spans="1:6">
      <c r="A46" s="252">
        <v>1</v>
      </c>
      <c r="B46" s="252" t="s">
        <v>869</v>
      </c>
      <c r="C46" s="296" t="s">
        <v>874</v>
      </c>
      <c r="D46" s="252">
        <f>Data!I46</f>
        <v>116</v>
      </c>
      <c r="E46" s="296" t="s">
        <v>869</v>
      </c>
      <c r="F46" s="252">
        <f>(A46*D46)</f>
        <v>116</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3319.98</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1464.46</v>
      </c>
      <c r="E54" s="296" t="s">
        <v>869</v>
      </c>
      <c r="F54" s="252">
        <f>(A54*D54)</f>
        <v>1464.46</v>
      </c>
    </row>
    <row r="55" spans="1:6">
      <c r="A55" s="252">
        <v>1</v>
      </c>
      <c r="B55" s="252" t="s">
        <v>869</v>
      </c>
      <c r="C55" s="296" t="s">
        <v>874</v>
      </c>
      <c r="D55" s="252">
        <f>Data!I55</f>
        <v>116</v>
      </c>
      <c r="E55" s="296" t="s">
        <v>869</v>
      </c>
      <c r="F55" s="252">
        <f>(A55*D55)</f>
        <v>116</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3030.06</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1464.46</v>
      </c>
      <c r="E64" s="296" t="s">
        <v>869</v>
      </c>
      <c r="F64" s="252">
        <f>(A64*D64)</f>
        <v>1464.46</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2824.7</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1464.46</v>
      </c>
      <c r="E73" s="296" t="s">
        <v>869</v>
      </c>
      <c r="F73" s="252">
        <f>(A73*D73)</f>
        <v>1464.46</v>
      </c>
    </row>
    <row r="74" spans="1:6">
      <c r="A74" s="252">
        <v>1</v>
      </c>
      <c r="B74" s="252" t="s">
        <v>869</v>
      </c>
      <c r="C74" s="296" t="s">
        <v>874</v>
      </c>
      <c r="D74" s="252">
        <f>Data!I74</f>
        <v>116</v>
      </c>
      <c r="E74" s="296" t="s">
        <v>869</v>
      </c>
      <c r="F74" s="252">
        <f>(A74*D74)</f>
        <v>116</v>
      </c>
    </row>
    <row r="75" spans="1:6">
      <c r="A75" s="252"/>
      <c r="B75" s="252" t="s">
        <v>449</v>
      </c>
      <c r="C75" s="296" t="s">
        <v>450</v>
      </c>
      <c r="D75" s="252" t="str">
        <f>Data!I75</f>
        <v/>
      </c>
      <c r="E75" s="296" t="s">
        <v>449</v>
      </c>
      <c r="F75" s="252">
        <v>0</v>
      </c>
    </row>
    <row r="76" spans="1:6">
      <c r="A76" s="252"/>
      <c r="B76" s="252"/>
      <c r="C76" s="252"/>
      <c r="D76" s="252"/>
      <c r="E76" s="296"/>
      <c r="F76" s="358" t="s">
        <v>1586</v>
      </c>
    </row>
    <row r="77" spans="1:6">
      <c r="A77" s="252"/>
      <c r="B77" s="252"/>
      <c r="C77" s="296" t="s">
        <v>1516</v>
      </c>
      <c r="D77" s="252"/>
      <c r="E77" s="296"/>
      <c r="F77" s="274">
        <f>SUM(F72:F75)</f>
        <v>2667.66</v>
      </c>
    </row>
    <row r="78" spans="1:6">
      <c r="A78" s="375">
        <v>32.1</v>
      </c>
      <c r="B78" s="252" t="s">
        <v>2251</v>
      </c>
      <c r="C78" s="296" t="s">
        <v>755</v>
      </c>
      <c r="D78" s="252"/>
      <c r="E78" s="296"/>
      <c r="F78" s="252"/>
    </row>
    <row r="79" spans="1:6">
      <c r="A79" s="252"/>
      <c r="B79" s="252"/>
      <c r="C79" s="296" t="s">
        <v>1483</v>
      </c>
      <c r="D79" s="252"/>
      <c r="E79" s="296"/>
      <c r="F79" s="252"/>
    </row>
    <row r="80" spans="1:6">
      <c r="A80" s="252"/>
      <c r="B80" s="252"/>
      <c r="C80" s="296" t="s">
        <v>683</v>
      </c>
      <c r="D80" s="252"/>
      <c r="E80" s="296"/>
      <c r="F80" s="252"/>
    </row>
    <row r="81" spans="1:6">
      <c r="A81" s="252"/>
      <c r="B81" s="252"/>
      <c r="C81" s="296" t="s">
        <v>1967</v>
      </c>
      <c r="D81" s="252"/>
      <c r="E81" s="296"/>
      <c r="F81" s="252"/>
    </row>
    <row r="82" spans="1:6">
      <c r="A82" s="252"/>
      <c r="B82" s="252"/>
      <c r="C82" s="296" t="s">
        <v>1293</v>
      </c>
      <c r="D82" s="252"/>
      <c r="E82" s="296"/>
      <c r="F82" s="252"/>
    </row>
    <row r="83" spans="1:6">
      <c r="A83" s="252"/>
      <c r="B83" s="252"/>
      <c r="C83" s="358" t="s">
        <v>1586</v>
      </c>
      <c r="D83" s="252"/>
      <c r="E83" s="296"/>
      <c r="F83" s="252"/>
    </row>
    <row r="84" spans="1:6">
      <c r="A84" s="252">
        <v>190</v>
      </c>
      <c r="B84" s="252" t="s">
        <v>1873</v>
      </c>
      <c r="C84" s="296" t="s">
        <v>3882</v>
      </c>
      <c r="D84" s="252">
        <f>Data!I1353</f>
        <v>16106</v>
      </c>
      <c r="E84" s="296" t="s">
        <v>1481</v>
      </c>
      <c r="F84" s="252">
        <f>(A84*D84)/1000</f>
        <v>3060.14</v>
      </c>
    </row>
    <row r="85" spans="1:6">
      <c r="A85" s="252">
        <v>0.12</v>
      </c>
      <c r="B85" s="252" t="s">
        <v>869</v>
      </c>
      <c r="C85" s="296" t="s">
        <v>1876</v>
      </c>
      <c r="D85" s="252">
        <f>Data!I1354</f>
        <v>4479.66</v>
      </c>
      <c r="E85" s="296" t="s">
        <v>869</v>
      </c>
      <c r="F85" s="252">
        <f t="shared" ref="F85:F91" si="0">(A85*D85)</f>
        <v>537.55999999999995</v>
      </c>
    </row>
    <row r="86" spans="1:6">
      <c r="A86" s="252">
        <v>10</v>
      </c>
      <c r="B86" s="252" t="s">
        <v>609</v>
      </c>
      <c r="C86" s="296" t="s">
        <v>1295</v>
      </c>
      <c r="D86" s="252">
        <f>Data!I1355</f>
        <v>314.25</v>
      </c>
      <c r="E86" s="296" t="s">
        <v>609</v>
      </c>
      <c r="F86" s="252">
        <f t="shared" si="0"/>
        <v>3142.5</v>
      </c>
    </row>
    <row r="87" spans="1:6">
      <c r="A87" s="356">
        <v>1.54</v>
      </c>
      <c r="B87" s="252" t="s">
        <v>1645</v>
      </c>
      <c r="C87" s="296" t="s">
        <v>964</v>
      </c>
      <c r="D87" s="252">
        <f>Data!I1356</f>
        <v>42.7</v>
      </c>
      <c r="E87" s="296" t="s">
        <v>1645</v>
      </c>
      <c r="F87" s="252">
        <f t="shared" si="0"/>
        <v>65.760000000000005</v>
      </c>
    </row>
    <row r="88" spans="1:6">
      <c r="A88" s="252">
        <v>1.1000000000000001</v>
      </c>
      <c r="B88" s="252" t="s">
        <v>769</v>
      </c>
      <c r="C88" s="296" t="s">
        <v>2009</v>
      </c>
      <c r="D88" s="252">
        <f>Data!I1357</f>
        <v>999</v>
      </c>
      <c r="E88" s="296" t="s">
        <v>769</v>
      </c>
      <c r="F88" s="252">
        <f t="shared" si="0"/>
        <v>1098.9000000000001</v>
      </c>
    </row>
    <row r="89" spans="1:6">
      <c r="A89" s="252">
        <v>2.1</v>
      </c>
      <c r="B89" s="252" t="s">
        <v>769</v>
      </c>
      <c r="C89" s="296" t="s">
        <v>1712</v>
      </c>
      <c r="D89" s="252">
        <f>Data!I1358</f>
        <v>932</v>
      </c>
      <c r="E89" s="296" t="s">
        <v>769</v>
      </c>
      <c r="F89" s="252">
        <f t="shared" si="0"/>
        <v>1957.2</v>
      </c>
    </row>
    <row r="90" spans="1:6">
      <c r="A90" s="252">
        <v>2.2000000000000002</v>
      </c>
      <c r="B90" s="252" t="s">
        <v>769</v>
      </c>
      <c r="C90" s="296" t="s">
        <v>1902</v>
      </c>
      <c r="D90" s="252">
        <f>Data!I1359</f>
        <v>651</v>
      </c>
      <c r="E90" s="296" t="s">
        <v>769</v>
      </c>
      <c r="F90" s="252">
        <f t="shared" si="0"/>
        <v>1432.2</v>
      </c>
    </row>
    <row r="91" spans="1:6">
      <c r="A91" s="252">
        <v>1.1000000000000001</v>
      </c>
      <c r="B91" s="252" t="s">
        <v>769</v>
      </c>
      <c r="C91" s="296" t="s">
        <v>320</v>
      </c>
      <c r="D91" s="252">
        <f>Data!I1360</f>
        <v>534</v>
      </c>
      <c r="E91" s="296" t="s">
        <v>769</v>
      </c>
      <c r="F91" s="252">
        <f t="shared" si="0"/>
        <v>587.4</v>
      </c>
    </row>
    <row r="92" spans="1:6">
      <c r="A92" s="252"/>
      <c r="B92" s="252" t="s">
        <v>449</v>
      </c>
      <c r="C92" s="296" t="s">
        <v>450</v>
      </c>
      <c r="D92" s="252"/>
      <c r="E92" s="296" t="s">
        <v>449</v>
      </c>
      <c r="F92" s="252">
        <v>0</v>
      </c>
    </row>
    <row r="93" spans="1:6">
      <c r="A93" s="252"/>
      <c r="B93" s="252"/>
      <c r="C93" s="252"/>
      <c r="D93" s="252"/>
      <c r="E93" s="296"/>
      <c r="F93" s="358" t="s">
        <v>1586</v>
      </c>
    </row>
    <row r="94" spans="1:6">
      <c r="A94" s="252"/>
      <c r="B94" s="252"/>
      <c r="C94" s="296" t="s">
        <v>441</v>
      </c>
      <c r="D94" s="252"/>
      <c r="E94" s="296"/>
      <c r="F94" s="252">
        <f>SUM(F84:F92)</f>
        <v>11881.66</v>
      </c>
    </row>
    <row r="95" spans="1:6">
      <c r="A95" s="252"/>
      <c r="B95" s="252"/>
      <c r="C95" s="252"/>
      <c r="D95" s="252"/>
      <c r="E95" s="296"/>
      <c r="F95" s="358" t="s">
        <v>1586</v>
      </c>
    </row>
    <row r="96" spans="1:6">
      <c r="A96" s="252"/>
      <c r="B96" s="252"/>
      <c r="C96" s="255" t="s">
        <v>552</v>
      </c>
      <c r="D96" s="252"/>
      <c r="E96" s="296"/>
      <c r="F96" s="274">
        <f>(F94/10)</f>
        <v>1188.17</v>
      </c>
    </row>
    <row r="97" spans="1:6">
      <c r="A97" s="252"/>
      <c r="B97" s="252"/>
      <c r="C97" s="252"/>
      <c r="D97" s="252"/>
      <c r="E97" s="296"/>
      <c r="F97" s="358" t="s">
        <v>2055</v>
      </c>
    </row>
    <row r="98" spans="1:6">
      <c r="A98" s="375">
        <v>29.5</v>
      </c>
      <c r="B98" s="252" t="s">
        <v>2251</v>
      </c>
      <c r="C98" s="296" t="s">
        <v>1813</v>
      </c>
      <c r="D98" s="252"/>
      <c r="E98" s="296"/>
      <c r="F98" s="252"/>
    </row>
    <row r="99" spans="1:6">
      <c r="A99" s="252"/>
      <c r="B99" s="252"/>
      <c r="C99" s="296" t="s">
        <v>858</v>
      </c>
      <c r="D99" s="252"/>
      <c r="E99" s="296"/>
      <c r="F99" s="252"/>
    </row>
    <row r="100" spans="1:6">
      <c r="A100" s="252"/>
      <c r="B100" s="252"/>
      <c r="C100" s="296" t="s">
        <v>1936</v>
      </c>
      <c r="D100" s="252"/>
      <c r="E100" s="296"/>
      <c r="F100" s="252"/>
    </row>
    <row r="101" spans="1:6">
      <c r="A101" s="252"/>
      <c r="B101" s="252"/>
      <c r="C101" s="358" t="s">
        <v>1586</v>
      </c>
      <c r="D101" s="358" t="s">
        <v>1586</v>
      </c>
      <c r="E101" s="296"/>
      <c r="F101" s="252"/>
    </row>
    <row r="102" spans="1:6">
      <c r="A102" s="252">
        <v>10</v>
      </c>
      <c r="B102" s="252" t="s">
        <v>609</v>
      </c>
      <c r="C102" s="296" t="s">
        <v>1937</v>
      </c>
      <c r="D102" s="252">
        <f>Data!I1248</f>
        <v>377.86</v>
      </c>
      <c r="E102" s="296" t="s">
        <v>609</v>
      </c>
      <c r="F102" s="252">
        <f>(A102*D102)</f>
        <v>3778.6</v>
      </c>
    </row>
    <row r="103" spans="1:6">
      <c r="A103" s="252">
        <v>0.21</v>
      </c>
      <c r="B103" s="252" t="s">
        <v>869</v>
      </c>
      <c r="C103" s="296" t="s">
        <v>1876</v>
      </c>
      <c r="D103" s="252">
        <f>Data!I1249</f>
        <v>4479.66</v>
      </c>
      <c r="E103" s="296" t="s">
        <v>869</v>
      </c>
      <c r="F103" s="252">
        <f>(A103*D103)</f>
        <v>940.73</v>
      </c>
    </row>
    <row r="104" spans="1:6">
      <c r="A104" s="252"/>
      <c r="B104" s="252"/>
      <c r="C104" s="296" t="s">
        <v>1877</v>
      </c>
      <c r="D104" s="252" t="str">
        <f>Data!I1250</f>
        <v/>
      </c>
      <c r="E104" s="296"/>
      <c r="F104" s="296" t="s">
        <v>975</v>
      </c>
    </row>
    <row r="105" spans="1:6">
      <c r="A105" s="252">
        <v>1.1000000000000001</v>
      </c>
      <c r="B105" s="252" t="s">
        <v>769</v>
      </c>
      <c r="C105" s="296" t="s">
        <v>2009</v>
      </c>
      <c r="D105" s="252">
        <f>Data!I1251</f>
        <v>999</v>
      </c>
      <c r="E105" s="296" t="s">
        <v>769</v>
      </c>
      <c r="F105" s="252">
        <f>(A105*D105)</f>
        <v>1098.9000000000001</v>
      </c>
    </row>
    <row r="106" spans="1:6">
      <c r="A106" s="252">
        <v>1.1000000000000001</v>
      </c>
      <c r="B106" s="252" t="s">
        <v>769</v>
      </c>
      <c r="C106" s="296" t="s">
        <v>1712</v>
      </c>
      <c r="D106" s="252">
        <f>Data!I1252</f>
        <v>932</v>
      </c>
      <c r="E106" s="296" t="s">
        <v>769</v>
      </c>
      <c r="F106" s="252">
        <f>(A106*D106)</f>
        <v>1025.2</v>
      </c>
    </row>
    <row r="107" spans="1:6">
      <c r="A107" s="252">
        <v>2.2000000000000002</v>
      </c>
      <c r="B107" s="252" t="s">
        <v>769</v>
      </c>
      <c r="C107" s="296" t="s">
        <v>1902</v>
      </c>
      <c r="D107" s="252">
        <f>Data!I1253</f>
        <v>651</v>
      </c>
      <c r="E107" s="296" t="s">
        <v>769</v>
      </c>
      <c r="F107" s="252">
        <f>(A107*D107)</f>
        <v>1432.2</v>
      </c>
    </row>
    <row r="108" spans="1:6">
      <c r="A108" s="252">
        <v>2.2000000000000002</v>
      </c>
      <c r="B108" s="252" t="s">
        <v>769</v>
      </c>
      <c r="C108" s="296" t="s">
        <v>320</v>
      </c>
      <c r="D108" s="252">
        <f>Data!I1254</f>
        <v>534</v>
      </c>
      <c r="E108" s="296" t="s">
        <v>769</v>
      </c>
      <c r="F108" s="252">
        <f>(A108*D108)</f>
        <v>1174.8</v>
      </c>
    </row>
    <row r="109" spans="1:6">
      <c r="A109" s="356">
        <v>20</v>
      </c>
      <c r="B109" s="252" t="s">
        <v>1645</v>
      </c>
      <c r="C109" s="296" t="s">
        <v>862</v>
      </c>
      <c r="D109" s="252">
        <f>Data!I1255</f>
        <v>6040</v>
      </c>
      <c r="E109" s="296" t="s">
        <v>861</v>
      </c>
      <c r="F109" s="252">
        <f>(A109*D109)/1000</f>
        <v>120.8</v>
      </c>
    </row>
    <row r="110" spans="1:6">
      <c r="A110" s="356">
        <v>2</v>
      </c>
      <c r="B110" s="252" t="s">
        <v>1645</v>
      </c>
      <c r="C110" s="296" t="s">
        <v>4229</v>
      </c>
      <c r="D110" s="252">
        <f>Data!I1256</f>
        <v>36.1</v>
      </c>
      <c r="E110" s="296" t="s">
        <v>1645</v>
      </c>
      <c r="F110" s="252">
        <f>(A110*D110)</f>
        <v>72.2</v>
      </c>
    </row>
    <row r="111" spans="1:6">
      <c r="A111" s="252">
        <v>1.6</v>
      </c>
      <c r="B111" s="252" t="s">
        <v>769</v>
      </c>
      <c r="C111" s="296" t="s">
        <v>1712</v>
      </c>
      <c r="D111" s="252">
        <f>Data!I1257</f>
        <v>932</v>
      </c>
      <c r="E111" s="296" t="s">
        <v>769</v>
      </c>
      <c r="F111" s="252">
        <f>(A111*D111)</f>
        <v>1491.2</v>
      </c>
    </row>
    <row r="112" spans="1:6">
      <c r="A112" s="252">
        <v>0.5</v>
      </c>
      <c r="B112" s="252" t="s">
        <v>769</v>
      </c>
      <c r="C112" s="296" t="s">
        <v>1902</v>
      </c>
      <c r="D112" s="252">
        <f>Data!I1258</f>
        <v>651</v>
      </c>
      <c r="E112" s="296" t="s">
        <v>769</v>
      </c>
      <c r="F112" s="252">
        <f>(A112*D112)</f>
        <v>325.5</v>
      </c>
    </row>
    <row r="113" spans="1:6">
      <c r="A113" s="252">
        <v>1.1000000000000001</v>
      </c>
      <c r="B113" s="252" t="s">
        <v>769</v>
      </c>
      <c r="C113" s="296" t="s">
        <v>320</v>
      </c>
      <c r="D113" s="252">
        <f>Data!I1259</f>
        <v>534</v>
      </c>
      <c r="E113" s="296" t="s">
        <v>769</v>
      </c>
      <c r="F113" s="252">
        <f>(A113*D113)</f>
        <v>587.4</v>
      </c>
    </row>
    <row r="114" spans="1:6">
      <c r="A114" s="252"/>
      <c r="B114" s="252" t="s">
        <v>449</v>
      </c>
      <c r="C114" s="296" t="s">
        <v>450</v>
      </c>
      <c r="D114" s="252"/>
      <c r="E114" s="296" t="s">
        <v>449</v>
      </c>
      <c r="F114" s="252">
        <v>0</v>
      </c>
    </row>
    <row r="115" spans="1:6">
      <c r="A115" s="252"/>
      <c r="B115" s="252"/>
      <c r="C115" s="252"/>
      <c r="D115" s="252"/>
      <c r="E115" s="296"/>
      <c r="F115" s="358" t="s">
        <v>1586</v>
      </c>
    </row>
    <row r="116" spans="1:6">
      <c r="A116" s="252"/>
      <c r="B116" s="252"/>
      <c r="C116" s="296" t="s">
        <v>441</v>
      </c>
      <c r="D116" s="252"/>
      <c r="E116" s="296"/>
      <c r="F116" s="252">
        <f>SUM(F102:F114)</f>
        <v>12047.53</v>
      </c>
    </row>
    <row r="117" spans="1:6">
      <c r="A117" s="252"/>
      <c r="B117" s="252"/>
      <c r="C117" s="252"/>
      <c r="D117" s="252"/>
      <c r="E117" s="296"/>
      <c r="F117" s="358" t="s">
        <v>1586</v>
      </c>
    </row>
    <row r="118" spans="1:6">
      <c r="A118" s="252"/>
      <c r="B118" s="252"/>
      <c r="C118" s="255" t="s">
        <v>552</v>
      </c>
      <c r="D118" s="252"/>
      <c r="E118" s="296"/>
      <c r="F118" s="274">
        <f>(F116/10)</f>
        <v>1204.75</v>
      </c>
    </row>
    <row r="119" spans="1:6">
      <c r="A119" s="252"/>
      <c r="B119" s="252"/>
      <c r="C119" s="252"/>
      <c r="D119" s="252"/>
      <c r="E119" s="296"/>
      <c r="F119" s="358" t="s">
        <v>2055</v>
      </c>
    </row>
    <row r="120" spans="1:6">
      <c r="A120" s="253" t="s">
        <v>253</v>
      </c>
      <c r="B120" s="252" t="s">
        <v>2251</v>
      </c>
      <c r="C120" s="296" t="s">
        <v>81</v>
      </c>
      <c r="D120" s="252"/>
      <c r="E120" s="296"/>
      <c r="F120" s="252"/>
    </row>
    <row r="121" spans="1:6">
      <c r="A121" s="252"/>
      <c r="B121" s="252"/>
      <c r="C121" s="296" t="s">
        <v>1102</v>
      </c>
      <c r="D121" s="252"/>
      <c r="E121" s="296"/>
      <c r="F121" s="252"/>
    </row>
    <row r="122" spans="1:6">
      <c r="A122" s="252"/>
      <c r="B122" s="252"/>
      <c r="C122" s="296" t="s">
        <v>1103</v>
      </c>
      <c r="D122" s="252"/>
      <c r="E122" s="296"/>
      <c r="F122" s="252"/>
    </row>
    <row r="123" spans="1:6">
      <c r="A123" s="252"/>
      <c r="B123" s="252"/>
      <c r="C123" s="296" t="s">
        <v>254</v>
      </c>
      <c r="D123" s="252"/>
      <c r="E123" s="296"/>
      <c r="F123" s="252"/>
    </row>
    <row r="124" spans="1:6">
      <c r="A124" s="252"/>
      <c r="B124" s="252"/>
      <c r="C124" s="358" t="s">
        <v>1586</v>
      </c>
      <c r="D124" s="252"/>
      <c r="E124" s="296"/>
      <c r="F124" s="252"/>
    </row>
    <row r="125" spans="1:6">
      <c r="A125" s="252">
        <v>1</v>
      </c>
      <c r="B125" s="252" t="s">
        <v>868</v>
      </c>
      <c r="C125" s="296" t="s">
        <v>712</v>
      </c>
      <c r="D125" s="252">
        <f>Data!P1986</f>
        <v>1201</v>
      </c>
      <c r="E125" s="296" t="s">
        <v>868</v>
      </c>
      <c r="F125" s="252">
        <f>(A125*D125)</f>
        <v>1201</v>
      </c>
    </row>
    <row r="126" spans="1:6">
      <c r="A126" s="356">
        <v>0.40500000000000003</v>
      </c>
      <c r="B126" s="252" t="s">
        <v>869</v>
      </c>
      <c r="C126" s="296" t="s">
        <v>2216</v>
      </c>
      <c r="D126" s="252">
        <f>Data!P1987</f>
        <v>3768.68</v>
      </c>
      <c r="E126" s="296" t="s">
        <v>869</v>
      </c>
      <c r="F126" s="252">
        <f>(A126*D126)</f>
        <v>1526.32</v>
      </c>
    </row>
    <row r="127" spans="1:6">
      <c r="A127" s="252"/>
      <c r="B127" s="252"/>
      <c r="C127" s="296" t="s">
        <v>1097</v>
      </c>
      <c r="D127" s="252" t="str">
        <f>Data!P1988</f>
        <v/>
      </c>
      <c r="E127" s="296"/>
      <c r="F127" s="296" t="s">
        <v>975</v>
      </c>
    </row>
    <row r="128" spans="1:6">
      <c r="A128" s="252">
        <v>1.89</v>
      </c>
      <c r="B128" s="252" t="s">
        <v>609</v>
      </c>
      <c r="C128" s="296" t="s">
        <v>264</v>
      </c>
      <c r="D128" s="252">
        <f>Data!P1989</f>
        <v>272.94</v>
      </c>
      <c r="E128" s="296" t="s">
        <v>609</v>
      </c>
      <c r="F128" s="252">
        <f>(A128*D128)</f>
        <v>515.86</v>
      </c>
    </row>
    <row r="129" spans="1:6">
      <c r="A129" s="252"/>
      <c r="B129" s="252"/>
      <c r="C129" s="296" t="s">
        <v>265</v>
      </c>
      <c r="D129" s="252" t="str">
        <f>Data!P1990</f>
        <v/>
      </c>
      <c r="E129" s="296"/>
      <c r="F129" s="296" t="s">
        <v>975</v>
      </c>
    </row>
    <row r="130" spans="1:6">
      <c r="A130" s="356">
        <v>8.1000000000000003E-2</v>
      </c>
      <c r="B130" s="252" t="s">
        <v>869</v>
      </c>
      <c r="C130" s="296" t="s">
        <v>266</v>
      </c>
      <c r="D130" s="252">
        <f>Data!P1991</f>
        <v>4035.23</v>
      </c>
      <c r="E130" s="296" t="s">
        <v>869</v>
      </c>
      <c r="F130" s="252">
        <f>(A130*D130)</f>
        <v>326.85000000000002</v>
      </c>
    </row>
    <row r="131" spans="1:6">
      <c r="A131" s="252"/>
      <c r="B131" s="252"/>
      <c r="C131" s="296" t="s">
        <v>267</v>
      </c>
      <c r="D131" s="252">
        <f>Data!P1992</f>
        <v>0</v>
      </c>
      <c r="E131" s="296"/>
      <c r="F131" s="252"/>
    </row>
    <row r="132" spans="1:6">
      <c r="A132" s="252">
        <v>1</v>
      </c>
      <c r="B132" s="252" t="s">
        <v>769</v>
      </c>
      <c r="C132" s="296" t="s">
        <v>2103</v>
      </c>
      <c r="D132" s="252">
        <f>Data!P1993</f>
        <v>866</v>
      </c>
      <c r="E132" s="296" t="s">
        <v>769</v>
      </c>
      <c r="F132" s="252">
        <f>(A132*D132)</f>
        <v>866</v>
      </c>
    </row>
    <row r="133" spans="1:6">
      <c r="A133" s="252">
        <v>0.5</v>
      </c>
      <c r="B133" s="252" t="s">
        <v>868</v>
      </c>
      <c r="C133" s="296" t="s">
        <v>1712</v>
      </c>
      <c r="D133" s="252">
        <f>Data!P1994</f>
        <v>932</v>
      </c>
      <c r="E133" s="296" t="s">
        <v>868</v>
      </c>
      <c r="F133" s="518">
        <f>(A133*D133)</f>
        <v>466</v>
      </c>
    </row>
    <row r="134" spans="1:6">
      <c r="A134" s="252">
        <v>0.5</v>
      </c>
      <c r="B134" s="252" t="s">
        <v>868</v>
      </c>
      <c r="C134" s="296" t="s">
        <v>1902</v>
      </c>
      <c r="D134" s="252">
        <f>Data!P1995</f>
        <v>651</v>
      </c>
      <c r="E134" s="296" t="s">
        <v>868</v>
      </c>
      <c r="F134" s="518">
        <f>(A134*D134)</f>
        <v>325.5</v>
      </c>
    </row>
    <row r="135" spans="1:6">
      <c r="A135" s="252"/>
      <c r="B135" s="252"/>
      <c r="C135" s="276" t="s">
        <v>4236</v>
      </c>
      <c r="D135" s="252" t="str">
        <f>Data!P1996</f>
        <v/>
      </c>
      <c r="E135" s="296"/>
      <c r="F135" s="518">
        <v>-164</v>
      </c>
    </row>
    <row r="136" spans="1:6">
      <c r="A136" s="252"/>
      <c r="B136" s="252"/>
      <c r="C136" s="276" t="s">
        <v>4237</v>
      </c>
      <c r="D136" s="252"/>
      <c r="E136" s="296"/>
      <c r="F136" s="518">
        <v>134.1</v>
      </c>
    </row>
    <row r="137" spans="1:6" ht="16.5" thickBot="1">
      <c r="A137" s="252"/>
      <c r="B137" s="252" t="s">
        <v>657</v>
      </c>
      <c r="C137" s="276" t="s">
        <v>2271</v>
      </c>
      <c r="D137" s="252"/>
      <c r="E137" s="296"/>
      <c r="F137" s="518">
        <v>0.47</v>
      </c>
    </row>
    <row r="138" spans="1:6" ht="16.5" thickTop="1">
      <c r="A138" s="252"/>
      <c r="B138" s="252"/>
      <c r="C138" s="296" t="s">
        <v>1751</v>
      </c>
      <c r="D138" s="252"/>
      <c r="E138" s="296"/>
      <c r="F138" s="519">
        <f>SUM(F125:F137)</f>
        <v>5198.1000000000004</v>
      </c>
    </row>
    <row r="139" spans="1:6" ht="16.5" thickBot="1">
      <c r="A139" s="252"/>
      <c r="B139" s="252"/>
      <c r="C139" s="252"/>
      <c r="D139" s="252"/>
      <c r="E139" s="296"/>
      <c r="F139" s="520"/>
    </row>
    <row r="140" spans="1:6" ht="16.5" thickTop="1">
      <c r="A140" s="369">
        <v>57</v>
      </c>
      <c r="B140" s="252" t="s">
        <v>2251</v>
      </c>
      <c r="C140" s="296" t="s">
        <v>6151</v>
      </c>
      <c r="D140" s="252"/>
      <c r="E140" s="296"/>
      <c r="F140" s="252"/>
    </row>
    <row r="141" spans="1:6">
      <c r="A141" s="252"/>
      <c r="B141" s="252"/>
      <c r="C141" s="296" t="s">
        <v>201</v>
      </c>
      <c r="D141" s="252"/>
      <c r="E141" s="296"/>
      <c r="F141" s="252"/>
    </row>
    <row r="142" spans="1:6">
      <c r="A142" s="252"/>
      <c r="B142" s="252"/>
      <c r="C142" s="296" t="s">
        <v>1772</v>
      </c>
      <c r="D142" s="252"/>
      <c r="E142" s="296"/>
      <c r="F142" s="252"/>
    </row>
    <row r="143" spans="1:6">
      <c r="A143" s="252"/>
      <c r="B143" s="252"/>
      <c r="C143" s="358" t="s">
        <v>1586</v>
      </c>
      <c r="D143" s="252"/>
      <c r="E143" s="296"/>
      <c r="F143" s="252"/>
    </row>
    <row r="144" spans="1:6" ht="78.75">
      <c r="A144" s="510">
        <v>1</v>
      </c>
      <c r="B144" s="510" t="s">
        <v>783</v>
      </c>
      <c r="C144" s="260" t="s">
        <v>1122</v>
      </c>
      <c r="D144" s="510">
        <f>Data!P2006</f>
        <v>3090</v>
      </c>
      <c r="E144" s="312" t="s">
        <v>783</v>
      </c>
      <c r="F144" s="510">
        <f>(A144*D144)</f>
        <v>3090</v>
      </c>
    </row>
    <row r="145" spans="1:6">
      <c r="A145" s="252"/>
      <c r="B145" s="252"/>
      <c r="C145" s="276" t="s">
        <v>1161</v>
      </c>
      <c r="D145" s="510">
        <f>Data!P2007</f>
        <v>0</v>
      </c>
      <c r="E145" s="296"/>
      <c r="F145" s="252"/>
    </row>
    <row r="146" spans="1:6">
      <c r="A146" s="252">
        <v>1</v>
      </c>
      <c r="B146" s="252" t="s">
        <v>868</v>
      </c>
      <c r="C146" s="296" t="s">
        <v>2009</v>
      </c>
      <c r="D146" s="510">
        <f>Data!P2008</f>
        <v>999</v>
      </c>
      <c r="E146" s="296" t="s">
        <v>868</v>
      </c>
      <c r="F146" s="252">
        <f>(A146*D146)</f>
        <v>999</v>
      </c>
    </row>
    <row r="147" spans="1:6">
      <c r="A147" s="252">
        <v>2</v>
      </c>
      <c r="B147" s="252" t="s">
        <v>868</v>
      </c>
      <c r="C147" s="296" t="s">
        <v>2103</v>
      </c>
      <c r="D147" s="510">
        <f>Data!P2009</f>
        <v>866</v>
      </c>
      <c r="E147" s="296" t="s">
        <v>868</v>
      </c>
      <c r="F147" s="252">
        <f>(A147*D147)</f>
        <v>1732</v>
      </c>
    </row>
    <row r="148" spans="1:6">
      <c r="A148" s="252">
        <v>1</v>
      </c>
      <c r="B148" s="252" t="s">
        <v>868</v>
      </c>
      <c r="C148" s="296" t="s">
        <v>320</v>
      </c>
      <c r="D148" s="510">
        <f>Data!P2010</f>
        <v>534</v>
      </c>
      <c r="E148" s="296" t="s">
        <v>868</v>
      </c>
      <c r="F148" s="252">
        <f>(A148*D148)</f>
        <v>534</v>
      </c>
    </row>
    <row r="149" spans="1:6">
      <c r="A149" s="252"/>
      <c r="B149" s="252"/>
      <c r="C149" s="276" t="s">
        <v>713</v>
      </c>
      <c r="D149" s="510">
        <f>Data!P2011</f>
        <v>0</v>
      </c>
      <c r="E149" s="296"/>
      <c r="F149" s="252"/>
    </row>
    <row r="150" spans="1:6">
      <c r="A150" s="252">
        <v>0.5</v>
      </c>
      <c r="B150" s="252" t="s">
        <v>868</v>
      </c>
      <c r="C150" s="296" t="s">
        <v>2103</v>
      </c>
      <c r="D150" s="510">
        <f>Data!P2012</f>
        <v>866</v>
      </c>
      <c r="E150" s="296" t="s">
        <v>868</v>
      </c>
      <c r="F150" s="252">
        <f>(A150*D150)</f>
        <v>433</v>
      </c>
    </row>
    <row r="151" spans="1:6">
      <c r="A151" s="252">
        <v>0.5</v>
      </c>
      <c r="B151" s="252" t="s">
        <v>868</v>
      </c>
      <c r="C151" s="296" t="s">
        <v>1902</v>
      </c>
      <c r="D151" s="510">
        <f>Data!P2013</f>
        <v>651</v>
      </c>
      <c r="E151" s="296" t="s">
        <v>868</v>
      </c>
      <c r="F151" s="252">
        <f>(A151*D151)</f>
        <v>325.5</v>
      </c>
    </row>
    <row r="152" spans="1:6">
      <c r="A152" s="252"/>
      <c r="B152" s="252"/>
      <c r="C152" s="276" t="s">
        <v>4236</v>
      </c>
      <c r="D152" s="510">
        <f>Data!P2014</f>
        <v>0</v>
      </c>
      <c r="E152" s="296"/>
      <c r="F152" s="252">
        <v>-164</v>
      </c>
    </row>
    <row r="153" spans="1:6">
      <c r="A153" s="252"/>
      <c r="B153" s="252"/>
      <c r="C153" s="276" t="s">
        <v>4237</v>
      </c>
      <c r="D153" s="510">
        <f>Data!P2015</f>
        <v>0</v>
      </c>
      <c r="E153" s="296"/>
      <c r="F153" s="252">
        <v>134.1</v>
      </c>
    </row>
    <row r="154" spans="1:6">
      <c r="A154" s="252"/>
      <c r="B154" s="252" t="s">
        <v>449</v>
      </c>
      <c r="C154" s="296" t="s">
        <v>450</v>
      </c>
      <c r="D154" s="510">
        <f>Data!P2016</f>
        <v>0</v>
      </c>
      <c r="E154" s="296" t="s">
        <v>449</v>
      </c>
      <c r="F154" s="252">
        <v>0.7</v>
      </c>
    </row>
    <row r="155" spans="1:6">
      <c r="A155" s="252"/>
      <c r="B155" s="252"/>
      <c r="C155" s="296" t="s">
        <v>1751</v>
      </c>
      <c r="D155" s="252"/>
      <c r="E155" s="296"/>
      <c r="F155" s="252"/>
    </row>
    <row r="156" spans="1:6">
      <c r="A156" s="252"/>
      <c r="B156" s="252"/>
      <c r="C156" s="252"/>
      <c r="D156" s="252"/>
      <c r="E156" s="296"/>
      <c r="F156" s="274">
        <f>SUM(F144:F155)</f>
        <v>7084.3</v>
      </c>
    </row>
    <row r="157" spans="1:6">
      <c r="A157" s="253" t="s">
        <v>1176</v>
      </c>
      <c r="B157" s="252" t="s">
        <v>2251</v>
      </c>
      <c r="C157" s="296" t="s">
        <v>2225</v>
      </c>
      <c r="D157" s="252"/>
      <c r="E157" s="296"/>
      <c r="F157" s="252"/>
    </row>
    <row r="158" spans="1:6">
      <c r="A158" s="252"/>
      <c r="B158" s="252"/>
      <c r="C158" s="296" t="s">
        <v>2120</v>
      </c>
      <c r="D158" s="252"/>
      <c r="E158" s="296"/>
      <c r="F158" s="252"/>
    </row>
    <row r="159" spans="1:6">
      <c r="A159" s="252"/>
      <c r="B159" s="252"/>
      <c r="C159" s="358" t="s">
        <v>1586</v>
      </c>
      <c r="D159" s="252"/>
      <c r="E159" s="296"/>
      <c r="F159" s="252"/>
    </row>
    <row r="160" spans="1:6">
      <c r="A160" s="252">
        <v>1</v>
      </c>
      <c r="B160" s="252" t="s">
        <v>868</v>
      </c>
      <c r="C160" s="296" t="s">
        <v>2226</v>
      </c>
      <c r="D160" s="252">
        <f>[7]Data!I2116</f>
        <v>156</v>
      </c>
      <c r="E160" s="296" t="s">
        <v>868</v>
      </c>
      <c r="F160" s="252">
        <f>(A160*D160)</f>
        <v>156</v>
      </c>
    </row>
    <row r="161" spans="1:6">
      <c r="A161" s="252"/>
      <c r="B161" s="252" t="s">
        <v>449</v>
      </c>
      <c r="C161" s="296" t="s">
        <v>1686</v>
      </c>
      <c r="D161" s="252"/>
      <c r="E161" s="296" t="s">
        <v>449</v>
      </c>
      <c r="F161" s="252">
        <v>4</v>
      </c>
    </row>
    <row r="162" spans="1:6">
      <c r="A162" s="252"/>
      <c r="B162" s="252"/>
      <c r="C162" s="252"/>
      <c r="D162" s="252"/>
      <c r="E162" s="296" t="s">
        <v>975</v>
      </c>
      <c r="F162" s="358" t="s">
        <v>1586</v>
      </c>
    </row>
    <row r="163" spans="1:6">
      <c r="A163" s="252"/>
      <c r="B163" s="252"/>
      <c r="C163" s="296" t="s">
        <v>1751</v>
      </c>
      <c r="D163" s="252"/>
      <c r="E163" s="296"/>
      <c r="F163" s="252">
        <f>SUM(F160:F162)</f>
        <v>160</v>
      </c>
    </row>
    <row r="164" spans="1:6">
      <c r="A164" s="252"/>
      <c r="B164" s="252"/>
      <c r="C164" s="252"/>
      <c r="D164" s="252"/>
      <c r="E164" s="296"/>
      <c r="F164" s="358" t="s">
        <v>1586</v>
      </c>
    </row>
    <row r="165" spans="1:6">
      <c r="A165" s="252"/>
      <c r="B165" s="252" t="s">
        <v>675</v>
      </c>
      <c r="C165" s="296" t="s">
        <v>752</v>
      </c>
      <c r="D165" s="252"/>
      <c r="E165" s="296"/>
      <c r="F165" s="252"/>
    </row>
    <row r="166" spans="1:6">
      <c r="A166" s="252"/>
      <c r="B166" s="252"/>
      <c r="C166" s="296" t="s">
        <v>753</v>
      </c>
      <c r="D166" s="252"/>
      <c r="E166" s="296"/>
      <c r="F166" s="252"/>
    </row>
    <row r="167" spans="1:6">
      <c r="A167" s="252"/>
      <c r="B167" s="252"/>
      <c r="C167" s="358" t="s">
        <v>1586</v>
      </c>
      <c r="D167" s="252"/>
      <c r="E167" s="296"/>
      <c r="F167" s="252"/>
    </row>
    <row r="168" spans="1:6">
      <c r="A168" s="252">
        <v>0.04</v>
      </c>
      <c r="B168" s="252" t="s">
        <v>869</v>
      </c>
      <c r="C168" s="296" t="s">
        <v>754</v>
      </c>
      <c r="D168" s="252">
        <f>Data!I1336</f>
        <v>4479.66</v>
      </c>
      <c r="E168" s="296" t="s">
        <v>869</v>
      </c>
      <c r="F168" s="252">
        <f>(A168*D168)</f>
        <v>179.19</v>
      </c>
    </row>
    <row r="169" spans="1:6">
      <c r="A169" s="252">
        <v>2.2000000000000002</v>
      </c>
      <c r="B169" s="252" t="s">
        <v>769</v>
      </c>
      <c r="C169" s="296" t="s">
        <v>1712</v>
      </c>
      <c r="D169" s="252">
        <f>Data!I1337</f>
        <v>932</v>
      </c>
      <c r="E169" s="296" t="s">
        <v>769</v>
      </c>
      <c r="F169" s="252">
        <f>(A169*D169)</f>
        <v>2050.4</v>
      </c>
    </row>
    <row r="170" spans="1:6">
      <c r="A170" s="252">
        <v>0.5</v>
      </c>
      <c r="B170" s="252" t="s">
        <v>769</v>
      </c>
      <c r="C170" s="296" t="s">
        <v>1902</v>
      </c>
      <c r="D170" s="252">
        <f>Data!I1338</f>
        <v>651</v>
      </c>
      <c r="E170" s="296" t="s">
        <v>769</v>
      </c>
      <c r="F170" s="252">
        <f>(A170*D170)</f>
        <v>325.5</v>
      </c>
    </row>
    <row r="171" spans="1:6">
      <c r="A171" s="252">
        <v>1.1000000000000001</v>
      </c>
      <c r="B171" s="252" t="s">
        <v>769</v>
      </c>
      <c r="C171" s="296" t="s">
        <v>320</v>
      </c>
      <c r="D171" s="252">
        <f>Data!I1339</f>
        <v>534</v>
      </c>
      <c r="E171" s="296" t="s">
        <v>769</v>
      </c>
      <c r="F171" s="252">
        <f>(A171*D171)</f>
        <v>587.4</v>
      </c>
    </row>
    <row r="172" spans="1:6">
      <c r="A172" s="252"/>
      <c r="B172" s="252" t="s">
        <v>449</v>
      </c>
      <c r="C172" s="296" t="s">
        <v>450</v>
      </c>
      <c r="D172" s="252"/>
      <c r="E172" s="296" t="s">
        <v>449</v>
      </c>
      <c r="F172" s="252">
        <v>0</v>
      </c>
    </row>
    <row r="173" spans="1:6">
      <c r="A173" s="252"/>
      <c r="B173" s="252"/>
      <c r="C173" s="252"/>
      <c r="D173" s="252"/>
      <c r="E173" s="296"/>
      <c r="F173" s="358" t="s">
        <v>1586</v>
      </c>
    </row>
    <row r="174" spans="1:6">
      <c r="A174" s="252"/>
      <c r="B174" s="252"/>
      <c r="C174" s="296" t="s">
        <v>441</v>
      </c>
      <c r="D174" s="252"/>
      <c r="E174" s="296"/>
      <c r="F174" s="252">
        <f>SUM(F168:F172)</f>
        <v>3142.49</v>
      </c>
    </row>
    <row r="175" spans="1:6">
      <c r="A175" s="252"/>
      <c r="B175" s="252"/>
      <c r="C175" s="252"/>
      <c r="D175" s="252"/>
      <c r="E175" s="296"/>
      <c r="F175" s="358" t="s">
        <v>1586</v>
      </c>
    </row>
    <row r="176" spans="1:6">
      <c r="A176" s="252"/>
      <c r="B176" s="252"/>
      <c r="C176" s="255" t="s">
        <v>552</v>
      </c>
      <c r="D176" s="252"/>
      <c r="E176" s="296"/>
      <c r="F176" s="274">
        <f>(F174/10)</f>
        <v>314.25</v>
      </c>
    </row>
    <row r="177" spans="1:6">
      <c r="A177" s="252"/>
      <c r="B177" s="252"/>
      <c r="C177" s="252"/>
      <c r="D177" s="252"/>
      <c r="E177" s="296"/>
      <c r="F177" s="358" t="s">
        <v>2055</v>
      </c>
    </row>
    <row r="178" spans="1:6">
      <c r="A178" s="253" t="s">
        <v>1296</v>
      </c>
      <c r="B178" s="252" t="s">
        <v>2251</v>
      </c>
      <c r="C178" s="296" t="s">
        <v>4</v>
      </c>
      <c r="D178" s="252"/>
      <c r="E178" s="296"/>
      <c r="F178" s="252"/>
    </row>
    <row r="179" spans="1:6">
      <c r="A179" s="252"/>
      <c r="B179" s="252"/>
      <c r="C179" s="358" t="s">
        <v>1586</v>
      </c>
      <c r="D179" s="252"/>
      <c r="E179" s="296"/>
      <c r="F179" s="252"/>
    </row>
    <row r="180" spans="1:6">
      <c r="A180" s="252">
        <v>0.14000000000000001</v>
      </c>
      <c r="B180" s="252" t="s">
        <v>869</v>
      </c>
      <c r="C180" s="296" t="s">
        <v>1625</v>
      </c>
      <c r="D180" s="252">
        <f>Data!I1392</f>
        <v>3319.98</v>
      </c>
      <c r="E180" s="296" t="s">
        <v>869</v>
      </c>
      <c r="F180" s="252">
        <f>(A180*D180)</f>
        <v>464.8</v>
      </c>
    </row>
    <row r="181" spans="1:6">
      <c r="A181" s="252">
        <v>1.1000000000000001</v>
      </c>
      <c r="B181" s="252" t="s">
        <v>868</v>
      </c>
      <c r="C181" s="296" t="s">
        <v>2009</v>
      </c>
      <c r="D181" s="252">
        <f>Data!I1393</f>
        <v>999</v>
      </c>
      <c r="E181" s="296" t="s">
        <v>868</v>
      </c>
      <c r="F181" s="252">
        <f>(A181*D181)</f>
        <v>1098.9000000000001</v>
      </c>
    </row>
    <row r="182" spans="1:6">
      <c r="A182" s="252">
        <v>0.5</v>
      </c>
      <c r="B182" s="252" t="s">
        <v>868</v>
      </c>
      <c r="C182" s="296" t="s">
        <v>1902</v>
      </c>
      <c r="D182" s="252">
        <f>Data!I1394</f>
        <v>651</v>
      </c>
      <c r="E182" s="296" t="s">
        <v>868</v>
      </c>
      <c r="F182" s="252">
        <f>(A182*D182)</f>
        <v>325.5</v>
      </c>
    </row>
    <row r="183" spans="1:6">
      <c r="A183" s="252">
        <v>1.1000000000000001</v>
      </c>
      <c r="B183" s="252" t="s">
        <v>868</v>
      </c>
      <c r="C183" s="296" t="s">
        <v>320</v>
      </c>
      <c r="D183" s="252">
        <f>Data!I1395</f>
        <v>534</v>
      </c>
      <c r="E183" s="296" t="s">
        <v>868</v>
      </c>
      <c r="F183" s="252">
        <f>(A183*D183)</f>
        <v>587.4</v>
      </c>
    </row>
    <row r="184" spans="1:6">
      <c r="A184" s="252"/>
      <c r="B184" s="252" t="s">
        <v>449</v>
      </c>
      <c r="C184" s="296" t="s">
        <v>450</v>
      </c>
      <c r="D184" s="252" t="str">
        <f>Data!I1396</f>
        <v/>
      </c>
      <c r="E184" s="296" t="s">
        <v>449</v>
      </c>
      <c r="F184" s="252">
        <v>5</v>
      </c>
    </row>
    <row r="185" spans="1:6">
      <c r="A185" s="252"/>
      <c r="B185" s="252"/>
      <c r="C185" s="252"/>
      <c r="D185" s="252"/>
      <c r="E185" s="296"/>
      <c r="F185" s="358" t="s">
        <v>1586</v>
      </c>
    </row>
    <row r="186" spans="1:6">
      <c r="A186" s="252"/>
      <c r="B186" s="252"/>
      <c r="C186" s="296" t="s">
        <v>441</v>
      </c>
      <c r="D186" s="252"/>
      <c r="E186" s="296"/>
      <c r="F186" s="252">
        <f>SUM(F180:F185)</f>
        <v>2481.6</v>
      </c>
    </row>
    <row r="187" spans="1:6">
      <c r="A187" s="252"/>
      <c r="B187" s="252"/>
      <c r="C187" s="252"/>
      <c r="D187" s="252"/>
      <c r="E187" s="296"/>
      <c r="F187" s="358" t="s">
        <v>1586</v>
      </c>
    </row>
    <row r="188" spans="1:6">
      <c r="A188" s="252"/>
      <c r="B188" s="252"/>
      <c r="C188" s="255" t="s">
        <v>552</v>
      </c>
      <c r="D188" s="252"/>
      <c r="E188" s="296"/>
      <c r="F188" s="274">
        <f>(F186/10)</f>
        <v>248.16</v>
      </c>
    </row>
    <row r="189" spans="1:6">
      <c r="A189" s="252"/>
      <c r="B189" s="252"/>
      <c r="C189" s="252"/>
      <c r="D189" s="252"/>
      <c r="E189" s="296"/>
      <c r="F189" s="358" t="s">
        <v>2055</v>
      </c>
    </row>
    <row r="190" spans="1:6">
      <c r="A190" s="253" t="s">
        <v>7</v>
      </c>
      <c r="B190" s="252" t="s">
        <v>2251</v>
      </c>
      <c r="C190" s="296" t="s">
        <v>8</v>
      </c>
      <c r="D190" s="252"/>
      <c r="E190" s="296"/>
      <c r="F190" s="252"/>
    </row>
    <row r="191" spans="1:6">
      <c r="A191" s="252"/>
      <c r="B191" s="252"/>
      <c r="C191" s="358" t="s">
        <v>1586</v>
      </c>
      <c r="D191" s="252"/>
      <c r="E191" s="296"/>
      <c r="F191" s="252"/>
    </row>
    <row r="192" spans="1:6">
      <c r="A192" s="252">
        <v>0.1</v>
      </c>
      <c r="B192" s="252" t="s">
        <v>869</v>
      </c>
      <c r="C192" s="296" t="s">
        <v>1353</v>
      </c>
      <c r="D192" s="252">
        <f>Data!I1418</f>
        <v>4479.66</v>
      </c>
      <c r="E192" s="296" t="s">
        <v>869</v>
      </c>
      <c r="F192" s="252">
        <f>(A192*D192)</f>
        <v>447.97</v>
      </c>
    </row>
    <row r="193" spans="1:6">
      <c r="A193" s="252">
        <v>1.1000000000000001</v>
      </c>
      <c r="B193" s="252" t="s">
        <v>868</v>
      </c>
      <c r="C193" s="296" t="s">
        <v>2009</v>
      </c>
      <c r="D193" s="252">
        <f>Data!I1419</f>
        <v>999</v>
      </c>
      <c r="E193" s="296" t="s">
        <v>868</v>
      </c>
      <c r="F193" s="252">
        <f>(A193*D193)</f>
        <v>1098.9000000000001</v>
      </c>
    </row>
    <row r="194" spans="1:6">
      <c r="A194" s="252">
        <v>1.1000000000000001</v>
      </c>
      <c r="B194" s="252" t="s">
        <v>868</v>
      </c>
      <c r="C194" s="296" t="s">
        <v>1902</v>
      </c>
      <c r="D194" s="252">
        <f>Data!I1420</f>
        <v>651</v>
      </c>
      <c r="E194" s="296" t="s">
        <v>868</v>
      </c>
      <c r="F194" s="252">
        <f>(A194*D194)</f>
        <v>716.1</v>
      </c>
    </row>
    <row r="195" spans="1:6">
      <c r="A195" s="252">
        <v>1.1000000000000001</v>
      </c>
      <c r="B195" s="252" t="s">
        <v>868</v>
      </c>
      <c r="C195" s="296" t="s">
        <v>320</v>
      </c>
      <c r="D195" s="252">
        <f>Data!I1421</f>
        <v>534</v>
      </c>
      <c r="E195" s="296" t="s">
        <v>868</v>
      </c>
      <c r="F195" s="252">
        <f>(A195*D195)</f>
        <v>587.4</v>
      </c>
    </row>
    <row r="196" spans="1:6">
      <c r="A196" s="252"/>
      <c r="B196" s="252" t="s">
        <v>449</v>
      </c>
      <c r="C196" s="296" t="s">
        <v>450</v>
      </c>
      <c r="D196" s="252" t="str">
        <f>Data!I1422</f>
        <v/>
      </c>
      <c r="E196" s="296" t="s">
        <v>449</v>
      </c>
      <c r="F196" s="252"/>
    </row>
    <row r="197" spans="1:6">
      <c r="A197" s="252"/>
      <c r="B197" s="252"/>
      <c r="C197" s="252"/>
      <c r="D197" s="252"/>
      <c r="E197" s="296"/>
      <c r="F197" s="358" t="s">
        <v>1586</v>
      </c>
    </row>
    <row r="198" spans="1:6">
      <c r="A198" s="252"/>
      <c r="B198" s="252"/>
      <c r="C198" s="296" t="s">
        <v>441</v>
      </c>
      <c r="D198" s="252"/>
      <c r="E198" s="296"/>
      <c r="F198" s="252">
        <f>SUM(F192:F196)</f>
        <v>2850.37</v>
      </c>
    </row>
    <row r="199" spans="1:6">
      <c r="A199" s="252"/>
      <c r="B199" s="252"/>
      <c r="C199" s="253"/>
      <c r="D199" s="252"/>
      <c r="E199" s="296"/>
      <c r="F199" s="358" t="s">
        <v>1586</v>
      </c>
    </row>
    <row r="200" spans="1:6">
      <c r="A200" s="252"/>
      <c r="B200" s="252"/>
      <c r="C200" s="255" t="s">
        <v>552</v>
      </c>
      <c r="D200" s="274"/>
      <c r="E200" s="276"/>
      <c r="F200" s="274">
        <f>(F198/10)</f>
        <v>285.04000000000002</v>
      </c>
    </row>
    <row r="201" spans="1:6">
      <c r="A201" s="252"/>
      <c r="B201" s="252"/>
      <c r="C201" s="252"/>
      <c r="D201" s="252"/>
      <c r="E201" s="296"/>
      <c r="F201" s="358" t="s">
        <v>2055</v>
      </c>
    </row>
    <row r="202" spans="1:6">
      <c r="A202" s="375">
        <v>37.1</v>
      </c>
      <c r="B202" s="252" t="s">
        <v>2251</v>
      </c>
      <c r="C202" s="296" t="s">
        <v>395</v>
      </c>
      <c r="D202" s="252"/>
      <c r="E202" s="296"/>
      <c r="F202" s="252"/>
    </row>
    <row r="203" spans="1:6">
      <c r="A203" s="252"/>
      <c r="B203" s="252"/>
      <c r="C203" s="358" t="s">
        <v>1586</v>
      </c>
      <c r="D203" s="252"/>
      <c r="E203" s="296"/>
      <c r="F203" s="252"/>
    </row>
    <row r="204" spans="1:6">
      <c r="A204" s="252">
        <v>0.09</v>
      </c>
      <c r="B204" s="252" t="s">
        <v>869</v>
      </c>
      <c r="C204" s="296" t="s">
        <v>2004</v>
      </c>
      <c r="D204" s="252">
        <f>Data!I1490</f>
        <v>1348</v>
      </c>
      <c r="E204" s="296" t="s">
        <v>869</v>
      </c>
      <c r="F204" s="252">
        <f>(A204*D204)</f>
        <v>121.32</v>
      </c>
    </row>
    <row r="205" spans="1:6">
      <c r="A205" s="252">
        <v>2.2000000000000002</v>
      </c>
      <c r="B205" s="252" t="s">
        <v>868</v>
      </c>
      <c r="C205" s="296" t="s">
        <v>1712</v>
      </c>
      <c r="D205" s="252">
        <f>Data!I1491</f>
        <v>932</v>
      </c>
      <c r="E205" s="296" t="s">
        <v>868</v>
      </c>
      <c r="F205" s="252">
        <f>(A205*D205)</f>
        <v>2050.4</v>
      </c>
    </row>
    <row r="206" spans="1:6">
      <c r="A206" s="252">
        <v>0.5</v>
      </c>
      <c r="B206" s="252" t="s">
        <v>868</v>
      </c>
      <c r="C206" s="296" t="s">
        <v>1902</v>
      </c>
      <c r="D206" s="252">
        <f>Data!I1492</f>
        <v>651</v>
      </c>
      <c r="E206" s="296" t="s">
        <v>868</v>
      </c>
      <c r="F206" s="252">
        <f>(A206*D206)</f>
        <v>325.5</v>
      </c>
    </row>
    <row r="207" spans="1:6">
      <c r="A207" s="252">
        <v>3.8</v>
      </c>
      <c r="B207" s="252" t="s">
        <v>868</v>
      </c>
      <c r="C207" s="296" t="s">
        <v>320</v>
      </c>
      <c r="D207" s="252">
        <f>Data!I1493</f>
        <v>534</v>
      </c>
      <c r="E207" s="296" t="s">
        <v>868</v>
      </c>
      <c r="F207" s="252">
        <f>(A207*D207)</f>
        <v>2029.2</v>
      </c>
    </row>
    <row r="208" spans="1:6">
      <c r="A208" s="252"/>
      <c r="B208" s="252" t="s">
        <v>449</v>
      </c>
      <c r="C208" s="296" t="s">
        <v>505</v>
      </c>
      <c r="D208" s="252" t="str">
        <f>Data!I1494</f>
        <v/>
      </c>
      <c r="E208" s="296" t="s">
        <v>449</v>
      </c>
      <c r="F208" s="252">
        <v>1.5</v>
      </c>
    </row>
    <row r="209" spans="1:6">
      <c r="A209" s="252"/>
      <c r="B209" s="252"/>
      <c r="C209" s="252"/>
      <c r="D209" s="252"/>
      <c r="E209" s="296"/>
      <c r="F209" s="358" t="s">
        <v>1586</v>
      </c>
    </row>
    <row r="210" spans="1:6">
      <c r="A210" s="252"/>
      <c r="B210" s="252"/>
      <c r="C210" s="296" t="s">
        <v>1838</v>
      </c>
      <c r="D210" s="252"/>
      <c r="E210" s="296"/>
      <c r="F210" s="252">
        <f>SUM(F203:F208)</f>
        <v>4527.92</v>
      </c>
    </row>
    <row r="211" spans="1:6">
      <c r="A211" s="252"/>
      <c r="B211" s="252"/>
      <c r="C211" s="252"/>
      <c r="D211" s="252"/>
      <c r="E211" s="296"/>
      <c r="F211" s="358" t="s">
        <v>1586</v>
      </c>
    </row>
    <row r="212" spans="1:6">
      <c r="A212" s="252"/>
      <c r="B212" s="252"/>
      <c r="C212" s="255" t="s">
        <v>552</v>
      </c>
      <c r="D212" s="274"/>
      <c r="E212" s="276"/>
      <c r="F212" s="274">
        <f>(F210/100)</f>
        <v>45.28</v>
      </c>
    </row>
    <row r="213" spans="1:6">
      <c r="A213" s="252"/>
      <c r="B213" s="252"/>
      <c r="C213" s="252"/>
      <c r="D213" s="252"/>
      <c r="E213" s="296"/>
      <c r="F213" s="358" t="s">
        <v>2055</v>
      </c>
    </row>
    <row r="214" spans="1:6">
      <c r="A214" s="253" t="s">
        <v>848</v>
      </c>
      <c r="B214" s="252" t="s">
        <v>2251</v>
      </c>
      <c r="C214" s="296" t="s">
        <v>998</v>
      </c>
      <c r="D214" s="252"/>
      <c r="E214" s="253"/>
      <c r="F214" s="252"/>
    </row>
    <row r="215" spans="1:6">
      <c r="A215" s="252"/>
      <c r="B215" s="252"/>
      <c r="C215" s="296" t="s">
        <v>999</v>
      </c>
      <c r="D215" s="252"/>
      <c r="E215" s="253"/>
      <c r="F215" s="252"/>
    </row>
    <row r="216" spans="1:6">
      <c r="A216" s="252"/>
      <c r="B216" s="252"/>
      <c r="C216" s="296" t="s">
        <v>1000</v>
      </c>
      <c r="D216" s="252"/>
      <c r="E216" s="253"/>
      <c r="F216" s="252"/>
    </row>
    <row r="217" spans="1:6">
      <c r="A217" s="252"/>
      <c r="B217" s="252"/>
      <c r="C217" s="296" t="s">
        <v>28</v>
      </c>
      <c r="D217" s="252"/>
      <c r="E217" s="253"/>
      <c r="F217" s="252"/>
    </row>
    <row r="218" spans="1:6">
      <c r="A218" s="252"/>
      <c r="B218" s="252"/>
      <c r="C218" s="358" t="s">
        <v>1586</v>
      </c>
      <c r="D218" s="252"/>
      <c r="E218" s="253"/>
      <c r="F218" s="252"/>
    </row>
    <row r="219" spans="1:6">
      <c r="A219" s="252">
        <v>1.8</v>
      </c>
      <c r="B219" s="252" t="s">
        <v>1645</v>
      </c>
      <c r="C219" s="296" t="s">
        <v>1288</v>
      </c>
      <c r="D219" s="252">
        <f>Data!I2711</f>
        <v>22.6</v>
      </c>
      <c r="E219" s="253" t="s">
        <v>1645</v>
      </c>
      <c r="F219" s="252">
        <f>(A219*D219)</f>
        <v>40.68</v>
      </c>
    </row>
    <row r="220" spans="1:6">
      <c r="A220" s="252">
        <v>0.25</v>
      </c>
      <c r="B220" s="252" t="s">
        <v>868</v>
      </c>
      <c r="C220" s="296" t="s">
        <v>29</v>
      </c>
      <c r="D220" s="252">
        <f>Data!I2712</f>
        <v>797</v>
      </c>
      <c r="E220" s="253" t="s">
        <v>868</v>
      </c>
      <c r="F220" s="252">
        <f>(A220*D220)</f>
        <v>199.25</v>
      </c>
    </row>
    <row r="221" spans="1:6">
      <c r="A221" s="252">
        <v>0.25</v>
      </c>
      <c r="B221" s="252" t="s">
        <v>868</v>
      </c>
      <c r="C221" s="296" t="s">
        <v>934</v>
      </c>
      <c r="D221" s="252">
        <f>Data!I2713</f>
        <v>651</v>
      </c>
      <c r="E221" s="253" t="s">
        <v>868</v>
      </c>
      <c r="F221" s="252">
        <f>(A221*D221)</f>
        <v>162.75</v>
      </c>
    </row>
    <row r="222" spans="1:6">
      <c r="A222" s="252">
        <v>0.4</v>
      </c>
      <c r="B222" s="252" t="s">
        <v>868</v>
      </c>
      <c r="C222" s="296" t="s">
        <v>320</v>
      </c>
      <c r="D222" s="252">
        <f>Data!I2714</f>
        <v>534</v>
      </c>
      <c r="E222" s="253" t="s">
        <v>868</v>
      </c>
      <c r="F222" s="252">
        <f>(A222*D222)</f>
        <v>213.6</v>
      </c>
    </row>
    <row r="223" spans="1:6">
      <c r="A223" s="252"/>
      <c r="B223" s="252"/>
      <c r="C223" s="296"/>
      <c r="D223" s="252" t="str">
        <f>Data!I2715</f>
        <v/>
      </c>
      <c r="E223" s="253"/>
      <c r="F223" s="252">
        <f>SUM(F219:F222)</f>
        <v>616.28</v>
      </c>
    </row>
    <row r="224" spans="1:6">
      <c r="A224" s="252"/>
      <c r="B224" s="252"/>
      <c r="C224" s="274"/>
      <c r="D224" s="274"/>
      <c r="E224" s="255"/>
      <c r="F224" s="360">
        <f>F223/10</f>
        <v>61.63</v>
      </c>
    </row>
    <row r="225" spans="1:6">
      <c r="A225" s="253"/>
      <c r="B225" s="252" t="s">
        <v>2251</v>
      </c>
      <c r="C225" s="296" t="s">
        <v>6163</v>
      </c>
      <c r="D225" s="252"/>
      <c r="E225" s="253"/>
      <c r="F225" s="252"/>
    </row>
    <row r="226" spans="1:6">
      <c r="A226" s="252"/>
      <c r="B226" s="252"/>
      <c r="C226" s="296" t="s">
        <v>1524</v>
      </c>
      <c r="D226" s="252"/>
      <c r="E226" s="253"/>
      <c r="F226" s="252"/>
    </row>
    <row r="227" spans="1:6">
      <c r="A227" s="252"/>
      <c r="B227" s="252"/>
      <c r="C227" s="276" t="s">
        <v>1898</v>
      </c>
      <c r="D227" s="252"/>
      <c r="E227" s="253"/>
      <c r="F227" s="252"/>
    </row>
    <row r="228" spans="1:6">
      <c r="A228" s="252"/>
      <c r="B228" s="252"/>
      <c r="C228" s="358" t="s">
        <v>1586</v>
      </c>
      <c r="D228" s="252"/>
      <c r="E228" s="253"/>
      <c r="F228" s="252"/>
    </row>
    <row r="229" spans="1:6">
      <c r="A229" s="252">
        <v>1.34</v>
      </c>
      <c r="B229" s="252" t="s">
        <v>1645</v>
      </c>
      <c r="C229" s="296" t="s">
        <v>5363</v>
      </c>
      <c r="D229" s="252">
        <f>Data!I3340</f>
        <v>73.8</v>
      </c>
      <c r="E229" s="296" t="s">
        <v>1645</v>
      </c>
      <c r="F229" s="252">
        <f>(A229*D229)</f>
        <v>98.89</v>
      </c>
    </row>
    <row r="230" spans="1:6">
      <c r="A230" s="252">
        <v>0.5</v>
      </c>
      <c r="B230" s="252" t="s">
        <v>769</v>
      </c>
      <c r="C230" s="296" t="s">
        <v>1179</v>
      </c>
      <c r="D230" s="252">
        <f>Data!I3341</f>
        <v>797</v>
      </c>
      <c r="E230" s="252" t="s">
        <v>769</v>
      </c>
      <c r="F230" s="252">
        <f>(A230*D230)</f>
        <v>398.5</v>
      </c>
    </row>
    <row r="231" spans="1:6">
      <c r="A231" s="252">
        <v>0.5</v>
      </c>
      <c r="B231" s="252" t="s">
        <v>769</v>
      </c>
      <c r="C231" s="296" t="s">
        <v>1902</v>
      </c>
      <c r="D231" s="252">
        <f>Data!I3342</f>
        <v>651</v>
      </c>
      <c r="E231" s="252" t="s">
        <v>769</v>
      </c>
      <c r="F231" s="252">
        <f>(A231*D231)</f>
        <v>325.5</v>
      </c>
    </row>
    <row r="232" spans="1:6">
      <c r="A232" s="252">
        <v>0.8</v>
      </c>
      <c r="B232" s="252" t="s">
        <v>769</v>
      </c>
      <c r="C232" s="296" t="s">
        <v>320</v>
      </c>
      <c r="D232" s="252">
        <f>Data!I3343</f>
        <v>534</v>
      </c>
      <c r="E232" s="252" t="s">
        <v>769</v>
      </c>
      <c r="F232" s="252">
        <f>(A232*D232)</f>
        <v>427.2</v>
      </c>
    </row>
    <row r="233" spans="1:6">
      <c r="A233" s="252"/>
      <c r="B233" s="252" t="s">
        <v>449</v>
      </c>
      <c r="C233" s="296" t="s">
        <v>1181</v>
      </c>
      <c r="D233" s="252" t="str">
        <f>Data!I3344</f>
        <v/>
      </c>
      <c r="E233" s="253" t="s">
        <v>449</v>
      </c>
      <c r="F233" s="252">
        <v>2.6</v>
      </c>
    </row>
    <row r="234" spans="1:6">
      <c r="A234" s="252"/>
      <c r="B234" s="252"/>
      <c r="C234" s="252"/>
      <c r="D234" s="252"/>
      <c r="E234" s="253"/>
      <c r="F234" s="358" t="s">
        <v>1586</v>
      </c>
    </row>
    <row r="235" spans="1:6">
      <c r="A235" s="252"/>
      <c r="B235" s="252"/>
      <c r="C235" s="296" t="s">
        <v>441</v>
      </c>
      <c r="D235" s="252"/>
      <c r="E235" s="253"/>
      <c r="F235" s="252">
        <f>SUM(F229:F234)</f>
        <v>1252.69</v>
      </c>
    </row>
    <row r="236" spans="1:6">
      <c r="A236" s="252"/>
      <c r="B236" s="252"/>
      <c r="C236" s="252"/>
      <c r="D236" s="252"/>
      <c r="E236" s="253"/>
      <c r="F236" s="358" t="s">
        <v>1586</v>
      </c>
    </row>
    <row r="237" spans="1:6">
      <c r="A237" s="252"/>
      <c r="B237" s="252"/>
      <c r="C237" s="276" t="s">
        <v>552</v>
      </c>
      <c r="D237" s="252"/>
      <c r="E237" s="253"/>
      <c r="F237" s="274">
        <f>(F235/10)</f>
        <v>125.27</v>
      </c>
    </row>
    <row r="238" spans="1:6">
      <c r="A238" s="253" t="s">
        <v>1374</v>
      </c>
      <c r="B238" s="252" t="s">
        <v>2251</v>
      </c>
      <c r="C238" s="296" t="s">
        <v>6135</v>
      </c>
      <c r="D238" s="252"/>
      <c r="E238" s="253"/>
      <c r="F238" s="252"/>
    </row>
    <row r="239" spans="1:6">
      <c r="A239" s="252"/>
      <c r="B239" s="252"/>
      <c r="C239" s="296" t="s">
        <v>1524</v>
      </c>
      <c r="D239" s="252"/>
      <c r="E239" s="253"/>
      <c r="F239" s="252"/>
    </row>
    <row r="240" spans="1:6">
      <c r="A240" s="252"/>
      <c r="B240" s="252"/>
      <c r="C240" s="276" t="s">
        <v>1200</v>
      </c>
      <c r="D240" s="252"/>
      <c r="E240" s="253"/>
      <c r="F240" s="252"/>
    </row>
    <row r="241" spans="1:6">
      <c r="A241" s="252"/>
      <c r="B241" s="252"/>
      <c r="C241" s="358" t="s">
        <v>1586</v>
      </c>
      <c r="D241" s="252"/>
      <c r="E241" s="253"/>
      <c r="F241" s="252"/>
    </row>
    <row r="242" spans="1:6">
      <c r="A242" s="252">
        <v>1.4</v>
      </c>
      <c r="B242" s="252" t="s">
        <v>1238</v>
      </c>
      <c r="C242" s="276" t="s">
        <v>5326</v>
      </c>
      <c r="D242" s="407">
        <f>Data!P1319</f>
        <v>295.60000000000002</v>
      </c>
      <c r="E242" s="253" t="s">
        <v>1238</v>
      </c>
      <c r="F242" s="252">
        <f>D242*A242</f>
        <v>413.84</v>
      </c>
    </row>
    <row r="243" spans="1:6">
      <c r="A243" s="252">
        <v>0.98</v>
      </c>
      <c r="B243" s="252" t="s">
        <v>1238</v>
      </c>
      <c r="C243" s="296" t="s">
        <v>5327</v>
      </c>
      <c r="D243" s="407">
        <f>Data!P1320</f>
        <v>147.5</v>
      </c>
      <c r="E243" s="253" t="s">
        <v>1238</v>
      </c>
      <c r="F243" s="252">
        <f>(A243*D243)</f>
        <v>144.55000000000001</v>
      </c>
    </row>
    <row r="244" spans="1:6">
      <c r="A244" s="252">
        <v>2.2000000000000002</v>
      </c>
      <c r="B244" s="252" t="s">
        <v>769</v>
      </c>
      <c r="C244" s="296" t="s">
        <v>1179</v>
      </c>
      <c r="D244" s="407">
        <f>Data!P1321</f>
        <v>797</v>
      </c>
      <c r="E244" s="253" t="s">
        <v>769</v>
      </c>
      <c r="F244" s="252">
        <f>(A244*D244)</f>
        <v>1753.4</v>
      </c>
    </row>
    <row r="245" spans="1:6">
      <c r="A245" s="252"/>
      <c r="B245" s="252" t="s">
        <v>449</v>
      </c>
      <c r="C245" s="296" t="s">
        <v>1181</v>
      </c>
      <c r="D245" s="407" t="str">
        <f>Data!P1322</f>
        <v/>
      </c>
      <c r="E245" s="253" t="s">
        <v>449</v>
      </c>
      <c r="F245" s="252">
        <v>2.5499999999999998</v>
      </c>
    </row>
    <row r="246" spans="1:6">
      <c r="A246" s="252"/>
      <c r="B246" s="252"/>
      <c r="C246" s="252"/>
      <c r="D246" s="252"/>
      <c r="E246" s="253"/>
      <c r="F246" s="358"/>
    </row>
    <row r="247" spans="1:6">
      <c r="A247" s="252"/>
      <c r="B247" s="252"/>
      <c r="C247" s="296" t="s">
        <v>441</v>
      </c>
      <c r="D247" s="252"/>
      <c r="E247" s="253"/>
      <c r="F247" s="252">
        <f>SUM(F242:F245)</f>
        <v>2314.34</v>
      </c>
    </row>
    <row r="248" spans="1:6">
      <c r="A248" s="252"/>
      <c r="B248" s="252"/>
      <c r="C248" s="252"/>
      <c r="D248" s="252"/>
      <c r="E248" s="253"/>
      <c r="F248" s="358" t="s">
        <v>1586</v>
      </c>
    </row>
    <row r="249" spans="1:6">
      <c r="A249" s="252"/>
      <c r="B249" s="252"/>
      <c r="C249" s="296" t="s">
        <v>552</v>
      </c>
      <c r="D249" s="252"/>
      <c r="E249" s="253"/>
      <c r="F249" s="274">
        <f>(F247/10)</f>
        <v>231.43</v>
      </c>
    </row>
    <row r="250" spans="1:6">
      <c r="A250" s="252"/>
      <c r="B250" s="252"/>
      <c r="C250" s="252"/>
      <c r="D250" s="252"/>
      <c r="E250" s="253"/>
      <c r="F250" s="358" t="s">
        <v>2055</v>
      </c>
    </row>
    <row r="251" spans="1:6">
      <c r="A251" s="253" t="s">
        <v>1651</v>
      </c>
      <c r="B251" s="252"/>
      <c r="C251" s="296" t="s">
        <v>5333</v>
      </c>
      <c r="D251" s="252"/>
      <c r="E251" s="296"/>
      <c r="F251" s="407">
        <v>10.050000000000001</v>
      </c>
    </row>
    <row r="252" spans="1:6">
      <c r="A252" s="252"/>
      <c r="B252" s="252"/>
      <c r="C252" s="296" t="s">
        <v>2276</v>
      </c>
      <c r="D252" s="252"/>
      <c r="E252" s="296"/>
      <c r="F252" s="274">
        <f>700*F251</f>
        <v>7035</v>
      </c>
    </row>
    <row r="253" spans="1:6">
      <c r="A253" s="253"/>
      <c r="B253" s="252" t="s">
        <v>2251</v>
      </c>
      <c r="C253" s="296" t="s">
        <v>6559</v>
      </c>
      <c r="D253" s="252"/>
      <c r="E253" s="253"/>
      <c r="F253" s="252"/>
    </row>
    <row r="254" spans="1:6">
      <c r="A254" s="252"/>
      <c r="B254" s="252"/>
      <c r="C254" s="296" t="s">
        <v>1524</v>
      </c>
      <c r="D254" s="252"/>
      <c r="E254" s="253"/>
      <c r="F254" s="252"/>
    </row>
    <row r="255" spans="1:6">
      <c r="A255" s="252"/>
      <c r="B255" s="252"/>
      <c r="C255" s="276" t="s">
        <v>1898</v>
      </c>
      <c r="D255" s="252"/>
      <c r="E255" s="253"/>
      <c r="F255" s="252"/>
    </row>
    <row r="256" spans="1:6">
      <c r="A256" s="252"/>
      <c r="B256" s="252"/>
      <c r="C256" s="358" t="s">
        <v>1586</v>
      </c>
      <c r="D256" s="252"/>
      <c r="E256" s="253"/>
      <c r="F256" s="252"/>
    </row>
    <row r="257" spans="1:6">
      <c r="A257" s="252">
        <v>1.34</v>
      </c>
      <c r="B257" s="252" t="s">
        <v>1645</v>
      </c>
      <c r="C257" s="296" t="s">
        <v>5363</v>
      </c>
      <c r="D257" s="252">
        <f>Data!I3439</f>
        <v>73.8</v>
      </c>
      <c r="E257" s="296" t="s">
        <v>1645</v>
      </c>
      <c r="F257" s="252">
        <f>(A257*D257)</f>
        <v>98.89</v>
      </c>
    </row>
    <row r="258" spans="1:6">
      <c r="A258" s="252">
        <v>0.5</v>
      </c>
      <c r="B258" s="252" t="s">
        <v>769</v>
      </c>
      <c r="C258" s="296" t="s">
        <v>1179</v>
      </c>
      <c r="D258" s="252">
        <f>Data!I3440</f>
        <v>797</v>
      </c>
      <c r="E258" s="252" t="s">
        <v>769</v>
      </c>
      <c r="F258" s="252">
        <f>(A258*D258)</f>
        <v>398.5</v>
      </c>
    </row>
    <row r="259" spans="1:6">
      <c r="A259" s="252">
        <v>0.5</v>
      </c>
      <c r="B259" s="252" t="s">
        <v>769</v>
      </c>
      <c r="C259" s="296" t="s">
        <v>1902</v>
      </c>
      <c r="D259" s="252">
        <f>Data!I3441</f>
        <v>651</v>
      </c>
      <c r="E259" s="252" t="s">
        <v>769</v>
      </c>
      <c r="F259" s="252">
        <f>(A259*D259)</f>
        <v>325.5</v>
      </c>
    </row>
    <row r="260" spans="1:6">
      <c r="A260" s="252">
        <v>0.8</v>
      </c>
      <c r="B260" s="252" t="s">
        <v>769</v>
      </c>
      <c r="C260" s="296" t="s">
        <v>320</v>
      </c>
      <c r="D260" s="252">
        <f>Data!I3442</f>
        <v>534</v>
      </c>
      <c r="E260" s="252" t="s">
        <v>769</v>
      </c>
      <c r="F260" s="252">
        <f>(A260*D260)</f>
        <v>427.2</v>
      </c>
    </row>
    <row r="261" spans="1:6">
      <c r="A261" s="252">
        <v>10</v>
      </c>
      <c r="B261" s="252" t="s">
        <v>609</v>
      </c>
      <c r="C261" s="296" t="s">
        <v>2884</v>
      </c>
      <c r="D261" s="252">
        <f>Data!I3443</f>
        <v>4.2</v>
      </c>
      <c r="E261" s="252" t="s">
        <v>609</v>
      </c>
      <c r="F261" s="252">
        <f>(A261*D261)</f>
        <v>42</v>
      </c>
    </row>
    <row r="262" spans="1:6">
      <c r="A262" s="252"/>
      <c r="B262" s="252" t="s">
        <v>449</v>
      </c>
      <c r="C262" s="296" t="s">
        <v>1181</v>
      </c>
      <c r="D262" s="252" t="str">
        <f>Data!I3444</f>
        <v/>
      </c>
      <c r="E262" s="253" t="s">
        <v>449</v>
      </c>
      <c r="F262" s="252">
        <v>2.6</v>
      </c>
    </row>
    <row r="263" spans="1:6">
      <c r="A263" s="252"/>
      <c r="B263" s="252"/>
      <c r="C263" s="252"/>
      <c r="D263" s="252"/>
      <c r="E263" s="253"/>
      <c r="F263" s="358" t="s">
        <v>1586</v>
      </c>
    </row>
    <row r="264" spans="1:6">
      <c r="A264" s="252"/>
      <c r="B264" s="252"/>
      <c r="C264" s="296" t="s">
        <v>441</v>
      </c>
      <c r="D264" s="252"/>
      <c r="E264" s="253"/>
      <c r="F264" s="252">
        <f>SUM(F257:F263)</f>
        <v>1294.69</v>
      </c>
    </row>
    <row r="265" spans="1:6">
      <c r="A265" s="252"/>
      <c r="B265" s="252"/>
      <c r="C265" s="252"/>
      <c r="D265" s="252"/>
      <c r="E265" s="253"/>
      <c r="F265" s="358" t="s">
        <v>1586</v>
      </c>
    </row>
    <row r="266" spans="1:6">
      <c r="A266" s="252"/>
      <c r="B266" s="252"/>
      <c r="C266" s="276" t="s">
        <v>552</v>
      </c>
      <c r="D266" s="252"/>
      <c r="E266" s="253"/>
      <c r="F266" s="274">
        <f>(F264/10)</f>
        <v>129.47</v>
      </c>
    </row>
    <row r="267" spans="1:6">
      <c r="A267" s="252"/>
      <c r="B267" s="296" t="s">
        <v>675</v>
      </c>
      <c r="C267" s="296" t="s">
        <v>1114</v>
      </c>
      <c r="D267" s="252"/>
      <c r="E267" s="252"/>
      <c r="F267" s="252"/>
    </row>
    <row r="268" spans="1:6">
      <c r="A268" s="252"/>
      <c r="B268" s="252"/>
      <c r="C268" s="358" t="s">
        <v>1586</v>
      </c>
      <c r="D268" s="252"/>
      <c r="E268" s="252"/>
      <c r="F268" s="252"/>
    </row>
    <row r="269" spans="1:6">
      <c r="A269" s="252">
        <v>7.0000000000000007E-2</v>
      </c>
      <c r="B269" s="296" t="s">
        <v>869</v>
      </c>
      <c r="C269" s="296" t="s">
        <v>2004</v>
      </c>
      <c r="D269" s="252">
        <f>Data!P390</f>
        <v>1348</v>
      </c>
      <c r="E269" s="296" t="s">
        <v>869</v>
      </c>
      <c r="F269" s="252">
        <f>(A269*D269)</f>
        <v>94.36</v>
      </c>
    </row>
    <row r="270" spans="1:6">
      <c r="A270" s="252">
        <v>1.6</v>
      </c>
      <c r="B270" s="296" t="s">
        <v>868</v>
      </c>
      <c r="C270" s="296" t="s">
        <v>1712</v>
      </c>
      <c r="D270" s="252">
        <f>Data!P391</f>
        <v>932</v>
      </c>
      <c r="E270" s="296" t="s">
        <v>868</v>
      </c>
      <c r="F270" s="252">
        <f>(A270*D270)</f>
        <v>1491.2</v>
      </c>
    </row>
    <row r="271" spans="1:6">
      <c r="A271" s="252">
        <v>0.5</v>
      </c>
      <c r="B271" s="296" t="s">
        <v>868</v>
      </c>
      <c r="C271" s="296" t="s">
        <v>1902</v>
      </c>
      <c r="D271" s="252">
        <f>Data!P392</f>
        <v>651</v>
      </c>
      <c r="E271" s="296" t="s">
        <v>868</v>
      </c>
      <c r="F271" s="252">
        <f>(A271*D271)</f>
        <v>325.5</v>
      </c>
    </row>
    <row r="272" spans="1:6">
      <c r="A272" s="252">
        <v>2.7</v>
      </c>
      <c r="B272" s="296" t="s">
        <v>868</v>
      </c>
      <c r="C272" s="296" t="s">
        <v>320</v>
      </c>
      <c r="D272" s="252">
        <f>Data!P393</f>
        <v>534</v>
      </c>
      <c r="E272" s="296" t="s">
        <v>868</v>
      </c>
      <c r="F272" s="252">
        <f>(A272*D272)</f>
        <v>1441.8</v>
      </c>
    </row>
    <row r="273" spans="1:6">
      <c r="A273" s="252">
        <v>100</v>
      </c>
      <c r="B273" s="252" t="s">
        <v>609</v>
      </c>
      <c r="C273" s="296" t="s">
        <v>2884</v>
      </c>
      <c r="D273" s="252">
        <f>D261</f>
        <v>4.2</v>
      </c>
      <c r="E273" s="252" t="s">
        <v>609</v>
      </c>
      <c r="F273" s="252">
        <f>(A273*D273)</f>
        <v>420</v>
      </c>
    </row>
    <row r="274" spans="1:6">
      <c r="A274" s="252"/>
      <c r="B274" s="296" t="s">
        <v>449</v>
      </c>
      <c r="C274" s="296" t="s">
        <v>1836</v>
      </c>
      <c r="D274" s="252">
        <f>Data!P395</f>
        <v>0</v>
      </c>
      <c r="E274" s="296" t="s">
        <v>449</v>
      </c>
      <c r="F274" s="252">
        <v>2.09</v>
      </c>
    </row>
    <row r="275" spans="1:6">
      <c r="A275" s="252"/>
      <c r="B275" s="252"/>
      <c r="C275" s="252"/>
      <c r="D275" s="252"/>
      <c r="E275" s="252"/>
      <c r="F275" s="358" t="s">
        <v>1586</v>
      </c>
    </row>
    <row r="276" spans="1:6">
      <c r="A276" s="252"/>
      <c r="B276" s="252"/>
      <c r="C276" s="296" t="s">
        <v>1838</v>
      </c>
      <c r="D276" s="252"/>
      <c r="E276" s="252"/>
      <c r="F276" s="252">
        <f>SUM(F268:F274)</f>
        <v>3774.95</v>
      </c>
    </row>
    <row r="277" spans="1:6">
      <c r="A277" s="252"/>
      <c r="B277" s="252"/>
      <c r="C277" s="252"/>
      <c r="D277" s="252"/>
      <c r="E277" s="252"/>
      <c r="F277" s="358" t="s">
        <v>1586</v>
      </c>
    </row>
    <row r="278" spans="1:6">
      <c r="A278" s="252"/>
      <c r="B278" s="252"/>
      <c r="C278" s="296" t="s">
        <v>552</v>
      </c>
      <c r="D278" s="252"/>
      <c r="E278" s="252"/>
      <c r="F278" s="274">
        <f>(F276/100)</f>
        <v>37.75</v>
      </c>
    </row>
    <row r="279" spans="1:6">
      <c r="A279" s="252"/>
      <c r="B279" s="252"/>
      <c r="C279" s="252"/>
      <c r="D279" s="252"/>
      <c r="E279" s="252"/>
      <c r="F279" s="358" t="s">
        <v>2055</v>
      </c>
    </row>
    <row r="280" spans="1:6">
      <c r="A280" s="252"/>
      <c r="B280" s="252"/>
      <c r="C280" s="252" t="s">
        <v>2571</v>
      </c>
      <c r="D280" s="252"/>
      <c r="E280" s="253"/>
      <c r="F280" s="252"/>
    </row>
    <row r="281" spans="1:6">
      <c r="A281" s="252"/>
      <c r="B281" s="252"/>
      <c r="C281" s="252" t="s">
        <v>1045</v>
      </c>
      <c r="D281" s="252"/>
      <c r="E281" s="253"/>
      <c r="F281" s="252"/>
    </row>
    <row r="282" spans="1:6">
      <c r="A282" s="252"/>
      <c r="B282" s="252"/>
      <c r="C282" s="252" t="s">
        <v>1237</v>
      </c>
      <c r="D282" s="252"/>
      <c r="E282" s="253"/>
      <c r="F282" s="252"/>
    </row>
    <row r="283" spans="1:6">
      <c r="A283" s="252"/>
      <c r="B283" s="252"/>
      <c r="C283" s="252"/>
      <c r="D283" s="252"/>
      <c r="E283" s="253"/>
      <c r="F283" s="252"/>
    </row>
    <row r="284" spans="1:6">
      <c r="A284" s="252">
        <v>1.89</v>
      </c>
      <c r="B284" s="252" t="s">
        <v>2570</v>
      </c>
      <c r="C284" s="252" t="s">
        <v>1180</v>
      </c>
      <c r="D284" s="252">
        <f>Data!I3241</f>
        <v>227.6</v>
      </c>
      <c r="E284" s="252" t="s">
        <v>2570</v>
      </c>
      <c r="F284" s="252">
        <f>D284*A284</f>
        <v>430.16</v>
      </c>
    </row>
    <row r="285" spans="1:6">
      <c r="A285" s="252">
        <v>1.1000000000000001</v>
      </c>
      <c r="B285" s="252" t="s">
        <v>258</v>
      </c>
      <c r="C285" s="252" t="s">
        <v>1179</v>
      </c>
      <c r="D285" s="252">
        <f>Data!I3242</f>
        <v>797</v>
      </c>
      <c r="E285" s="252" t="s">
        <v>258</v>
      </c>
      <c r="F285" s="252">
        <f>D285*A285</f>
        <v>876.7</v>
      </c>
    </row>
    <row r="286" spans="1:6">
      <c r="A286" s="252">
        <v>10</v>
      </c>
      <c r="B286" s="252" t="s">
        <v>2283</v>
      </c>
      <c r="C286" s="296" t="s">
        <v>3038</v>
      </c>
      <c r="D286" s="252">
        <f>Data!I3243</f>
        <v>9.1</v>
      </c>
      <c r="E286" s="252" t="s">
        <v>2283</v>
      </c>
      <c r="F286" s="252">
        <f>D286*A286</f>
        <v>91</v>
      </c>
    </row>
    <row r="287" spans="1:6">
      <c r="A287" s="252"/>
      <c r="B287" s="252"/>
      <c r="C287" s="296" t="s">
        <v>3039</v>
      </c>
      <c r="D287" s="252" t="str">
        <f>Data!I3244</f>
        <v>LS</v>
      </c>
      <c r="E287" s="253"/>
      <c r="F287" s="252">
        <v>1.9</v>
      </c>
    </row>
    <row r="288" spans="1:6">
      <c r="A288" s="252"/>
      <c r="B288" s="252"/>
      <c r="C288" s="252" t="s">
        <v>441</v>
      </c>
      <c r="D288" s="252"/>
      <c r="E288" s="253"/>
      <c r="F288" s="252">
        <f>SUM(F284:F287)</f>
        <v>1399.76</v>
      </c>
    </row>
    <row r="289" spans="1:6">
      <c r="A289" s="252"/>
      <c r="B289" s="252"/>
      <c r="C289" s="252"/>
      <c r="D289" s="252"/>
      <c r="E289" s="253"/>
      <c r="F289" s="252"/>
    </row>
    <row r="290" spans="1:6">
      <c r="A290" s="252"/>
      <c r="B290" s="252"/>
      <c r="C290" s="252" t="s">
        <v>552</v>
      </c>
      <c r="D290" s="252"/>
      <c r="E290" s="253"/>
      <c r="F290" s="274">
        <f>F288/10</f>
        <v>139.97999999999999</v>
      </c>
    </row>
    <row r="291" spans="1:6">
      <c r="A291" s="252"/>
      <c r="B291" s="252"/>
      <c r="C291" s="252" t="s">
        <v>2571</v>
      </c>
      <c r="D291" s="252"/>
      <c r="E291" s="253"/>
      <c r="F291" s="252"/>
    </row>
    <row r="292" spans="1:6">
      <c r="A292" s="252"/>
      <c r="B292" s="252"/>
      <c r="C292" s="252" t="s">
        <v>1376</v>
      </c>
      <c r="D292" s="252"/>
      <c r="E292" s="253"/>
      <c r="F292" s="252"/>
    </row>
    <row r="293" spans="1:6">
      <c r="A293" s="252"/>
      <c r="B293" s="252"/>
      <c r="C293" s="252" t="s">
        <v>1237</v>
      </c>
      <c r="D293" s="252"/>
      <c r="E293" s="253"/>
      <c r="F293" s="252"/>
    </row>
    <row r="294" spans="1:6">
      <c r="A294" s="252"/>
      <c r="B294" s="252"/>
      <c r="C294" s="252"/>
      <c r="D294" s="252"/>
      <c r="E294" s="253"/>
      <c r="F294" s="252"/>
    </row>
    <row r="295" spans="1:6">
      <c r="A295" s="252">
        <v>2.2200000000000002</v>
      </c>
      <c r="B295" s="252" t="s">
        <v>2570</v>
      </c>
      <c r="C295" s="252" t="s">
        <v>1180</v>
      </c>
      <c r="D295" s="252">
        <f>Data!I3225</f>
        <v>238.9</v>
      </c>
      <c r="E295" s="252" t="s">
        <v>2570</v>
      </c>
      <c r="F295" s="252">
        <f>D295*A295</f>
        <v>530.36</v>
      </c>
    </row>
    <row r="296" spans="1:6">
      <c r="A296" s="252">
        <v>1.2</v>
      </c>
      <c r="B296" s="252" t="s">
        <v>258</v>
      </c>
      <c r="C296" s="252" t="s">
        <v>1179</v>
      </c>
      <c r="D296" s="252">
        <f>Data!I3226</f>
        <v>797</v>
      </c>
      <c r="E296" s="252" t="s">
        <v>258</v>
      </c>
      <c r="F296" s="252">
        <f>D296*A296</f>
        <v>956.4</v>
      </c>
    </row>
    <row r="297" spans="1:6">
      <c r="A297" s="252">
        <v>10</v>
      </c>
      <c r="B297" s="252" t="s">
        <v>2283</v>
      </c>
      <c r="C297" s="252" t="s">
        <v>3038</v>
      </c>
      <c r="D297" s="252">
        <f>Data!I3227</f>
        <v>9.85</v>
      </c>
      <c r="E297" s="252" t="s">
        <v>2283</v>
      </c>
      <c r="F297" s="252">
        <f>D297*A297</f>
        <v>98.5</v>
      </c>
    </row>
    <row r="298" spans="1:6">
      <c r="A298" s="252"/>
      <c r="B298" s="252"/>
      <c r="C298" s="252" t="s">
        <v>3039</v>
      </c>
      <c r="D298" s="252" t="str">
        <f>Data!I3228</f>
        <v>LS</v>
      </c>
      <c r="E298" s="253"/>
      <c r="F298" s="252">
        <v>6.65</v>
      </c>
    </row>
    <row r="299" spans="1:6">
      <c r="A299" s="252"/>
      <c r="B299" s="252"/>
      <c r="C299" s="252" t="s">
        <v>441</v>
      </c>
      <c r="D299" s="252"/>
      <c r="E299" s="253"/>
      <c r="F299" s="252">
        <f>SUM(F295:F298)</f>
        <v>1591.91</v>
      </c>
    </row>
    <row r="300" spans="1:6">
      <c r="A300" s="252"/>
      <c r="B300" s="252"/>
      <c r="C300" s="252"/>
      <c r="D300" s="252"/>
      <c r="E300" s="253"/>
      <c r="F300" s="252"/>
    </row>
    <row r="301" spans="1:6">
      <c r="A301" s="252"/>
      <c r="B301" s="252"/>
      <c r="C301" s="252" t="s">
        <v>552</v>
      </c>
      <c r="D301" s="252"/>
      <c r="E301" s="253"/>
      <c r="F301" s="274">
        <f>F299/10</f>
        <v>159.19</v>
      </c>
    </row>
    <row r="302" spans="1:6">
      <c r="A302" s="252"/>
      <c r="B302" s="252"/>
      <c r="C302" s="274" t="s">
        <v>4247</v>
      </c>
      <c r="D302" s="252"/>
      <c r="E302" s="252"/>
      <c r="F302" s="252"/>
    </row>
    <row r="303" spans="1:6">
      <c r="A303" s="252"/>
      <c r="B303" s="252"/>
      <c r="C303" s="252"/>
      <c r="D303" s="252"/>
      <c r="E303" s="252"/>
      <c r="F303" s="252"/>
    </row>
    <row r="304" spans="1:6">
      <c r="A304" s="252">
        <v>1.4</v>
      </c>
      <c r="B304" s="252" t="s">
        <v>1238</v>
      </c>
      <c r="C304" s="252" t="s">
        <v>1200</v>
      </c>
      <c r="D304" s="407">
        <f>Data!I3353</f>
        <v>295.60000000000002</v>
      </c>
      <c r="E304" s="252" t="s">
        <v>1238</v>
      </c>
      <c r="F304" s="252">
        <f>D304*A304</f>
        <v>413.84</v>
      </c>
    </row>
    <row r="305" spans="1:6">
      <c r="A305" s="252">
        <v>1.5</v>
      </c>
      <c r="B305" s="252" t="s">
        <v>769</v>
      </c>
      <c r="C305" s="252" t="s">
        <v>4249</v>
      </c>
      <c r="D305" s="407">
        <f>Data!I3354</f>
        <v>797</v>
      </c>
      <c r="E305" s="252" t="s">
        <v>769</v>
      </c>
      <c r="F305" s="252">
        <f>D305*A305</f>
        <v>1195.5</v>
      </c>
    </row>
    <row r="306" spans="1:6">
      <c r="A306" s="252">
        <v>10</v>
      </c>
      <c r="B306" s="252" t="s">
        <v>2283</v>
      </c>
      <c r="C306" s="296" t="s">
        <v>3866</v>
      </c>
      <c r="D306" s="407">
        <f>Data!I3355</f>
        <v>4.2</v>
      </c>
      <c r="E306" s="252" t="s">
        <v>2283</v>
      </c>
      <c r="F306" s="252">
        <f>D306*A306</f>
        <v>42</v>
      </c>
    </row>
    <row r="307" spans="1:6">
      <c r="A307" s="252"/>
      <c r="B307" s="252"/>
      <c r="C307" s="296" t="s">
        <v>3039</v>
      </c>
      <c r="D307" s="407" t="str">
        <f>Data!I3356</f>
        <v>ls</v>
      </c>
      <c r="E307" s="253"/>
      <c r="F307" s="252">
        <v>4.33</v>
      </c>
    </row>
    <row r="308" spans="1:6">
      <c r="A308" s="252"/>
      <c r="B308" s="252"/>
      <c r="C308" s="296" t="s">
        <v>441</v>
      </c>
      <c r="D308" s="252"/>
      <c r="E308" s="253"/>
      <c r="F308" s="252">
        <f>SUM(F304:F307)</f>
        <v>1655.67</v>
      </c>
    </row>
    <row r="309" spans="1:6">
      <c r="A309" s="252"/>
      <c r="B309" s="252"/>
      <c r="C309" s="276" t="s">
        <v>552</v>
      </c>
      <c r="D309" s="252"/>
      <c r="E309" s="253"/>
      <c r="F309" s="274">
        <f>F308/10</f>
        <v>165.57</v>
      </c>
    </row>
    <row r="310" spans="1:6">
      <c r="A310" s="253" t="s">
        <v>1318</v>
      </c>
      <c r="B310" s="252"/>
      <c r="C310" s="296" t="s">
        <v>14</v>
      </c>
      <c r="D310" s="252"/>
      <c r="E310" s="296"/>
      <c r="F310" s="252"/>
    </row>
    <row r="311" spans="1:6">
      <c r="A311" s="252"/>
      <c r="B311" s="252"/>
      <c r="C311" s="296" t="s">
        <v>15</v>
      </c>
      <c r="D311" s="252"/>
      <c r="E311" s="296"/>
      <c r="F311" s="252"/>
    </row>
    <row r="312" spans="1:6">
      <c r="A312" s="252"/>
      <c r="B312" s="252"/>
      <c r="C312" s="296" t="s">
        <v>2036</v>
      </c>
      <c r="D312" s="252"/>
      <c r="E312" s="296"/>
      <c r="F312" s="252"/>
    </row>
    <row r="313" spans="1:6">
      <c r="A313" s="252"/>
      <c r="B313" s="252"/>
      <c r="C313" s="358" t="s">
        <v>1586</v>
      </c>
      <c r="D313" s="252"/>
      <c r="E313" s="296"/>
      <c r="F313" s="252"/>
    </row>
    <row r="314" spans="1:6">
      <c r="A314" s="252">
        <v>0.15</v>
      </c>
      <c r="B314" s="252" t="s">
        <v>869</v>
      </c>
      <c r="C314" s="296" t="s">
        <v>2037</v>
      </c>
      <c r="D314" s="252">
        <f>Data!I1644</f>
        <v>969.85</v>
      </c>
      <c r="E314" s="296" t="s">
        <v>869</v>
      </c>
      <c r="F314" s="252">
        <f>(A314*D314)</f>
        <v>145.47999999999999</v>
      </c>
    </row>
    <row r="315" spans="1:6">
      <c r="A315" s="316">
        <v>8.6499999999999994E-2</v>
      </c>
      <c r="B315" s="252" t="s">
        <v>861</v>
      </c>
      <c r="C315" s="296" t="s">
        <v>862</v>
      </c>
      <c r="D315" s="252">
        <f>Data!I1645</f>
        <v>6040</v>
      </c>
      <c r="E315" s="296" t="s">
        <v>861</v>
      </c>
      <c r="F315" s="252">
        <f>(A315*D315)</f>
        <v>522.46</v>
      </c>
    </row>
    <row r="316" spans="1:6">
      <c r="A316" s="252">
        <v>1.6</v>
      </c>
      <c r="B316" s="252" t="s">
        <v>769</v>
      </c>
      <c r="C316" s="296" t="s">
        <v>2009</v>
      </c>
      <c r="D316" s="252">
        <f>Data!I1646</f>
        <v>999</v>
      </c>
      <c r="E316" s="296" t="s">
        <v>769</v>
      </c>
      <c r="F316" s="252">
        <f>(A316*D316)</f>
        <v>1598.4</v>
      </c>
    </row>
    <row r="317" spans="1:6">
      <c r="A317" s="252">
        <v>0.5</v>
      </c>
      <c r="B317" s="252" t="s">
        <v>769</v>
      </c>
      <c r="C317" s="296" t="s">
        <v>1902</v>
      </c>
      <c r="D317" s="252">
        <f>Data!I1647</f>
        <v>651</v>
      </c>
      <c r="E317" s="296" t="s">
        <v>769</v>
      </c>
      <c r="F317" s="252">
        <f>(A317*D317)</f>
        <v>325.5</v>
      </c>
    </row>
    <row r="318" spans="1:6">
      <c r="A318" s="252">
        <v>1.1000000000000001</v>
      </c>
      <c r="B318" s="252" t="s">
        <v>769</v>
      </c>
      <c r="C318" s="296" t="s">
        <v>320</v>
      </c>
      <c r="D318" s="252">
        <f>Data!I1648</f>
        <v>534</v>
      </c>
      <c r="E318" s="296" t="s">
        <v>769</v>
      </c>
      <c r="F318" s="252">
        <f>(A318*D318)</f>
        <v>587.4</v>
      </c>
    </row>
    <row r="319" spans="1:6">
      <c r="A319" s="252"/>
      <c r="B319" s="252" t="s">
        <v>449</v>
      </c>
      <c r="C319" s="296" t="s">
        <v>450</v>
      </c>
      <c r="D319" s="252" t="str">
        <f>Data!I1649</f>
        <v/>
      </c>
      <c r="E319" s="296" t="s">
        <v>449</v>
      </c>
      <c r="F319" s="252">
        <v>0</v>
      </c>
    </row>
    <row r="320" spans="1:6">
      <c r="A320" s="252"/>
      <c r="B320" s="252"/>
      <c r="C320" s="252"/>
      <c r="D320" s="252"/>
      <c r="E320" s="296"/>
      <c r="F320" s="358" t="s">
        <v>1586</v>
      </c>
    </row>
    <row r="321" spans="1:6">
      <c r="A321" s="252"/>
      <c r="B321" s="252"/>
      <c r="C321" s="296" t="s">
        <v>441</v>
      </c>
      <c r="D321" s="252"/>
      <c r="E321" s="296"/>
      <c r="F321" s="252">
        <f>SUM(F314:F319)</f>
        <v>3179.24</v>
      </c>
    </row>
    <row r="322" spans="1:6">
      <c r="A322" s="252"/>
      <c r="B322" s="252"/>
      <c r="C322" s="252"/>
      <c r="D322" s="252"/>
      <c r="E322" s="296"/>
      <c r="F322" s="358" t="s">
        <v>1586</v>
      </c>
    </row>
    <row r="323" spans="1:6">
      <c r="A323" s="252"/>
      <c r="B323" s="252"/>
      <c r="C323" s="255" t="s">
        <v>552</v>
      </c>
      <c r="D323" s="274"/>
      <c r="E323" s="276"/>
      <c r="F323" s="274">
        <f>(F321/10)</f>
        <v>317.92</v>
      </c>
    </row>
    <row r="324" spans="1:6">
      <c r="A324" s="252"/>
      <c r="B324" s="252"/>
      <c r="C324" s="252"/>
      <c r="D324" s="252"/>
      <c r="E324" s="296"/>
      <c r="F324" s="358" t="s">
        <v>2055</v>
      </c>
    </row>
    <row r="325" spans="1:6">
      <c r="A325" s="375">
        <v>44.1</v>
      </c>
      <c r="B325" s="252" t="s">
        <v>2251</v>
      </c>
      <c r="C325" s="296" t="s">
        <v>1596</v>
      </c>
      <c r="D325" s="252"/>
      <c r="E325" s="296"/>
      <c r="F325" s="252"/>
    </row>
    <row r="326" spans="1:6">
      <c r="A326" s="252"/>
      <c r="B326" s="252"/>
      <c r="C326" s="296" t="s">
        <v>1597</v>
      </c>
      <c r="D326" s="252"/>
      <c r="E326" s="296"/>
      <c r="F326" s="252"/>
    </row>
    <row r="327" spans="1:6">
      <c r="A327" s="252"/>
      <c r="B327" s="252"/>
      <c r="C327" s="296" t="s">
        <v>6143</v>
      </c>
      <c r="D327" s="252"/>
      <c r="E327" s="296"/>
      <c r="F327" s="252"/>
    </row>
    <row r="328" spans="1:6">
      <c r="A328" s="252"/>
      <c r="B328" s="252"/>
      <c r="C328" s="358" t="s">
        <v>1586</v>
      </c>
      <c r="D328" s="252"/>
      <c r="E328" s="296"/>
      <c r="F328" s="252"/>
    </row>
    <row r="329" spans="1:6">
      <c r="A329" s="252">
        <v>3</v>
      </c>
      <c r="B329" s="252" t="s">
        <v>1771</v>
      </c>
      <c r="C329" s="296" t="s">
        <v>2046</v>
      </c>
      <c r="D329" s="252">
        <f>Data!I1626</f>
        <v>120.54</v>
      </c>
      <c r="E329" s="296" t="s">
        <v>1771</v>
      </c>
      <c r="F329" s="252">
        <f t="shared" ref="F329:F334" si="1">(A329*D329)</f>
        <v>361.62</v>
      </c>
    </row>
    <row r="330" spans="1:6">
      <c r="A330" s="252">
        <v>1</v>
      </c>
      <c r="B330" s="252" t="s">
        <v>868</v>
      </c>
      <c r="C330" s="296" t="s">
        <v>2099</v>
      </c>
      <c r="D330" s="252">
        <f>Data!I1627</f>
        <v>76</v>
      </c>
      <c r="E330" s="296" t="s">
        <v>868</v>
      </c>
      <c r="F330" s="252">
        <f t="shared" si="1"/>
        <v>76</v>
      </c>
    </row>
    <row r="331" spans="1:6">
      <c r="A331" s="252">
        <v>1</v>
      </c>
      <c r="B331" s="252" t="s">
        <v>868</v>
      </c>
      <c r="C331" s="296" t="s">
        <v>2100</v>
      </c>
      <c r="D331" s="252">
        <f>Data!I1628</f>
        <v>83.4</v>
      </c>
      <c r="E331" s="296" t="s">
        <v>868</v>
      </c>
      <c r="F331" s="252">
        <f t="shared" si="1"/>
        <v>83.4</v>
      </c>
    </row>
    <row r="332" spans="1:6">
      <c r="A332" s="252">
        <v>2</v>
      </c>
      <c r="B332" s="252" t="s">
        <v>868</v>
      </c>
      <c r="C332" s="296" t="s">
        <v>2101</v>
      </c>
      <c r="D332" s="252">
        <f>Data!I1629</f>
        <v>21.6</v>
      </c>
      <c r="E332" s="296" t="s">
        <v>868</v>
      </c>
      <c r="F332" s="252">
        <f t="shared" si="1"/>
        <v>43.2</v>
      </c>
    </row>
    <row r="333" spans="1:6">
      <c r="A333" s="252">
        <v>1</v>
      </c>
      <c r="B333" s="252" t="s">
        <v>868</v>
      </c>
      <c r="C333" s="296" t="s">
        <v>2102</v>
      </c>
      <c r="D333" s="252">
        <f>Data!I1630</f>
        <v>32.1</v>
      </c>
      <c r="E333" s="296" t="s">
        <v>868</v>
      </c>
      <c r="F333" s="252">
        <f t="shared" si="1"/>
        <v>32.1</v>
      </c>
    </row>
    <row r="334" spans="1:6">
      <c r="A334" s="252">
        <v>0.5</v>
      </c>
      <c r="B334" s="252" t="s">
        <v>868</v>
      </c>
      <c r="C334" s="296" t="s">
        <v>2103</v>
      </c>
      <c r="D334" s="252">
        <f>Data!I1631</f>
        <v>866</v>
      </c>
      <c r="E334" s="296" t="s">
        <v>868</v>
      </c>
      <c r="F334" s="252">
        <f t="shared" si="1"/>
        <v>433</v>
      </c>
    </row>
    <row r="335" spans="1:6">
      <c r="A335" s="252"/>
      <c r="B335" s="252" t="s">
        <v>449</v>
      </c>
      <c r="C335" s="296" t="s">
        <v>605</v>
      </c>
      <c r="D335" s="252"/>
      <c r="E335" s="296" t="s">
        <v>449</v>
      </c>
      <c r="F335" s="252"/>
    </row>
    <row r="336" spans="1:6">
      <c r="A336" s="252"/>
      <c r="B336" s="252"/>
      <c r="C336" s="296" t="s">
        <v>20</v>
      </c>
      <c r="D336" s="252"/>
      <c r="E336" s="296"/>
      <c r="F336" s="252"/>
    </row>
    <row r="337" spans="1:6">
      <c r="A337" s="252"/>
      <c r="B337" s="252"/>
      <c r="C337" s="252"/>
      <c r="D337" s="252"/>
      <c r="E337" s="296"/>
      <c r="F337" s="358" t="s">
        <v>1586</v>
      </c>
    </row>
    <row r="338" spans="1:6">
      <c r="A338" s="252"/>
      <c r="B338" s="252"/>
      <c r="C338" s="296" t="s">
        <v>1317</v>
      </c>
      <c r="D338" s="252"/>
      <c r="E338" s="296"/>
      <c r="F338" s="252">
        <f>SUM(F329:F335)</f>
        <v>1029.32</v>
      </c>
    </row>
    <row r="339" spans="1:6">
      <c r="A339" s="296" t="s">
        <v>975</v>
      </c>
      <c r="B339" s="252"/>
      <c r="C339" s="252"/>
      <c r="D339" s="252"/>
      <c r="E339" s="296"/>
      <c r="F339" s="252"/>
    </row>
    <row r="340" spans="1:6">
      <c r="A340" s="252"/>
      <c r="B340" s="252"/>
      <c r="C340" s="252"/>
      <c r="D340" s="252"/>
      <c r="E340" s="296"/>
      <c r="F340" s="358" t="s">
        <v>1586</v>
      </c>
    </row>
    <row r="341" spans="1:6">
      <c r="A341" s="252"/>
      <c r="B341" s="252"/>
      <c r="C341" s="255" t="s">
        <v>1545</v>
      </c>
      <c r="D341" s="274"/>
      <c r="E341" s="276"/>
      <c r="F341" s="274">
        <f>(F338/3)</f>
        <v>343.11</v>
      </c>
    </row>
    <row r="342" spans="1:6">
      <c r="A342" s="252"/>
      <c r="B342" s="252"/>
      <c r="C342" s="296"/>
      <c r="D342" s="252"/>
      <c r="E342" s="296"/>
      <c r="F342" s="358" t="s">
        <v>2055</v>
      </c>
    </row>
    <row r="343" spans="1:6">
      <c r="A343" s="253" t="s">
        <v>714</v>
      </c>
      <c r="B343" s="252" t="s">
        <v>2251</v>
      </c>
      <c r="C343" s="296" t="s">
        <v>808</v>
      </c>
      <c r="D343" s="252"/>
      <c r="E343" s="296"/>
      <c r="F343" s="252"/>
    </row>
    <row r="344" spans="1:6">
      <c r="A344" s="252"/>
      <c r="B344" s="252"/>
      <c r="C344" s="296" t="s">
        <v>160</v>
      </c>
      <c r="D344" s="252"/>
      <c r="E344" s="296"/>
      <c r="F344" s="252"/>
    </row>
    <row r="345" spans="1:6">
      <c r="A345" s="252"/>
      <c r="B345" s="252"/>
      <c r="C345" s="358" t="s">
        <v>1586</v>
      </c>
      <c r="D345" s="252"/>
      <c r="E345" s="296"/>
      <c r="F345" s="252"/>
    </row>
    <row r="346" spans="1:6">
      <c r="A346" s="252"/>
      <c r="B346" s="252" t="s">
        <v>689</v>
      </c>
      <c r="C346" s="296" t="s">
        <v>40</v>
      </c>
      <c r="D346" s="252"/>
      <c r="E346" s="296"/>
      <c r="F346" s="252"/>
    </row>
    <row r="347" spans="1:6">
      <c r="A347" s="252"/>
      <c r="B347" s="252"/>
      <c r="C347" s="296" t="s">
        <v>6153</v>
      </c>
      <c r="D347" s="252"/>
      <c r="E347" s="296"/>
      <c r="F347" s="252"/>
    </row>
    <row r="348" spans="1:6">
      <c r="A348" s="252"/>
      <c r="B348" s="252"/>
      <c r="C348" s="296" t="s">
        <v>946</v>
      </c>
      <c r="D348" s="252"/>
      <c r="E348" s="296"/>
      <c r="F348" s="252"/>
    </row>
    <row r="349" spans="1:6">
      <c r="A349" s="252"/>
      <c r="B349" s="252"/>
      <c r="C349" s="296" t="s">
        <v>947</v>
      </c>
      <c r="D349" s="252"/>
      <c r="E349" s="296"/>
      <c r="F349" s="252"/>
    </row>
    <row r="350" spans="1:6">
      <c r="A350" s="252"/>
      <c r="B350" s="252"/>
      <c r="C350" s="296" t="s">
        <v>2104</v>
      </c>
      <c r="D350" s="252"/>
      <c r="E350" s="296"/>
      <c r="F350" s="252"/>
    </row>
    <row r="351" spans="1:6">
      <c r="A351" s="252"/>
      <c r="B351" s="252"/>
      <c r="C351" s="296" t="s">
        <v>2105</v>
      </c>
      <c r="D351" s="252"/>
      <c r="E351" s="296"/>
      <c r="F351" s="252"/>
    </row>
    <row r="352" spans="1:6">
      <c r="A352" s="252"/>
      <c r="B352" s="252"/>
      <c r="C352" s="296" t="s">
        <v>199</v>
      </c>
      <c r="D352" s="252"/>
      <c r="E352" s="296"/>
      <c r="F352" s="252"/>
    </row>
    <row r="353" spans="1:6">
      <c r="A353" s="252"/>
      <c r="B353" s="252"/>
      <c r="C353" s="358" t="s">
        <v>1586</v>
      </c>
      <c r="D353" s="252"/>
      <c r="E353" s="296"/>
      <c r="F353" s="252"/>
    </row>
    <row r="354" spans="1:6">
      <c r="A354" s="252">
        <v>3</v>
      </c>
      <c r="B354" s="252" t="s">
        <v>1771</v>
      </c>
      <c r="C354" s="296" t="s">
        <v>2106</v>
      </c>
      <c r="D354" s="252">
        <f>Data!I2049</f>
        <v>193.05</v>
      </c>
      <c r="E354" s="296" t="s">
        <v>1771</v>
      </c>
      <c r="F354" s="252">
        <f t="shared" ref="F354:F360" si="2">(A354*D354)</f>
        <v>579.15</v>
      </c>
    </row>
    <row r="355" spans="1:6">
      <c r="A355" s="252">
        <v>1</v>
      </c>
      <c r="B355" s="252" t="s">
        <v>769</v>
      </c>
      <c r="C355" s="296" t="s">
        <v>670</v>
      </c>
      <c r="D355" s="252">
        <f>Data!I2050</f>
        <v>76</v>
      </c>
      <c r="E355" s="296" t="s">
        <v>1716</v>
      </c>
      <c r="F355" s="252">
        <f t="shared" si="2"/>
        <v>76</v>
      </c>
    </row>
    <row r="356" spans="1:6">
      <c r="A356" s="252">
        <v>1</v>
      </c>
      <c r="B356" s="252" t="s">
        <v>769</v>
      </c>
      <c r="C356" s="296" t="s">
        <v>671</v>
      </c>
      <c r="D356" s="252">
        <f>Data!I2051</f>
        <v>82.3</v>
      </c>
      <c r="E356" s="296" t="s">
        <v>1716</v>
      </c>
      <c r="F356" s="252">
        <f t="shared" si="2"/>
        <v>82.3</v>
      </c>
    </row>
    <row r="357" spans="1:6">
      <c r="A357" s="252">
        <v>1</v>
      </c>
      <c r="B357" s="252" t="s">
        <v>769</v>
      </c>
      <c r="C357" s="296" t="s">
        <v>4130</v>
      </c>
      <c r="D357" s="252">
        <f>Data!I2052</f>
        <v>187.8</v>
      </c>
      <c r="E357" s="296" t="s">
        <v>1716</v>
      </c>
      <c r="F357" s="252">
        <f t="shared" si="2"/>
        <v>187.8</v>
      </c>
    </row>
    <row r="358" spans="1:6">
      <c r="A358" s="252">
        <v>0.5</v>
      </c>
      <c r="B358" s="252" t="s">
        <v>868</v>
      </c>
      <c r="C358" s="296" t="s">
        <v>2103</v>
      </c>
      <c r="D358" s="252">
        <f>Data!I2053</f>
        <v>866</v>
      </c>
      <c r="E358" s="296" t="s">
        <v>1716</v>
      </c>
      <c r="F358" s="252">
        <f t="shared" si="2"/>
        <v>433</v>
      </c>
    </row>
    <row r="359" spans="1:6">
      <c r="A359" s="252">
        <v>0.5</v>
      </c>
      <c r="B359" s="252" t="s">
        <v>868</v>
      </c>
      <c r="C359" s="296" t="s">
        <v>1712</v>
      </c>
      <c r="D359" s="252">
        <f>Data!I2054</f>
        <v>932</v>
      </c>
      <c r="E359" s="296" t="s">
        <v>1716</v>
      </c>
      <c r="F359" s="252">
        <f t="shared" si="2"/>
        <v>466</v>
      </c>
    </row>
    <row r="360" spans="1:6">
      <c r="A360" s="252">
        <v>0.5</v>
      </c>
      <c r="B360" s="252" t="s">
        <v>868</v>
      </c>
      <c r="C360" s="296" t="s">
        <v>1902</v>
      </c>
      <c r="D360" s="252">
        <f>Data!I2055</f>
        <v>651</v>
      </c>
      <c r="E360" s="296" t="s">
        <v>1716</v>
      </c>
      <c r="F360" s="252">
        <f t="shared" si="2"/>
        <v>325.5</v>
      </c>
    </row>
    <row r="361" spans="1:6">
      <c r="A361" s="252"/>
      <c r="B361" s="252" t="s">
        <v>449</v>
      </c>
      <c r="C361" s="296" t="s">
        <v>1523</v>
      </c>
      <c r="D361" s="252">
        <f>Data!I2056</f>
        <v>2.79</v>
      </c>
      <c r="E361" s="296" t="s">
        <v>449</v>
      </c>
      <c r="F361" s="252">
        <v>2.79</v>
      </c>
    </row>
    <row r="362" spans="1:6">
      <c r="A362" s="252"/>
      <c r="B362" s="252"/>
      <c r="C362" s="296" t="s">
        <v>83</v>
      </c>
      <c r="D362" s="252"/>
      <c r="E362" s="296"/>
      <c r="F362" s="252"/>
    </row>
    <row r="363" spans="1:6">
      <c r="A363" s="252"/>
      <c r="B363" s="252"/>
      <c r="C363" s="296" t="s">
        <v>190</v>
      </c>
      <c r="D363" s="252"/>
      <c r="E363" s="296"/>
      <c r="F363" s="252"/>
    </row>
    <row r="364" spans="1:6">
      <c r="A364" s="252"/>
      <c r="B364" s="252"/>
      <c r="C364" s="296" t="s">
        <v>734</v>
      </c>
      <c r="D364" s="252"/>
      <c r="E364" s="296" t="s">
        <v>449</v>
      </c>
      <c r="F364" s="252">
        <v>0.12</v>
      </c>
    </row>
    <row r="365" spans="1:6">
      <c r="A365" s="252"/>
      <c r="B365" s="252"/>
      <c r="C365" s="252"/>
      <c r="D365" s="252"/>
      <c r="E365" s="296"/>
      <c r="F365" s="358" t="s">
        <v>1586</v>
      </c>
    </row>
    <row r="366" spans="1:6">
      <c r="A366" s="252"/>
      <c r="B366" s="252"/>
      <c r="C366" s="296" t="s">
        <v>1317</v>
      </c>
      <c r="D366" s="252"/>
      <c r="E366" s="296"/>
      <c r="F366" s="252">
        <f>SUM(F354:F364)</f>
        <v>2152.66</v>
      </c>
    </row>
    <row r="367" spans="1:6">
      <c r="A367" s="252"/>
      <c r="B367" s="252"/>
      <c r="C367" s="252"/>
      <c r="D367" s="252"/>
      <c r="E367" s="296"/>
      <c r="F367" s="358" t="s">
        <v>1586</v>
      </c>
    </row>
    <row r="368" spans="1:6">
      <c r="A368" s="252"/>
      <c r="B368" s="252"/>
      <c r="C368" s="296" t="s">
        <v>1545</v>
      </c>
      <c r="D368" s="252"/>
      <c r="E368" s="296"/>
      <c r="F368" s="274">
        <f>(F366/3)</f>
        <v>717.55</v>
      </c>
    </row>
    <row r="369" spans="1:6">
      <c r="A369" s="252"/>
      <c r="B369" s="252"/>
      <c r="C369" s="252"/>
      <c r="D369" s="252"/>
      <c r="E369" s="296"/>
      <c r="F369" s="358" t="s">
        <v>1586</v>
      </c>
    </row>
    <row r="370" spans="1:6">
      <c r="A370" s="253" t="s">
        <v>735</v>
      </c>
      <c r="B370" s="252" t="s">
        <v>284</v>
      </c>
      <c r="C370" s="296" t="s">
        <v>736</v>
      </c>
      <c r="D370" s="252"/>
      <c r="E370" s="296"/>
      <c r="F370" s="252"/>
    </row>
    <row r="371" spans="1:6">
      <c r="A371" s="252"/>
      <c r="B371" s="252"/>
      <c r="C371" s="296" t="s">
        <v>6154</v>
      </c>
      <c r="D371" s="252"/>
      <c r="E371" s="296"/>
      <c r="F371" s="252"/>
    </row>
    <row r="372" spans="1:6">
      <c r="A372" s="252"/>
      <c r="B372" s="252"/>
      <c r="C372" s="296" t="s">
        <v>946</v>
      </c>
      <c r="D372" s="252"/>
      <c r="E372" s="296"/>
      <c r="F372" s="252"/>
    </row>
    <row r="373" spans="1:6">
      <c r="A373" s="252"/>
      <c r="B373" s="252"/>
      <c r="C373" s="296" t="s">
        <v>737</v>
      </c>
      <c r="D373" s="252"/>
      <c r="E373" s="296"/>
      <c r="F373" s="252"/>
    </row>
    <row r="374" spans="1:6">
      <c r="A374" s="252"/>
      <c r="B374" s="252"/>
      <c r="C374" s="296" t="s">
        <v>541</v>
      </c>
      <c r="D374" s="252"/>
      <c r="E374" s="296"/>
      <c r="F374" s="252"/>
    </row>
    <row r="375" spans="1:6">
      <c r="A375" s="252"/>
      <c r="B375" s="252"/>
      <c r="C375" s="296" t="s">
        <v>2105</v>
      </c>
      <c r="D375" s="252"/>
      <c r="E375" s="296"/>
      <c r="F375" s="252"/>
    </row>
    <row r="376" spans="1:6">
      <c r="A376" s="252"/>
      <c r="B376" s="252"/>
      <c r="C376" s="296" t="s">
        <v>199</v>
      </c>
      <c r="D376" s="252"/>
      <c r="E376" s="296"/>
      <c r="F376" s="252"/>
    </row>
    <row r="377" spans="1:6">
      <c r="A377" s="252"/>
      <c r="B377" s="252"/>
      <c r="C377" s="358" t="s">
        <v>1586</v>
      </c>
      <c r="D377" s="252"/>
      <c r="E377" s="296"/>
      <c r="F377" s="252"/>
    </row>
    <row r="378" spans="1:6">
      <c r="A378" s="252">
        <v>3</v>
      </c>
      <c r="B378" s="252" t="s">
        <v>1771</v>
      </c>
      <c r="C378" s="296" t="s">
        <v>1003</v>
      </c>
      <c r="D378" s="252">
        <f>Data!I2073</f>
        <v>115.85</v>
      </c>
      <c r="E378" s="296" t="s">
        <v>1771</v>
      </c>
      <c r="F378" s="252">
        <f t="shared" ref="F378:F384" si="3">(A378*D378)</f>
        <v>347.55</v>
      </c>
    </row>
    <row r="379" spans="1:6">
      <c r="A379" s="252">
        <v>1</v>
      </c>
      <c r="B379" s="252" t="s">
        <v>769</v>
      </c>
      <c r="C379" s="296" t="s">
        <v>1004</v>
      </c>
      <c r="D379" s="252">
        <f>Data!I2074</f>
        <v>45</v>
      </c>
      <c r="E379" s="296" t="s">
        <v>1716</v>
      </c>
      <c r="F379" s="252">
        <f t="shared" si="3"/>
        <v>45</v>
      </c>
    </row>
    <row r="380" spans="1:6">
      <c r="A380" s="252">
        <v>1</v>
      </c>
      <c r="B380" s="252" t="s">
        <v>769</v>
      </c>
      <c r="C380" s="296" t="s">
        <v>1005</v>
      </c>
      <c r="D380" s="252">
        <f>Data!I2075</f>
        <v>55.5</v>
      </c>
      <c r="E380" s="296" t="s">
        <v>1716</v>
      </c>
      <c r="F380" s="252">
        <f t="shared" si="3"/>
        <v>55.5</v>
      </c>
    </row>
    <row r="381" spans="1:6">
      <c r="A381" s="252">
        <v>1</v>
      </c>
      <c r="B381" s="252" t="s">
        <v>769</v>
      </c>
      <c r="C381" s="296" t="s">
        <v>84</v>
      </c>
      <c r="D381" s="252">
        <f>Data!I2076</f>
        <v>125.2</v>
      </c>
      <c r="E381" s="296" t="s">
        <v>1716</v>
      </c>
      <c r="F381" s="252">
        <f t="shared" si="3"/>
        <v>125.2</v>
      </c>
    </row>
    <row r="382" spans="1:6">
      <c r="A382" s="252">
        <v>0.5</v>
      </c>
      <c r="B382" s="252" t="s">
        <v>868</v>
      </c>
      <c r="C382" s="296" t="s">
        <v>2103</v>
      </c>
      <c r="D382" s="252">
        <f>Data!I2077</f>
        <v>866</v>
      </c>
      <c r="E382" s="296" t="s">
        <v>1716</v>
      </c>
      <c r="F382" s="252">
        <f t="shared" si="3"/>
        <v>433</v>
      </c>
    </row>
    <row r="383" spans="1:6">
      <c r="A383" s="252">
        <v>0.5</v>
      </c>
      <c r="B383" s="252" t="s">
        <v>868</v>
      </c>
      <c r="C383" s="296" t="s">
        <v>1712</v>
      </c>
      <c r="D383" s="252">
        <f>Data!I2078</f>
        <v>932</v>
      </c>
      <c r="E383" s="296" t="s">
        <v>1716</v>
      </c>
      <c r="F383" s="252">
        <f t="shared" si="3"/>
        <v>466</v>
      </c>
    </row>
    <row r="384" spans="1:6">
      <c r="A384" s="252">
        <v>0.5</v>
      </c>
      <c r="B384" s="252" t="s">
        <v>868</v>
      </c>
      <c r="C384" s="296" t="s">
        <v>1902</v>
      </c>
      <c r="D384" s="252">
        <f>Data!I2079</f>
        <v>651</v>
      </c>
      <c r="E384" s="296" t="s">
        <v>1716</v>
      </c>
      <c r="F384" s="252">
        <f t="shared" si="3"/>
        <v>325.5</v>
      </c>
    </row>
    <row r="385" spans="1:6">
      <c r="A385" s="252"/>
      <c r="B385" s="252" t="s">
        <v>449</v>
      </c>
      <c r="C385" s="296" t="s">
        <v>1523</v>
      </c>
      <c r="D385" s="296" t="s">
        <v>975</v>
      </c>
      <c r="E385" s="296" t="s">
        <v>449</v>
      </c>
      <c r="F385" s="252">
        <v>2.73</v>
      </c>
    </row>
    <row r="386" spans="1:6">
      <c r="A386" s="252"/>
      <c r="B386" s="252"/>
      <c r="C386" s="296" t="s">
        <v>83</v>
      </c>
      <c r="D386" s="252"/>
      <c r="E386" s="296"/>
      <c r="F386" s="252"/>
    </row>
    <row r="387" spans="1:6">
      <c r="A387" s="252"/>
      <c r="B387" s="252"/>
      <c r="C387" s="296" t="s">
        <v>190</v>
      </c>
      <c r="D387" s="252"/>
      <c r="E387" s="296"/>
      <c r="F387" s="252"/>
    </row>
    <row r="388" spans="1:6">
      <c r="A388" s="252"/>
      <c r="B388" s="252"/>
      <c r="C388" s="296" t="s">
        <v>734</v>
      </c>
      <c r="D388" s="252"/>
      <c r="E388" s="296" t="s">
        <v>449</v>
      </c>
      <c r="F388" s="252">
        <v>0.27</v>
      </c>
    </row>
    <row r="389" spans="1:6">
      <c r="A389" s="252"/>
      <c r="B389" s="252"/>
      <c r="C389" s="252"/>
      <c r="D389" s="252"/>
      <c r="E389" s="296"/>
      <c r="F389" s="358" t="s">
        <v>1586</v>
      </c>
    </row>
    <row r="390" spans="1:6">
      <c r="A390" s="252"/>
      <c r="B390" s="252"/>
      <c r="C390" s="296" t="s">
        <v>1317</v>
      </c>
      <c r="D390" s="252"/>
      <c r="E390" s="296"/>
      <c r="F390" s="252">
        <f>SUM(F378:F388)</f>
        <v>1800.75</v>
      </c>
    </row>
    <row r="391" spans="1:6">
      <c r="A391" s="252"/>
      <c r="B391" s="252"/>
      <c r="C391" s="252"/>
      <c r="D391" s="252"/>
      <c r="E391" s="296"/>
      <c r="F391" s="358" t="s">
        <v>1586</v>
      </c>
    </row>
    <row r="392" spans="1:6">
      <c r="A392" s="252"/>
      <c r="B392" s="252"/>
      <c r="C392" s="296" t="s">
        <v>1545</v>
      </c>
      <c r="D392" s="252"/>
      <c r="E392" s="296"/>
      <c r="F392" s="274">
        <f>(F390/3)</f>
        <v>600.25</v>
      </c>
    </row>
    <row r="393" spans="1:6">
      <c r="A393" s="252"/>
      <c r="B393" s="252"/>
      <c r="C393" s="252"/>
      <c r="D393" s="252"/>
      <c r="E393" s="296"/>
      <c r="F393" s="358" t="s">
        <v>1586</v>
      </c>
    </row>
    <row r="394" spans="1:6">
      <c r="A394" s="369">
        <v>52</v>
      </c>
      <c r="B394" s="252" t="s">
        <v>2251</v>
      </c>
      <c r="C394" s="296" t="s">
        <v>99</v>
      </c>
      <c r="D394" s="252"/>
      <c r="E394" s="296"/>
      <c r="F394" s="252"/>
    </row>
    <row r="395" spans="1:6">
      <c r="A395" s="252"/>
      <c r="B395" s="252"/>
      <c r="C395" s="296" t="s">
        <v>2169</v>
      </c>
      <c r="D395" s="252"/>
      <c r="E395" s="296"/>
      <c r="F395" s="252"/>
    </row>
    <row r="396" spans="1:6">
      <c r="A396" s="252"/>
      <c r="B396" s="252"/>
      <c r="C396" s="296" t="s">
        <v>2170</v>
      </c>
      <c r="D396" s="252"/>
      <c r="E396" s="296"/>
      <c r="F396" s="252"/>
    </row>
    <row r="397" spans="1:6">
      <c r="A397" s="252"/>
      <c r="B397" s="252"/>
      <c r="C397" s="296" t="s">
        <v>1406</v>
      </c>
      <c r="D397" s="252"/>
      <c r="E397" s="296"/>
      <c r="F397" s="252"/>
    </row>
    <row r="398" spans="1:6">
      <c r="A398" s="252"/>
      <c r="B398" s="252"/>
      <c r="C398" s="296" t="s">
        <v>1407</v>
      </c>
      <c r="D398" s="252"/>
      <c r="E398" s="296"/>
      <c r="F398" s="252"/>
    </row>
    <row r="399" spans="1:6">
      <c r="A399" s="252"/>
      <c r="B399" s="252"/>
      <c r="C399" s="296" t="s">
        <v>1351</v>
      </c>
      <c r="D399" s="252"/>
      <c r="E399" s="296"/>
      <c r="F399" s="252"/>
    </row>
    <row r="400" spans="1:6">
      <c r="A400" s="252"/>
      <c r="B400" s="252"/>
      <c r="C400" s="296" t="s">
        <v>1352</v>
      </c>
      <c r="D400" s="252"/>
      <c r="E400" s="296"/>
      <c r="F400" s="252"/>
    </row>
    <row r="401" spans="1:6">
      <c r="A401" s="252"/>
      <c r="B401" s="252"/>
      <c r="C401" s="296" t="s">
        <v>710</v>
      </c>
      <c r="D401" s="252"/>
      <c r="E401" s="296"/>
      <c r="F401" s="252"/>
    </row>
    <row r="402" spans="1:6">
      <c r="A402" s="252"/>
      <c r="B402" s="252"/>
      <c r="C402" s="358" t="s">
        <v>2055</v>
      </c>
      <c r="D402" s="358" t="s">
        <v>2055</v>
      </c>
      <c r="E402" s="296"/>
      <c r="F402" s="358"/>
    </row>
    <row r="403" spans="1:6">
      <c r="A403" s="252"/>
      <c r="B403" s="252" t="s">
        <v>2251</v>
      </c>
      <c r="C403" s="296" t="s">
        <v>918</v>
      </c>
      <c r="D403" s="252"/>
      <c r="E403" s="296"/>
      <c r="F403" s="252"/>
    </row>
    <row r="404" spans="1:6">
      <c r="A404" s="252"/>
      <c r="B404" s="252"/>
      <c r="C404" s="296" t="s">
        <v>806</v>
      </c>
      <c r="D404" s="252"/>
      <c r="E404" s="296"/>
      <c r="F404" s="358"/>
    </row>
    <row r="405" spans="1:6">
      <c r="A405" s="252"/>
      <c r="B405" s="252" t="s">
        <v>520</v>
      </c>
      <c r="C405" s="296" t="s">
        <v>742</v>
      </c>
      <c r="D405" s="252"/>
      <c r="E405" s="296"/>
      <c r="F405" s="252"/>
    </row>
    <row r="406" spans="1:6">
      <c r="A406" s="252"/>
      <c r="B406" s="252"/>
      <c r="C406" s="358" t="s">
        <v>1586</v>
      </c>
      <c r="D406" s="252"/>
      <c r="E406" s="296"/>
      <c r="F406" s="252"/>
    </row>
    <row r="407" spans="1:6">
      <c r="A407" s="252">
        <v>1</v>
      </c>
      <c r="B407" s="252" t="s">
        <v>826</v>
      </c>
      <c r="C407" s="296" t="s">
        <v>743</v>
      </c>
      <c r="D407" s="252">
        <f>Data!I1878</f>
        <v>35</v>
      </c>
      <c r="E407" s="296" t="s">
        <v>826</v>
      </c>
      <c r="F407" s="252">
        <f>(A407*D407)</f>
        <v>35</v>
      </c>
    </row>
    <row r="408" spans="1:6">
      <c r="A408" s="252">
        <v>1</v>
      </c>
      <c r="B408" s="252" t="s">
        <v>449</v>
      </c>
      <c r="C408" s="296" t="s">
        <v>893</v>
      </c>
      <c r="D408" s="252">
        <f>Data!I1879</f>
        <v>14</v>
      </c>
      <c r="E408" s="296" t="s">
        <v>449</v>
      </c>
      <c r="F408" s="252">
        <f>(A408*D408)</f>
        <v>14</v>
      </c>
    </row>
    <row r="409" spans="1:6">
      <c r="A409" s="252">
        <v>1</v>
      </c>
      <c r="B409" s="252" t="s">
        <v>826</v>
      </c>
      <c r="C409" s="296" t="s">
        <v>161</v>
      </c>
      <c r="D409" s="252">
        <f>Data!I1880</f>
        <v>185.4</v>
      </c>
      <c r="E409" s="296" t="s">
        <v>826</v>
      </c>
      <c r="F409" s="252">
        <f>(A409*D409)</f>
        <v>185.4</v>
      </c>
    </row>
    <row r="410" spans="1:6">
      <c r="A410" s="252"/>
      <c r="B410" s="252"/>
      <c r="C410" s="252"/>
      <c r="D410" s="252" t="str">
        <f>Data!I1881</f>
        <v/>
      </c>
      <c r="E410" s="296"/>
      <c r="F410" s="358" t="s">
        <v>1586</v>
      </c>
    </row>
    <row r="411" spans="1:6">
      <c r="A411" s="252"/>
      <c r="B411" s="252"/>
      <c r="C411" s="296" t="s">
        <v>377</v>
      </c>
      <c r="D411" s="252"/>
      <c r="E411" s="296"/>
      <c r="F411" s="274">
        <f>SUM(F407:F409)</f>
        <v>234.4</v>
      </c>
    </row>
    <row r="412" spans="1:6">
      <c r="A412" s="252"/>
      <c r="B412" s="252"/>
      <c r="C412" s="252"/>
      <c r="D412" s="296" t="s">
        <v>975</v>
      </c>
      <c r="E412" s="296"/>
      <c r="F412" s="358" t="s">
        <v>2055</v>
      </c>
    </row>
    <row r="413" spans="1:6">
      <c r="A413" s="252"/>
      <c r="B413" s="252" t="s">
        <v>1907</v>
      </c>
      <c r="C413" s="296" t="s">
        <v>375</v>
      </c>
      <c r="D413" s="252"/>
      <c r="E413" s="296"/>
      <c r="F413" s="252"/>
    </row>
    <row r="414" spans="1:6">
      <c r="A414" s="252"/>
      <c r="B414" s="252"/>
      <c r="C414" s="358" t="s">
        <v>1586</v>
      </c>
      <c r="D414" s="252"/>
      <c r="E414" s="296"/>
      <c r="F414" s="252"/>
    </row>
    <row r="415" spans="1:6">
      <c r="A415" s="252">
        <v>1</v>
      </c>
      <c r="B415" s="252" t="s">
        <v>826</v>
      </c>
      <c r="C415" s="296" t="s">
        <v>1671</v>
      </c>
      <c r="D415" s="252">
        <f>Data!I1886</f>
        <v>52</v>
      </c>
      <c r="E415" s="296" t="s">
        <v>826</v>
      </c>
      <c r="F415" s="252">
        <f>(A415*D415)</f>
        <v>52</v>
      </c>
    </row>
    <row r="416" spans="1:6">
      <c r="A416" s="252">
        <v>1</v>
      </c>
      <c r="B416" s="252" t="s">
        <v>449</v>
      </c>
      <c r="C416" s="296" t="s">
        <v>1672</v>
      </c>
      <c r="D416" s="252">
        <f>Data!I1887</f>
        <v>10.4</v>
      </c>
      <c r="E416" s="296" t="s">
        <v>449</v>
      </c>
      <c r="F416" s="252">
        <f>(A416*D416)</f>
        <v>10.4</v>
      </c>
    </row>
    <row r="417" spans="1:6">
      <c r="A417" s="252">
        <v>1</v>
      </c>
      <c r="B417" s="252" t="s">
        <v>826</v>
      </c>
      <c r="C417" s="296" t="s">
        <v>161</v>
      </c>
      <c r="D417" s="252">
        <f>Data!I1888</f>
        <v>189.61</v>
      </c>
      <c r="E417" s="296" t="s">
        <v>826</v>
      </c>
      <c r="F417" s="252">
        <f>(A417*D417)</f>
        <v>189.61</v>
      </c>
    </row>
    <row r="418" spans="1:6">
      <c r="A418" s="252"/>
      <c r="B418" s="252"/>
      <c r="C418" s="252"/>
      <c r="D418" s="252" t="str">
        <f>Data!I1889</f>
        <v/>
      </c>
      <c r="E418" s="296"/>
      <c r="F418" s="358" t="s">
        <v>1586</v>
      </c>
    </row>
    <row r="419" spans="1:6">
      <c r="A419" s="252"/>
      <c r="B419" s="252"/>
      <c r="C419" s="296" t="s">
        <v>377</v>
      </c>
      <c r="D419" s="252"/>
      <c r="E419" s="296"/>
      <c r="F419" s="274">
        <f>SUM(F415:F417)</f>
        <v>252.01</v>
      </c>
    </row>
    <row r="420" spans="1:6">
      <c r="A420" s="252"/>
      <c r="B420" s="252"/>
      <c r="C420" s="252"/>
      <c r="D420" s="296" t="s">
        <v>975</v>
      </c>
      <c r="E420" s="296"/>
      <c r="F420" s="358" t="s">
        <v>2055</v>
      </c>
    </row>
    <row r="421" spans="1:6">
      <c r="A421" s="253" t="s">
        <v>1442</v>
      </c>
      <c r="B421" s="252" t="s">
        <v>2251</v>
      </c>
      <c r="C421" s="296" t="s">
        <v>6124</v>
      </c>
      <c r="D421" s="252"/>
      <c r="E421" s="296"/>
      <c r="F421" s="252"/>
    </row>
    <row r="422" spans="1:6">
      <c r="A422" s="252"/>
      <c r="B422" s="252"/>
      <c r="C422" s="296" t="s">
        <v>1443</v>
      </c>
      <c r="D422" s="252"/>
      <c r="E422" s="296"/>
      <c r="F422" s="252"/>
    </row>
    <row r="423" spans="1:6">
      <c r="A423" s="252"/>
      <c r="B423" s="252"/>
      <c r="C423" s="358" t="s">
        <v>1586</v>
      </c>
      <c r="D423" s="358" t="s">
        <v>1586</v>
      </c>
      <c r="E423" s="296"/>
      <c r="F423" s="252"/>
    </row>
    <row r="424" spans="1:6">
      <c r="A424" s="316">
        <v>0.53339999999999999</v>
      </c>
      <c r="B424" s="252" t="s">
        <v>2283</v>
      </c>
      <c r="C424" s="296" t="s">
        <v>6475</v>
      </c>
      <c r="D424" s="252">
        <f>Data!I1176</f>
        <v>306.89999999999998</v>
      </c>
      <c r="E424" s="296" t="s">
        <v>2283</v>
      </c>
      <c r="F424" s="252">
        <f>(A424*D424)</f>
        <v>163.69999999999999</v>
      </c>
    </row>
    <row r="425" spans="1:6">
      <c r="A425" s="252">
        <v>4.24</v>
      </c>
      <c r="B425" s="252" t="s">
        <v>826</v>
      </c>
      <c r="C425" s="296" t="s">
        <v>4226</v>
      </c>
      <c r="D425" s="252">
        <f>Data!I1177</f>
        <v>35.61</v>
      </c>
      <c r="E425" s="296" t="s">
        <v>826</v>
      </c>
      <c r="F425" s="252">
        <f>(A425*D425)</f>
        <v>150.99</v>
      </c>
    </row>
    <row r="426" spans="1:6">
      <c r="A426" s="252">
        <v>16</v>
      </c>
      <c r="B426" s="252" t="s">
        <v>560</v>
      </c>
      <c r="C426" s="296" t="s">
        <v>4227</v>
      </c>
      <c r="D426" s="252">
        <f>Data!I1178</f>
        <v>1</v>
      </c>
      <c r="E426" s="296" t="s">
        <v>1398</v>
      </c>
      <c r="F426" s="252">
        <f>(A426*D426)</f>
        <v>16</v>
      </c>
    </row>
    <row r="427" spans="1:6">
      <c r="A427" s="316">
        <v>0.53339999999999999</v>
      </c>
      <c r="B427" s="252" t="s">
        <v>2283</v>
      </c>
      <c r="C427" s="296" t="s">
        <v>707</v>
      </c>
      <c r="D427" s="252">
        <f>Data!I1179</f>
        <v>215.74</v>
      </c>
      <c r="E427" s="296" t="s">
        <v>2283</v>
      </c>
      <c r="F427" s="252">
        <f>(A427*D427)</f>
        <v>115.08</v>
      </c>
    </row>
    <row r="428" spans="1:6">
      <c r="A428" s="252"/>
      <c r="B428" s="252" t="s">
        <v>449</v>
      </c>
      <c r="C428" s="296" t="s">
        <v>2271</v>
      </c>
      <c r="D428" s="252"/>
      <c r="E428" s="296" t="s">
        <v>449</v>
      </c>
      <c r="F428" s="252"/>
    </row>
    <row r="429" spans="1:6">
      <c r="A429" s="252"/>
      <c r="B429" s="252"/>
      <c r="C429" s="296" t="s">
        <v>2272</v>
      </c>
      <c r="D429" s="252"/>
      <c r="E429" s="296"/>
      <c r="F429" s="252"/>
    </row>
    <row r="430" spans="1:6">
      <c r="A430" s="252"/>
      <c r="B430" s="252"/>
      <c r="C430" s="252"/>
      <c r="D430" s="252"/>
      <c r="E430" s="296"/>
      <c r="F430" s="358" t="s">
        <v>1586</v>
      </c>
    </row>
    <row r="431" spans="1:6">
      <c r="A431" s="252"/>
      <c r="B431" s="252"/>
      <c r="C431" s="253" t="s">
        <v>1694</v>
      </c>
      <c r="D431" s="252"/>
      <c r="E431" s="296"/>
      <c r="F431" s="252">
        <f>SUM(F424:F428)</f>
        <v>445.77</v>
      </c>
    </row>
    <row r="432" spans="1:6">
      <c r="A432" s="252"/>
      <c r="B432" s="252"/>
      <c r="C432" s="252"/>
      <c r="D432" s="252"/>
      <c r="E432" s="296"/>
      <c r="F432" s="358" t="s">
        <v>1586</v>
      </c>
    </row>
    <row r="433" spans="1:6">
      <c r="A433" s="252"/>
      <c r="B433" s="252"/>
      <c r="C433" s="253" t="s">
        <v>1695</v>
      </c>
      <c r="D433" s="252"/>
      <c r="E433" s="296"/>
      <c r="F433" s="274">
        <f>ROUND(F431/0.5334,1)</f>
        <v>835.7</v>
      </c>
    </row>
    <row r="434" spans="1:6">
      <c r="A434" s="296" t="s">
        <v>975</v>
      </c>
      <c r="B434" s="252"/>
      <c r="C434" s="252"/>
      <c r="D434" s="252"/>
      <c r="E434" s="296"/>
      <c r="F434" s="358" t="s">
        <v>2055</v>
      </c>
    </row>
    <row r="435" spans="1:6" ht="189">
      <c r="A435" s="252"/>
      <c r="B435" s="252"/>
      <c r="C435" s="260" t="s">
        <v>2673</v>
      </c>
      <c r="D435" s="252"/>
      <c r="E435" s="253"/>
      <c r="F435" s="252"/>
    </row>
    <row r="436" spans="1:6" ht="31.5">
      <c r="A436" s="261">
        <v>90</v>
      </c>
      <c r="B436" s="261" t="s">
        <v>826</v>
      </c>
      <c r="C436" s="268" t="s">
        <v>2538</v>
      </c>
      <c r="D436" s="261">
        <f>Elec.Data!I973</f>
        <v>16.55</v>
      </c>
      <c r="E436" s="261" t="s">
        <v>2539</v>
      </c>
      <c r="F436" s="261">
        <f>A436*D436</f>
        <v>1489.5</v>
      </c>
    </row>
    <row r="437" spans="1:6" ht="31.5">
      <c r="A437" s="261">
        <v>45</v>
      </c>
      <c r="B437" s="261" t="s">
        <v>826</v>
      </c>
      <c r="C437" s="260" t="s">
        <v>2364</v>
      </c>
      <c r="D437" s="261">
        <f>Elec.Data!I974</f>
        <v>20</v>
      </c>
      <c r="E437" s="261" t="s">
        <v>2365</v>
      </c>
      <c r="F437" s="261">
        <f>A437*D437</f>
        <v>900</v>
      </c>
    </row>
    <row r="438" spans="1:6">
      <c r="A438" s="261">
        <v>20</v>
      </c>
      <c r="B438" s="261" t="s">
        <v>1394</v>
      </c>
      <c r="C438" s="261" t="s">
        <v>2366</v>
      </c>
      <c r="D438" s="261">
        <f>Elec.Data!I975</f>
        <v>3.15</v>
      </c>
      <c r="E438" s="261" t="s">
        <v>1394</v>
      </c>
      <c r="F438" s="261">
        <f>A438*D438</f>
        <v>63</v>
      </c>
    </row>
    <row r="439" spans="1:6">
      <c r="A439" s="261">
        <v>150</v>
      </c>
      <c r="B439" s="261" t="s">
        <v>1394</v>
      </c>
      <c r="C439" s="261" t="s">
        <v>4299</v>
      </c>
      <c r="D439" s="261">
        <f>Elec.Data!I976</f>
        <v>287</v>
      </c>
      <c r="E439" s="261" t="s">
        <v>2675</v>
      </c>
      <c r="F439" s="261">
        <f>(A439*D439)/1000</f>
        <v>43.05</v>
      </c>
    </row>
    <row r="440" spans="1:6">
      <c r="A440" s="261">
        <v>10</v>
      </c>
      <c r="B440" s="261" t="s">
        <v>1394</v>
      </c>
      <c r="C440" s="261" t="s">
        <v>3375</v>
      </c>
      <c r="D440" s="261">
        <f>Elec.Data!I977</f>
        <v>1.34</v>
      </c>
      <c r="E440" s="261" t="s">
        <v>1394</v>
      </c>
      <c r="F440" s="261">
        <f>A440*D440</f>
        <v>13.4</v>
      </c>
    </row>
    <row r="441" spans="1:6">
      <c r="A441" s="261">
        <v>10</v>
      </c>
      <c r="B441" s="261" t="s">
        <v>1394</v>
      </c>
      <c r="C441" s="261" t="s">
        <v>5441</v>
      </c>
      <c r="D441" s="261">
        <f>Elec.Data!I978</f>
        <v>43.25</v>
      </c>
      <c r="E441" s="261" t="s">
        <v>3378</v>
      </c>
      <c r="F441" s="261">
        <f>(A441*D441)/12</f>
        <v>36.04</v>
      </c>
    </row>
    <row r="442" spans="1:6">
      <c r="A442" s="265">
        <v>1.4999999999999999E-2</v>
      </c>
      <c r="B442" s="261" t="s">
        <v>2283</v>
      </c>
      <c r="C442" s="261" t="s">
        <v>3246</v>
      </c>
      <c r="D442" s="261">
        <f>Elec.Data!I979</f>
        <v>661</v>
      </c>
      <c r="E442" s="261" t="s">
        <v>2283</v>
      </c>
      <c r="F442" s="261">
        <f t="shared" ref="F442:F452" si="4">A442*D442</f>
        <v>9.92</v>
      </c>
    </row>
    <row r="443" spans="1:6">
      <c r="A443" s="261">
        <v>10</v>
      </c>
      <c r="B443" s="261" t="s">
        <v>1394</v>
      </c>
      <c r="C443" s="261" t="s">
        <v>3247</v>
      </c>
      <c r="D443" s="261">
        <f>Elec.Data!I980</f>
        <v>16.21</v>
      </c>
      <c r="E443" s="261" t="s">
        <v>1394</v>
      </c>
      <c r="F443" s="261">
        <f>(A443*D443)</f>
        <v>162.1</v>
      </c>
    </row>
    <row r="444" spans="1:6">
      <c r="A444" s="261">
        <v>10</v>
      </c>
      <c r="B444" s="261" t="s">
        <v>1394</v>
      </c>
      <c r="C444" s="261" t="s">
        <v>2628</v>
      </c>
      <c r="D444" s="261">
        <f>Elec.Data!I981</f>
        <v>13.8</v>
      </c>
      <c r="E444" s="261" t="s">
        <v>1394</v>
      </c>
      <c r="F444" s="261">
        <f t="shared" si="4"/>
        <v>138</v>
      </c>
    </row>
    <row r="445" spans="1:6">
      <c r="A445" s="261">
        <v>1</v>
      </c>
      <c r="B445" s="261" t="s">
        <v>2636</v>
      </c>
      <c r="C445" s="261" t="s">
        <v>4622</v>
      </c>
      <c r="D445" s="261">
        <f>Elec.Data!I982</f>
        <v>69.400000000000006</v>
      </c>
      <c r="E445" s="261" t="s">
        <v>2636</v>
      </c>
      <c r="F445" s="261">
        <f>A445*D445</f>
        <v>69.400000000000006</v>
      </c>
    </row>
    <row r="446" spans="1:6">
      <c r="A446" s="261">
        <v>72</v>
      </c>
      <c r="B446" s="261" t="s">
        <v>1394</v>
      </c>
      <c r="C446" s="261" t="s">
        <v>2677</v>
      </c>
      <c r="D446" s="261">
        <f>Elec.Data!I983</f>
        <v>47.7</v>
      </c>
      <c r="E446" s="261" t="s">
        <v>2636</v>
      </c>
      <c r="F446" s="261">
        <f>(A446*D446)/144</f>
        <v>23.85</v>
      </c>
    </row>
    <row r="447" spans="1:6">
      <c r="A447" s="267">
        <v>0.16666666666666666</v>
      </c>
      <c r="B447" s="261" t="s">
        <v>2632</v>
      </c>
      <c r="C447" s="261" t="s">
        <v>390</v>
      </c>
      <c r="D447" s="261">
        <f>Elec.Data!I984</f>
        <v>302</v>
      </c>
      <c r="E447" s="261" t="s">
        <v>2632</v>
      </c>
      <c r="F447" s="261">
        <f t="shared" si="4"/>
        <v>50.33</v>
      </c>
    </row>
    <row r="448" spans="1:6">
      <c r="A448" s="261">
        <v>10</v>
      </c>
      <c r="B448" s="261" t="s">
        <v>1394</v>
      </c>
      <c r="C448" s="261" t="s">
        <v>5442</v>
      </c>
      <c r="D448" s="261">
        <f>Elec.Data!I985</f>
        <v>13.8</v>
      </c>
      <c r="E448" s="261" t="s">
        <v>1394</v>
      </c>
      <c r="F448" s="261">
        <f t="shared" si="4"/>
        <v>138</v>
      </c>
    </row>
    <row r="449" spans="1:6">
      <c r="A449" s="261">
        <v>1</v>
      </c>
      <c r="B449" s="261" t="s">
        <v>1394</v>
      </c>
      <c r="C449" s="261" t="s">
        <v>5443</v>
      </c>
      <c r="D449" s="261">
        <f>Elec.Data!I986</f>
        <v>16.5</v>
      </c>
      <c r="E449" s="261" t="s">
        <v>1394</v>
      </c>
      <c r="F449" s="261">
        <f t="shared" si="4"/>
        <v>16.5</v>
      </c>
    </row>
    <row r="450" spans="1:6">
      <c r="A450" s="261">
        <v>0.1</v>
      </c>
      <c r="B450" s="261" t="s">
        <v>2283</v>
      </c>
      <c r="C450" s="261" t="s">
        <v>3013</v>
      </c>
      <c r="D450" s="261">
        <f>Elec.Data!I987</f>
        <v>661</v>
      </c>
      <c r="E450" s="261" t="s">
        <v>2283</v>
      </c>
      <c r="F450" s="261">
        <f t="shared" si="4"/>
        <v>66.099999999999994</v>
      </c>
    </row>
    <row r="451" spans="1:6" ht="31.5">
      <c r="A451" s="261">
        <v>45</v>
      </c>
      <c r="B451" s="261" t="s">
        <v>826</v>
      </c>
      <c r="C451" s="268" t="s">
        <v>2638</v>
      </c>
      <c r="D451" s="261">
        <f>Elec.Data!I988</f>
        <v>16.55</v>
      </c>
      <c r="E451" s="261" t="s">
        <v>3290</v>
      </c>
      <c r="F451" s="261">
        <f t="shared" si="4"/>
        <v>744.75</v>
      </c>
    </row>
    <row r="452" spans="1:6">
      <c r="A452" s="267">
        <v>0.5</v>
      </c>
      <c r="B452" s="261" t="s">
        <v>53</v>
      </c>
      <c r="C452" s="268" t="s">
        <v>3903</v>
      </c>
      <c r="D452" s="261">
        <f>Elec.Data!I989</f>
        <v>227.6</v>
      </c>
      <c r="E452" s="261" t="s">
        <v>53</v>
      </c>
      <c r="F452" s="261">
        <f t="shared" si="4"/>
        <v>113.8</v>
      </c>
    </row>
    <row r="453" spans="1:6">
      <c r="A453" s="261">
        <v>10</v>
      </c>
      <c r="B453" s="261" t="s">
        <v>3294</v>
      </c>
      <c r="C453" s="261" t="s">
        <v>915</v>
      </c>
      <c r="D453" s="261"/>
      <c r="E453" s="261" t="s">
        <v>657</v>
      </c>
      <c r="F453" s="261">
        <f>Elec.Data!K990</f>
        <v>5090</v>
      </c>
    </row>
    <row r="454" spans="1:6">
      <c r="A454" s="261" t="s">
        <v>657</v>
      </c>
      <c r="B454" s="261"/>
      <c r="C454" s="261" t="s">
        <v>3014</v>
      </c>
      <c r="D454" s="261"/>
      <c r="E454" s="261" t="s">
        <v>657</v>
      </c>
      <c r="F454" s="261">
        <v>44.26</v>
      </c>
    </row>
    <row r="455" spans="1:6">
      <c r="A455" s="261"/>
      <c r="B455" s="261"/>
      <c r="C455" s="269" t="s">
        <v>3293</v>
      </c>
      <c r="D455" s="261"/>
      <c r="E455" s="261"/>
      <c r="F455" s="270">
        <f>SUM(F436:F454)</f>
        <v>9212</v>
      </c>
    </row>
    <row r="456" spans="1:6">
      <c r="A456" s="261"/>
      <c r="B456" s="261"/>
      <c r="C456" s="271" t="s">
        <v>3295</v>
      </c>
      <c r="D456" s="261"/>
      <c r="E456" s="261"/>
      <c r="F456" s="272">
        <f>F455/10</f>
        <v>921.2</v>
      </c>
    </row>
    <row r="457" spans="1:6" ht="204.75">
      <c r="A457" s="261"/>
      <c r="B457" s="261"/>
      <c r="C457" s="260" t="s">
        <v>3033</v>
      </c>
      <c r="D457" s="261"/>
      <c r="E457" s="261"/>
      <c r="F457" s="261"/>
    </row>
    <row r="458" spans="1:6">
      <c r="A458" s="261"/>
      <c r="B458" s="261"/>
      <c r="C458" s="261" t="s">
        <v>2446</v>
      </c>
      <c r="D458" s="261"/>
      <c r="E458" s="261"/>
      <c r="F458" s="261">
        <f>Elec.Data!K1014</f>
        <v>9167.74</v>
      </c>
    </row>
    <row r="459" spans="1:6">
      <c r="A459" s="261"/>
      <c r="B459" s="261"/>
      <c r="C459" s="261" t="s">
        <v>2447</v>
      </c>
      <c r="D459" s="261"/>
      <c r="E459" s="261"/>
      <c r="F459" s="261">
        <f>Elec.Data!K1015</f>
        <v>138</v>
      </c>
    </row>
    <row r="460" spans="1:6">
      <c r="A460" s="261"/>
      <c r="B460" s="261"/>
      <c r="C460" s="261" t="e">
        <f>#REF!</f>
        <v>#REF!</v>
      </c>
      <c r="D460" s="261"/>
      <c r="E460" s="261"/>
      <c r="F460" s="261">
        <f>Elec.Data!K1016</f>
        <v>166.5</v>
      </c>
    </row>
    <row r="461" spans="1:6">
      <c r="A461" s="261"/>
      <c r="B461" s="261"/>
      <c r="C461" s="261" t="s">
        <v>2271</v>
      </c>
      <c r="D461" s="261"/>
      <c r="E461" s="261"/>
      <c r="F461" s="261">
        <f>Elec.Data!K1017</f>
        <v>35.76</v>
      </c>
    </row>
    <row r="462" spans="1:6">
      <c r="A462" s="261"/>
      <c r="B462" s="261"/>
      <c r="C462" s="269" t="s">
        <v>2425</v>
      </c>
      <c r="D462" s="261"/>
      <c r="E462" s="261"/>
      <c r="F462" s="261">
        <f>Elec.Data!K1018</f>
        <v>9232</v>
      </c>
    </row>
    <row r="463" spans="1:6">
      <c r="A463" s="261"/>
      <c r="B463" s="261"/>
      <c r="C463" s="271" t="s">
        <v>2426</v>
      </c>
      <c r="D463" s="261"/>
      <c r="E463" s="261"/>
      <c r="F463" s="272">
        <f>Elec.Data!K1019</f>
        <v>923.2</v>
      </c>
    </row>
    <row r="464" spans="1:6" ht="189">
      <c r="A464" s="261"/>
      <c r="B464" s="261"/>
      <c r="C464" s="260" t="s">
        <v>6086</v>
      </c>
      <c r="D464" s="261"/>
      <c r="E464" s="261"/>
      <c r="F464" s="261"/>
    </row>
    <row r="465" spans="1:6">
      <c r="A465" s="261"/>
      <c r="B465" s="261"/>
      <c r="C465" s="261"/>
      <c r="D465" s="261"/>
      <c r="E465" s="261"/>
      <c r="F465" s="261"/>
    </row>
    <row r="466" spans="1:6">
      <c r="A466" s="261"/>
      <c r="B466" s="261"/>
      <c r="C466" s="261"/>
      <c r="D466" s="261"/>
      <c r="E466" s="261"/>
      <c r="F466" s="261"/>
    </row>
    <row r="467" spans="1:6">
      <c r="A467" s="261"/>
      <c r="B467" s="261"/>
      <c r="C467" s="261"/>
      <c r="D467" s="261"/>
      <c r="E467" s="261"/>
      <c r="F467" s="261"/>
    </row>
    <row r="468" spans="1:6">
      <c r="A468" s="261"/>
      <c r="B468" s="261"/>
      <c r="C468" s="261" t="s">
        <v>2446</v>
      </c>
      <c r="D468" s="261"/>
      <c r="E468" s="261"/>
      <c r="F468" s="261">
        <f>Elec.Data!K1050</f>
        <v>9167.74</v>
      </c>
    </row>
    <row r="469" spans="1:6">
      <c r="A469" s="261"/>
      <c r="B469" s="261"/>
      <c r="C469" s="261" t="s">
        <v>4656</v>
      </c>
      <c r="D469" s="261"/>
      <c r="E469" s="261"/>
      <c r="F469" s="261">
        <f>Elec.Data!K1051</f>
        <v>138</v>
      </c>
    </row>
    <row r="470" spans="1:6">
      <c r="A470" s="261"/>
      <c r="B470" s="261"/>
      <c r="C470" s="261" t="s">
        <v>2802</v>
      </c>
      <c r="D470" s="261"/>
      <c r="E470" s="261"/>
      <c r="F470" s="261">
        <f>Elec.Data!K1052</f>
        <v>66.099999999999994</v>
      </c>
    </row>
    <row r="471" spans="1:6" ht="47.25">
      <c r="A471" s="261"/>
      <c r="B471" s="261"/>
      <c r="C471" s="260" t="s">
        <v>5446</v>
      </c>
      <c r="D471" s="261"/>
      <c r="E471" s="261"/>
      <c r="F471" s="261">
        <f>Elec.Data!K1053</f>
        <v>699</v>
      </c>
    </row>
    <row r="472" spans="1:6">
      <c r="A472" s="261"/>
      <c r="B472" s="261"/>
      <c r="C472" s="261" t="s">
        <v>6060</v>
      </c>
      <c r="D472" s="261"/>
      <c r="E472" s="261"/>
      <c r="F472" s="261">
        <f>Elec.Data!K1054</f>
        <v>396.6</v>
      </c>
    </row>
    <row r="473" spans="1:6">
      <c r="A473" s="261"/>
      <c r="B473" s="261"/>
      <c r="C473" s="261" t="s">
        <v>3016</v>
      </c>
      <c r="D473" s="261"/>
      <c r="E473" s="261"/>
      <c r="F473" s="261">
        <f>Elec.Data!K1055</f>
        <v>22.76</v>
      </c>
    </row>
    <row r="474" spans="1:6">
      <c r="A474" s="261"/>
      <c r="B474" s="261"/>
      <c r="C474" s="269" t="s">
        <v>2425</v>
      </c>
      <c r="D474" s="261"/>
      <c r="E474" s="261"/>
      <c r="F474" s="261">
        <f>Elec.Data!K1056</f>
        <v>10082</v>
      </c>
    </row>
    <row r="475" spans="1:6">
      <c r="A475" s="261"/>
      <c r="B475" s="261"/>
      <c r="C475" s="271" t="s">
        <v>2426</v>
      </c>
      <c r="D475" s="261"/>
      <c r="E475" s="261"/>
      <c r="F475" s="272">
        <f>Elec.Data!K1057</f>
        <v>1008.2</v>
      </c>
    </row>
    <row r="476" spans="1:6" ht="189">
      <c r="A476" s="261"/>
      <c r="B476" s="261"/>
      <c r="C476" s="260" t="s">
        <v>2722</v>
      </c>
      <c r="D476" s="261"/>
      <c r="E476" s="261"/>
      <c r="F476" s="261"/>
    </row>
    <row r="477" spans="1:6" ht="31.5">
      <c r="A477" s="261">
        <v>90</v>
      </c>
      <c r="B477" s="261" t="s">
        <v>826</v>
      </c>
      <c r="C477" s="268" t="s">
        <v>2538</v>
      </c>
      <c r="D477" s="261">
        <f>Elec.Data!I1082</f>
        <v>16.55</v>
      </c>
      <c r="E477" s="261" t="s">
        <v>826</v>
      </c>
      <c r="F477" s="261">
        <f>A477*D477</f>
        <v>1489.5</v>
      </c>
    </row>
    <row r="478" spans="1:6" ht="31.5">
      <c r="A478" s="261">
        <v>45</v>
      </c>
      <c r="B478" s="261" t="s">
        <v>826</v>
      </c>
      <c r="C478" s="260" t="s">
        <v>2364</v>
      </c>
      <c r="D478" s="261">
        <f>Elec.Data!I1083</f>
        <v>20</v>
      </c>
      <c r="E478" s="261" t="s">
        <v>826</v>
      </c>
      <c r="F478" s="261">
        <f t="shared" ref="F478:F487" si="5">A478*D478</f>
        <v>900</v>
      </c>
    </row>
    <row r="479" spans="1:6">
      <c r="A479" s="261">
        <v>20</v>
      </c>
      <c r="B479" s="261" t="s">
        <v>1394</v>
      </c>
      <c r="C479" s="261" t="s">
        <v>2366</v>
      </c>
      <c r="D479" s="261">
        <f>Elec.Data!I1084</f>
        <v>3.15</v>
      </c>
      <c r="E479" s="261" t="s">
        <v>3378</v>
      </c>
      <c r="F479" s="261">
        <f t="shared" si="5"/>
        <v>63</v>
      </c>
    </row>
    <row r="480" spans="1:6">
      <c r="A480" s="261">
        <v>10</v>
      </c>
      <c r="B480" s="261" t="s">
        <v>1394</v>
      </c>
      <c r="C480" s="261" t="s">
        <v>3375</v>
      </c>
      <c r="D480" s="261">
        <f>Elec.Data!I1085</f>
        <v>1.34</v>
      </c>
      <c r="E480" s="261" t="s">
        <v>3378</v>
      </c>
      <c r="F480" s="261">
        <f t="shared" si="5"/>
        <v>13.4</v>
      </c>
    </row>
    <row r="481" spans="1:6">
      <c r="A481" s="261">
        <v>1</v>
      </c>
      <c r="B481" s="261" t="s">
        <v>1394</v>
      </c>
      <c r="C481" s="261" t="s">
        <v>2444</v>
      </c>
      <c r="D481" s="261">
        <f>Elec.Data!I1086</f>
        <v>70.7</v>
      </c>
      <c r="E481" s="261" t="s">
        <v>1394</v>
      </c>
      <c r="F481" s="261">
        <f t="shared" si="5"/>
        <v>70.7</v>
      </c>
    </row>
    <row r="482" spans="1:6">
      <c r="A482" s="265">
        <v>1.4999999999999999E-2</v>
      </c>
      <c r="B482" s="261" t="s">
        <v>2283</v>
      </c>
      <c r="C482" s="261" t="s">
        <v>2551</v>
      </c>
      <c r="D482" s="261">
        <f>Elec.Data!I1087</f>
        <v>661</v>
      </c>
      <c r="E482" s="261" t="s">
        <v>2283</v>
      </c>
      <c r="F482" s="261">
        <f t="shared" si="5"/>
        <v>9.92</v>
      </c>
    </row>
    <row r="483" spans="1:6">
      <c r="A483" s="261">
        <v>15</v>
      </c>
      <c r="B483" s="261" t="s">
        <v>1394</v>
      </c>
      <c r="C483" s="261" t="s">
        <v>2723</v>
      </c>
      <c r="D483" s="261">
        <f>Elec.Data!I1088</f>
        <v>40.31</v>
      </c>
      <c r="E483" s="261" t="s">
        <v>1394</v>
      </c>
      <c r="F483" s="261">
        <f t="shared" si="5"/>
        <v>604.65</v>
      </c>
    </row>
    <row r="484" spans="1:6">
      <c r="A484" s="261">
        <v>15</v>
      </c>
      <c r="B484" s="261" t="s">
        <v>1394</v>
      </c>
      <c r="C484" s="261" t="s">
        <v>2444</v>
      </c>
      <c r="D484" s="261">
        <f>Elec.Data!I1089</f>
        <v>70.7</v>
      </c>
      <c r="E484" s="261" t="s">
        <v>1394</v>
      </c>
      <c r="F484" s="261">
        <f t="shared" si="5"/>
        <v>1060.5</v>
      </c>
    </row>
    <row r="485" spans="1:6">
      <c r="A485" s="265">
        <v>0.22500000000000001</v>
      </c>
      <c r="B485" s="261" t="s">
        <v>2283</v>
      </c>
      <c r="C485" s="261" t="s">
        <v>2551</v>
      </c>
      <c r="D485" s="261">
        <f>Elec.Data!I1090</f>
        <v>661</v>
      </c>
      <c r="E485" s="261" t="s">
        <v>2724</v>
      </c>
      <c r="F485" s="261">
        <f t="shared" si="5"/>
        <v>148.72999999999999</v>
      </c>
    </row>
    <row r="486" spans="1:6">
      <c r="A486" s="261">
        <v>1.25</v>
      </c>
      <c r="B486" s="261" t="s">
        <v>2632</v>
      </c>
      <c r="C486" s="261" t="s">
        <v>390</v>
      </c>
      <c r="D486" s="261">
        <f>Elec.Data!I1091</f>
        <v>302</v>
      </c>
      <c r="E486" s="261" t="s">
        <v>2632</v>
      </c>
      <c r="F486" s="261">
        <f t="shared" si="5"/>
        <v>377.5</v>
      </c>
    </row>
    <row r="487" spans="1:6" ht="31.5">
      <c r="A487" s="261">
        <v>45</v>
      </c>
      <c r="B487" s="261" t="s">
        <v>2283</v>
      </c>
      <c r="C487" s="268" t="s">
        <v>2638</v>
      </c>
      <c r="D487" s="261">
        <f>Elec.Data!I1092</f>
        <v>16.55</v>
      </c>
      <c r="E487" s="261" t="s">
        <v>826</v>
      </c>
      <c r="F487" s="261">
        <f t="shared" si="5"/>
        <v>744.75</v>
      </c>
    </row>
    <row r="488" spans="1:6">
      <c r="A488" s="261"/>
      <c r="B488" s="261"/>
      <c r="C488" s="261" t="s">
        <v>915</v>
      </c>
      <c r="D488" s="261"/>
      <c r="E488" s="261"/>
      <c r="F488" s="261">
        <f>Elec.Data!K1093</f>
        <v>5090</v>
      </c>
    </row>
    <row r="489" spans="1:6">
      <c r="A489" s="261"/>
      <c r="B489" s="261"/>
      <c r="C489" s="261" t="s">
        <v>2271</v>
      </c>
      <c r="D489" s="261"/>
      <c r="E489" s="261"/>
      <c r="F489" s="261">
        <v>39.35</v>
      </c>
    </row>
    <row r="490" spans="1:6">
      <c r="A490" s="261"/>
      <c r="B490" s="261"/>
      <c r="C490" s="269" t="s">
        <v>2725</v>
      </c>
      <c r="D490" s="261"/>
      <c r="E490" s="261"/>
      <c r="F490" s="270">
        <f>SUM(F477:F489)</f>
        <v>10612</v>
      </c>
    </row>
    <row r="491" spans="1:6">
      <c r="A491" s="261"/>
      <c r="B491" s="261"/>
      <c r="C491" s="271" t="s">
        <v>3147</v>
      </c>
      <c r="D491" s="261"/>
      <c r="E491" s="261"/>
      <c r="F491" s="272">
        <f>F490/15</f>
        <v>707.47</v>
      </c>
    </row>
    <row r="492" spans="1:6" ht="126">
      <c r="A492" s="261"/>
      <c r="B492" s="261"/>
      <c r="C492" s="260" t="s">
        <v>2994</v>
      </c>
      <c r="D492" s="261"/>
      <c r="E492" s="261"/>
      <c r="F492" s="261"/>
    </row>
    <row r="493" spans="1:6">
      <c r="A493" s="261"/>
      <c r="B493" s="261"/>
      <c r="C493" s="261"/>
      <c r="D493" s="261"/>
      <c r="E493" s="261"/>
      <c r="F493" s="261"/>
    </row>
    <row r="494" spans="1:6">
      <c r="A494" s="261"/>
      <c r="B494" s="261"/>
      <c r="C494" s="261" t="s">
        <v>3121</v>
      </c>
      <c r="D494" s="261"/>
      <c r="E494" s="261"/>
      <c r="F494" s="261">
        <f>Elec.Data!K1126</f>
        <v>11804.7</v>
      </c>
    </row>
    <row r="495" spans="1:6" ht="31.5">
      <c r="A495" s="261">
        <v>180</v>
      </c>
      <c r="B495" s="261" t="s">
        <v>826</v>
      </c>
      <c r="C495" s="260" t="s">
        <v>3226</v>
      </c>
      <c r="D495" s="261">
        <f>Elec.Data!I1127</f>
        <v>25.75</v>
      </c>
      <c r="E495" s="261" t="s">
        <v>826</v>
      </c>
      <c r="F495" s="261">
        <f>A495*D495</f>
        <v>4635</v>
      </c>
    </row>
    <row r="496" spans="1:6" ht="31.5">
      <c r="A496" s="261">
        <v>180</v>
      </c>
      <c r="B496" s="261" t="s">
        <v>826</v>
      </c>
      <c r="C496" s="260" t="s">
        <v>2943</v>
      </c>
      <c r="D496" s="261">
        <f>Elec.Data!I1128</f>
        <v>16.55</v>
      </c>
      <c r="E496" s="261" t="s">
        <v>2539</v>
      </c>
      <c r="F496" s="261">
        <f>A496*D496</f>
        <v>2979</v>
      </c>
    </row>
    <row r="497" spans="1:6">
      <c r="A497" s="261"/>
      <c r="B497" s="261"/>
      <c r="C497" s="261" t="s">
        <v>2271</v>
      </c>
      <c r="D497" s="261"/>
      <c r="E497" s="261"/>
      <c r="F497" s="261"/>
    </row>
    <row r="498" spans="1:6">
      <c r="A498" s="261"/>
      <c r="B498" s="261"/>
      <c r="C498" s="269" t="s">
        <v>2944</v>
      </c>
      <c r="D498" s="261"/>
      <c r="E498" s="261"/>
      <c r="F498" s="270">
        <f>F494+F495-F496+F497</f>
        <v>13460.7</v>
      </c>
    </row>
    <row r="499" spans="1:6">
      <c r="A499" s="261"/>
      <c r="B499" s="261"/>
      <c r="C499" s="271" t="s">
        <v>2394</v>
      </c>
      <c r="D499" s="261"/>
      <c r="E499" s="261"/>
      <c r="F499" s="272">
        <f>F498/90</f>
        <v>149.56</v>
      </c>
    </row>
    <row r="500" spans="1:6">
      <c r="A500" s="252"/>
      <c r="B500" s="252"/>
      <c r="C500" s="274" t="s">
        <v>4239</v>
      </c>
      <c r="D500" s="252"/>
      <c r="E500" s="252"/>
      <c r="F500" s="252"/>
    </row>
    <row r="501" spans="1:6">
      <c r="A501" s="252"/>
      <c r="B501" s="252"/>
      <c r="C501" s="252" t="s">
        <v>3216</v>
      </c>
      <c r="D501" s="252"/>
      <c r="E501" s="252"/>
      <c r="F501" s="252"/>
    </row>
    <row r="502" spans="1:6">
      <c r="A502" s="252"/>
      <c r="B502" s="252"/>
      <c r="C502" s="252" t="s">
        <v>3655</v>
      </c>
      <c r="D502" s="252"/>
      <c r="E502" s="252"/>
      <c r="F502" s="252"/>
    </row>
    <row r="503" spans="1:6">
      <c r="A503" s="252">
        <v>0.1</v>
      </c>
      <c r="B503" s="252" t="s">
        <v>1432</v>
      </c>
      <c r="C503" s="252" t="s">
        <v>653</v>
      </c>
      <c r="D503" s="252">
        <f>Data!AQ3105</f>
        <v>881</v>
      </c>
      <c r="E503" s="252" t="s">
        <v>1398</v>
      </c>
      <c r="F503" s="252">
        <f>D503*A503</f>
        <v>88.1</v>
      </c>
    </row>
    <row r="504" spans="1:6">
      <c r="A504" s="252">
        <v>0.1</v>
      </c>
      <c r="B504" s="252" t="s">
        <v>3656</v>
      </c>
      <c r="C504" s="252" t="s">
        <v>348</v>
      </c>
      <c r="D504" s="252">
        <f>Data!AQ3106</f>
        <v>651</v>
      </c>
      <c r="E504" s="252" t="s">
        <v>1398</v>
      </c>
      <c r="F504" s="252">
        <f>D504*A504</f>
        <v>65.099999999999994</v>
      </c>
    </row>
    <row r="505" spans="1:6">
      <c r="A505" s="252">
        <v>10</v>
      </c>
      <c r="B505" s="252" t="s">
        <v>3657</v>
      </c>
      <c r="C505" s="252" t="s">
        <v>4341</v>
      </c>
      <c r="D505" s="252">
        <f>Data!AQ3107</f>
        <v>18.45</v>
      </c>
      <c r="E505" s="252" t="s">
        <v>3658</v>
      </c>
      <c r="F505" s="252">
        <f>(D505*A505)/100</f>
        <v>1.85</v>
      </c>
    </row>
    <row r="506" spans="1:6">
      <c r="A506" s="252">
        <v>0.25</v>
      </c>
      <c r="B506" s="252" t="s">
        <v>1432</v>
      </c>
      <c r="C506" s="252" t="s">
        <v>4342</v>
      </c>
      <c r="D506" s="252">
        <f>Data!AQ3108</f>
        <v>3.6</v>
      </c>
      <c r="E506" s="252" t="s">
        <v>1398</v>
      </c>
      <c r="F506" s="252">
        <f>D506*A506</f>
        <v>0.9</v>
      </c>
    </row>
    <row r="507" spans="1:6">
      <c r="A507" s="252"/>
      <c r="B507" s="252"/>
      <c r="C507" s="252"/>
      <c r="D507" s="252" t="s">
        <v>3659</v>
      </c>
      <c r="E507" s="252"/>
      <c r="F507" s="252">
        <f>SUM(F503:F506)</f>
        <v>155.94999999999999</v>
      </c>
    </row>
    <row r="508" spans="1:6">
      <c r="A508" s="252"/>
      <c r="B508" s="252"/>
      <c r="C508" s="252"/>
      <c r="D508" s="252"/>
      <c r="E508" s="252"/>
      <c r="F508" s="252"/>
    </row>
    <row r="509" spans="1:6">
      <c r="A509" s="252"/>
      <c r="B509" s="252"/>
      <c r="C509" s="252" t="s">
        <v>463</v>
      </c>
      <c r="D509" s="274" t="s">
        <v>3660</v>
      </c>
      <c r="E509" s="274" t="s">
        <v>3661</v>
      </c>
      <c r="F509" s="252"/>
    </row>
    <row r="510" spans="1:6">
      <c r="A510" s="252"/>
      <c r="B510" s="252"/>
      <c r="C510" s="252"/>
      <c r="D510" s="252"/>
      <c r="E510" s="252"/>
      <c r="F510" s="252"/>
    </row>
    <row r="511" spans="1:6">
      <c r="A511" s="252"/>
      <c r="B511" s="252"/>
      <c r="C511" s="252" t="s">
        <v>3662</v>
      </c>
      <c r="D511" s="274">
        <v>96</v>
      </c>
      <c r="E511" s="274">
        <v>85</v>
      </c>
      <c r="F511" s="274">
        <v>85</v>
      </c>
    </row>
    <row r="512" spans="1:6">
      <c r="A512" s="252"/>
      <c r="B512" s="252"/>
      <c r="C512" s="252" t="s">
        <v>1822</v>
      </c>
      <c r="D512" s="252">
        <f>F507</f>
        <v>155.94999999999999</v>
      </c>
      <c r="E512" s="252">
        <f>F507</f>
        <v>155.94999999999999</v>
      </c>
      <c r="F512" s="252"/>
    </row>
    <row r="513" spans="1:6">
      <c r="A513" s="252"/>
      <c r="B513" s="252"/>
      <c r="C513" s="252"/>
      <c r="D513" s="274">
        <f>SUM(D510:D512)</f>
        <v>251.95</v>
      </c>
      <c r="E513" s="274">
        <f>SUM(E510:E512)</f>
        <v>240.95</v>
      </c>
      <c r="F513" s="252"/>
    </row>
    <row r="514" spans="1:6">
      <c r="A514" s="252"/>
      <c r="B514" s="252"/>
      <c r="C514" s="252"/>
      <c r="D514" s="274">
        <f>ROUNDUP(D513,0)</f>
        <v>252</v>
      </c>
      <c r="E514" s="274">
        <f>ROUNDUP(E513,0)</f>
        <v>241</v>
      </c>
      <c r="F514" s="252"/>
    </row>
    <row r="515" spans="1:6" ht="78.75">
      <c r="A515" s="261"/>
      <c r="B515" s="261"/>
      <c r="C515" s="260" t="s">
        <v>3103</v>
      </c>
      <c r="D515" s="261"/>
      <c r="E515" s="261"/>
      <c r="F515" s="261"/>
    </row>
    <row r="516" spans="1:6">
      <c r="A516" s="261"/>
      <c r="B516" s="261"/>
      <c r="C516" s="261"/>
      <c r="D516" s="261"/>
      <c r="E516" s="261"/>
      <c r="F516" s="261"/>
    </row>
    <row r="517" spans="1:6">
      <c r="A517" s="261">
        <v>1</v>
      </c>
      <c r="B517" s="261" t="s">
        <v>826</v>
      </c>
      <c r="C517" s="261" t="s">
        <v>2324</v>
      </c>
      <c r="D517" s="261">
        <f>Elec.Data!I443</f>
        <v>914.1</v>
      </c>
      <c r="E517" s="261" t="s">
        <v>3104</v>
      </c>
      <c r="F517" s="261">
        <f>A517*(D517/100)</f>
        <v>9.14</v>
      </c>
    </row>
    <row r="518" spans="1:6">
      <c r="A518" s="261"/>
      <c r="B518" s="261"/>
      <c r="C518" s="261" t="s">
        <v>140</v>
      </c>
      <c r="D518" s="261"/>
      <c r="E518" s="261"/>
      <c r="F518" s="261">
        <f>Elec.Data!K444</f>
        <v>586.79999999999995</v>
      </c>
    </row>
    <row r="519" spans="1:6">
      <c r="A519" s="261"/>
      <c r="B519" s="261"/>
      <c r="C519" s="261" t="s">
        <v>2327</v>
      </c>
      <c r="D519" s="252"/>
      <c r="E519" s="261"/>
      <c r="F519" s="261">
        <v>5.26</v>
      </c>
    </row>
    <row r="520" spans="1:6">
      <c r="A520" s="261"/>
      <c r="B520" s="261"/>
      <c r="C520" s="270" t="s">
        <v>3105</v>
      </c>
      <c r="D520" s="272" t="s">
        <v>1062</v>
      </c>
      <c r="E520" s="261"/>
      <c r="F520" s="272">
        <f>SUM(F517:F519)</f>
        <v>601.20000000000005</v>
      </c>
    </row>
    <row r="521" spans="1:6">
      <c r="A521" s="261"/>
      <c r="B521" s="261"/>
      <c r="C521" s="272" t="s">
        <v>2858</v>
      </c>
      <c r="D521" s="261"/>
      <c r="E521" s="261"/>
      <c r="F521" s="261"/>
    </row>
    <row r="522" spans="1:6">
      <c r="A522" s="261">
        <v>1</v>
      </c>
      <c r="B522" s="261" t="s">
        <v>1394</v>
      </c>
      <c r="C522" s="261" t="s">
        <v>5435</v>
      </c>
      <c r="D522" s="261">
        <v>1366</v>
      </c>
      <c r="E522" s="261" t="s">
        <v>1394</v>
      </c>
      <c r="F522" s="261">
        <f>A522*D522</f>
        <v>1366</v>
      </c>
    </row>
    <row r="523" spans="1:6">
      <c r="A523" s="261">
        <v>1</v>
      </c>
      <c r="B523" s="261" t="s">
        <v>1394</v>
      </c>
      <c r="C523" s="261" t="s">
        <v>5436</v>
      </c>
      <c r="D523" s="261">
        <v>185.9</v>
      </c>
      <c r="E523" s="261" t="s">
        <v>1394</v>
      </c>
      <c r="F523" s="261">
        <f>A523*D523</f>
        <v>185.9</v>
      </c>
    </row>
    <row r="524" spans="1:6">
      <c r="A524" s="261"/>
      <c r="B524" s="261"/>
      <c r="C524" s="271" t="s">
        <v>2854</v>
      </c>
      <c r="D524" s="261"/>
      <c r="E524" s="261"/>
      <c r="F524" s="272">
        <f>SUM(F522:F523)+0.8</f>
        <v>1552.7</v>
      </c>
    </row>
    <row r="525" spans="1:6">
      <c r="A525" s="375"/>
      <c r="B525" s="252" t="s">
        <v>2251</v>
      </c>
      <c r="C525" s="296" t="s">
        <v>2219</v>
      </c>
      <c r="D525" s="252"/>
      <c r="E525" s="296"/>
      <c r="F525" s="252"/>
    </row>
    <row r="526" spans="1:6">
      <c r="A526" s="252"/>
      <c r="B526" s="252"/>
      <c r="C526" s="276" t="s">
        <v>6169</v>
      </c>
      <c r="D526" s="252"/>
      <c r="E526" s="296"/>
      <c r="F526" s="252"/>
    </row>
    <row r="527" spans="1:6">
      <c r="A527" s="252"/>
      <c r="B527" s="252"/>
      <c r="C527" s="296" t="s">
        <v>1142</v>
      </c>
      <c r="D527" s="252"/>
      <c r="E527" s="296"/>
      <c r="F527" s="252"/>
    </row>
    <row r="528" spans="1:6">
      <c r="A528" s="252"/>
      <c r="B528" s="252"/>
      <c r="C528" s="296" t="s">
        <v>1143</v>
      </c>
      <c r="D528" s="252"/>
      <c r="E528" s="296"/>
      <c r="F528" s="252"/>
    </row>
    <row r="529" spans="1:6">
      <c r="A529" s="252"/>
      <c r="B529" s="252"/>
      <c r="C529" s="358" t="s">
        <v>1586</v>
      </c>
      <c r="D529" s="252"/>
      <c r="E529" s="296"/>
      <c r="F529" s="252"/>
    </row>
    <row r="530" spans="1:6" ht="78.75">
      <c r="A530" s="510">
        <v>1</v>
      </c>
      <c r="B530" s="510" t="s">
        <v>868</v>
      </c>
      <c r="C530" s="389" t="s">
        <v>4603</v>
      </c>
      <c r="D530" s="510">
        <f>Data!I1936</f>
        <v>1672</v>
      </c>
      <c r="E530" s="312" t="s">
        <v>868</v>
      </c>
      <c r="F530" s="510">
        <f>(A530*D530)</f>
        <v>1672</v>
      </c>
    </row>
    <row r="531" spans="1:6">
      <c r="A531" s="252"/>
      <c r="B531" s="252"/>
      <c r="C531" s="296"/>
      <c r="D531" s="510">
        <f>Data!I1937</f>
        <v>0</v>
      </c>
      <c r="E531" s="296"/>
      <c r="F531" s="252"/>
    </row>
    <row r="532" spans="1:6">
      <c r="A532" s="252"/>
      <c r="B532" s="252"/>
      <c r="C532" s="296"/>
      <c r="D532" s="510">
        <f>Data!I1938</f>
        <v>0</v>
      </c>
      <c r="E532" s="253"/>
      <c r="F532" s="252"/>
    </row>
    <row r="533" spans="1:6">
      <c r="A533" s="510">
        <v>1</v>
      </c>
      <c r="B533" s="510" t="s">
        <v>868</v>
      </c>
      <c r="C533" s="296" t="s">
        <v>2132</v>
      </c>
      <c r="D533" s="510">
        <f>Data!I1939</f>
        <v>-169</v>
      </c>
      <c r="E533" s="296" t="s">
        <v>868</v>
      </c>
      <c r="F533" s="510">
        <f>(A533*D533)</f>
        <v>-169</v>
      </c>
    </row>
    <row r="534" spans="1:6">
      <c r="A534" s="252"/>
      <c r="B534" s="252"/>
      <c r="C534" s="296"/>
      <c r="D534" s="510">
        <f>Data!I1940</f>
        <v>0</v>
      </c>
      <c r="E534" s="253"/>
      <c r="F534" s="252"/>
    </row>
    <row r="535" spans="1:6">
      <c r="A535" s="252">
        <v>1</v>
      </c>
      <c r="B535" s="252" t="s">
        <v>868</v>
      </c>
      <c r="C535" s="296" t="s">
        <v>2133</v>
      </c>
      <c r="D535" s="510">
        <f>Data!I1941</f>
        <v>250</v>
      </c>
      <c r="E535" s="296" t="s">
        <v>868</v>
      </c>
      <c r="F535" s="510">
        <f>(A535*D535)</f>
        <v>250</v>
      </c>
    </row>
    <row r="536" spans="1:6">
      <c r="A536" s="252"/>
      <c r="B536" s="252"/>
      <c r="C536" s="296"/>
      <c r="D536" s="510">
        <f>Data!I1942</f>
        <v>0</v>
      </c>
      <c r="E536" s="296"/>
      <c r="F536" s="252"/>
    </row>
    <row r="537" spans="1:6">
      <c r="A537" s="252">
        <v>0.5</v>
      </c>
      <c r="B537" s="252" t="s">
        <v>868</v>
      </c>
      <c r="C537" s="296" t="s">
        <v>2103</v>
      </c>
      <c r="D537" s="510">
        <f>Data!I1943</f>
        <v>866</v>
      </c>
      <c r="E537" s="296" t="s">
        <v>868</v>
      </c>
      <c r="F537" s="252">
        <f>(A537*D537)</f>
        <v>433</v>
      </c>
    </row>
    <row r="538" spans="1:6">
      <c r="A538" s="252">
        <v>1</v>
      </c>
      <c r="B538" s="252" t="s">
        <v>868</v>
      </c>
      <c r="C538" s="296" t="s">
        <v>1902</v>
      </c>
      <c r="D538" s="510">
        <f>Data!I1944</f>
        <v>651</v>
      </c>
      <c r="E538" s="296" t="s">
        <v>868</v>
      </c>
      <c r="F538" s="252">
        <f>(A538*D538)</f>
        <v>651</v>
      </c>
    </row>
    <row r="539" spans="1:6">
      <c r="A539" s="252">
        <v>0.5</v>
      </c>
      <c r="B539" s="252" t="s">
        <v>868</v>
      </c>
      <c r="C539" s="296" t="s">
        <v>2009</v>
      </c>
      <c r="D539" s="510">
        <f>Data!I1945</f>
        <v>999</v>
      </c>
      <c r="E539" s="296" t="s">
        <v>868</v>
      </c>
      <c r="F539" s="252">
        <f>(A539*D539)</f>
        <v>499.5</v>
      </c>
    </row>
    <row r="540" spans="1:6">
      <c r="A540" s="252"/>
      <c r="B540" s="252" t="s">
        <v>449</v>
      </c>
      <c r="C540" s="296" t="s">
        <v>1144</v>
      </c>
      <c r="D540" s="252"/>
      <c r="E540" s="296" t="s">
        <v>449</v>
      </c>
      <c r="F540" s="252">
        <v>0.82</v>
      </c>
    </row>
    <row r="541" spans="1:6">
      <c r="A541" s="252"/>
      <c r="B541" s="252"/>
      <c r="C541" s="252"/>
      <c r="D541" s="252"/>
      <c r="E541" s="296"/>
      <c r="F541" s="358" t="s">
        <v>1586</v>
      </c>
    </row>
    <row r="542" spans="1:6">
      <c r="A542" s="252"/>
      <c r="B542" s="252"/>
      <c r="C542" s="296" t="s">
        <v>1751</v>
      </c>
      <c r="D542" s="252"/>
      <c r="E542" s="296"/>
      <c r="F542" s="274">
        <f>SUM(F530:F540)</f>
        <v>3337.32</v>
      </c>
    </row>
    <row r="543" spans="1:6">
      <c r="A543" s="252"/>
      <c r="B543" s="252"/>
      <c r="C543" s="252"/>
      <c r="D543" s="252"/>
      <c r="E543" s="296"/>
      <c r="F543" s="358" t="s">
        <v>1586</v>
      </c>
    </row>
    <row r="544" spans="1:6" ht="18">
      <c r="A544" s="261"/>
      <c r="B544" s="261"/>
      <c r="C544" s="319" t="s">
        <v>4627</v>
      </c>
      <c r="D544" s="261"/>
      <c r="E544" s="261"/>
      <c r="F544" s="261"/>
    </row>
    <row r="545" spans="1:6">
      <c r="A545" s="261">
        <v>1</v>
      </c>
      <c r="B545" s="261" t="s">
        <v>1394</v>
      </c>
      <c r="C545" s="261" t="s">
        <v>5947</v>
      </c>
      <c r="D545" s="261">
        <f>[7]Elec.Data!I955</f>
        <v>391</v>
      </c>
      <c r="E545" s="261" t="s">
        <v>1394</v>
      </c>
      <c r="F545" s="261">
        <f>A545*D545</f>
        <v>391</v>
      </c>
    </row>
    <row r="546" spans="1:6">
      <c r="A546" s="261"/>
      <c r="B546" s="261"/>
      <c r="C546" s="261"/>
      <c r="D546" s="261"/>
      <c r="E546" s="261" t="s">
        <v>1394</v>
      </c>
      <c r="F546" s="261">
        <f>[7]Elec.Data!K956</f>
        <v>0</v>
      </c>
    </row>
    <row r="547" spans="1:6">
      <c r="A547" s="261"/>
      <c r="B547" s="261"/>
      <c r="C547" s="261" t="s">
        <v>4655</v>
      </c>
      <c r="D547" s="261"/>
      <c r="E547" s="261"/>
      <c r="F547" s="261">
        <f>Elec.Data!K957</f>
        <v>312.93</v>
      </c>
    </row>
    <row r="548" spans="1:6">
      <c r="A548" s="261"/>
      <c r="B548" s="261"/>
      <c r="C548" s="261" t="s">
        <v>2271</v>
      </c>
      <c r="D548" s="261"/>
      <c r="E548" s="261"/>
      <c r="F548" s="261">
        <v>0.2</v>
      </c>
    </row>
    <row r="549" spans="1:6">
      <c r="A549" s="261"/>
      <c r="B549" s="261"/>
      <c r="C549" s="271" t="s">
        <v>2854</v>
      </c>
      <c r="D549" s="261"/>
      <c r="E549" s="261"/>
      <c r="F549" s="272">
        <f>SUM(F545:F548)</f>
        <v>704.13</v>
      </c>
    </row>
    <row r="550" spans="1:6">
      <c r="A550" s="261"/>
      <c r="B550" s="261"/>
      <c r="C550" s="272" t="s">
        <v>4664</v>
      </c>
      <c r="D550" s="261"/>
      <c r="E550" s="261"/>
      <c r="F550" s="261"/>
    </row>
    <row r="551" spans="1:6">
      <c r="A551" s="261"/>
      <c r="B551" s="261"/>
      <c r="C551" s="272"/>
      <c r="D551" s="261"/>
      <c r="E551" s="261"/>
      <c r="F551" s="261"/>
    </row>
    <row r="552" spans="1:6" ht="31.5">
      <c r="A552" s="261">
        <v>1</v>
      </c>
      <c r="B552" s="261" t="s">
        <v>1394</v>
      </c>
      <c r="C552" s="260" t="s">
        <v>5943</v>
      </c>
      <c r="D552" s="269">
        <f>Elec.Data!P804</f>
        <v>1193</v>
      </c>
      <c r="E552" s="261" t="s">
        <v>1394</v>
      </c>
      <c r="F552" s="261">
        <f>A552*D552</f>
        <v>1193</v>
      </c>
    </row>
    <row r="553" spans="1:6">
      <c r="A553" s="261">
        <v>1</v>
      </c>
      <c r="B553" s="261" t="s">
        <v>1394</v>
      </c>
      <c r="C553" s="260" t="s">
        <v>915</v>
      </c>
      <c r="D553" s="269">
        <f>Elec.Data!P805</f>
        <v>2265.67</v>
      </c>
      <c r="E553" s="261" t="s">
        <v>1394</v>
      </c>
      <c r="F553" s="261">
        <f>A553*D553</f>
        <v>2265.67</v>
      </c>
    </row>
    <row r="554" spans="1:6">
      <c r="A554" s="261"/>
      <c r="B554" s="261"/>
      <c r="C554" s="260" t="s">
        <v>2271</v>
      </c>
      <c r="D554" s="261"/>
      <c r="E554" s="261"/>
      <c r="F554" s="261"/>
    </row>
    <row r="555" spans="1:6">
      <c r="A555" s="261"/>
      <c r="B555" s="261"/>
      <c r="C555" s="271" t="s">
        <v>1062</v>
      </c>
      <c r="D555" s="261"/>
      <c r="E555" s="261"/>
      <c r="F555" s="272">
        <f>SUM(F552:F554)</f>
        <v>3458.67</v>
      </c>
    </row>
    <row r="556" spans="1:6" ht="63">
      <c r="A556" s="261"/>
      <c r="B556" s="261"/>
      <c r="C556" s="260" t="s">
        <v>2351</v>
      </c>
      <c r="D556" s="261"/>
      <c r="E556" s="261"/>
      <c r="F556" s="261"/>
    </row>
    <row r="557" spans="1:6">
      <c r="A557" s="261">
        <v>1</v>
      </c>
      <c r="B557" s="261" t="s">
        <v>1394</v>
      </c>
      <c r="C557" s="261" t="s">
        <v>5400</v>
      </c>
      <c r="D557" s="261">
        <f>Elec.Data!I301</f>
        <v>277.60000000000002</v>
      </c>
      <c r="E557" s="261" t="s">
        <v>1394</v>
      </c>
      <c r="F557" s="261">
        <f>A557*D557</f>
        <v>277.60000000000002</v>
      </c>
    </row>
    <row r="558" spans="1:6">
      <c r="A558" s="261"/>
      <c r="B558" s="261"/>
      <c r="C558" s="261" t="s">
        <v>2271</v>
      </c>
      <c r="D558" s="261"/>
      <c r="E558" s="261"/>
      <c r="F558" s="261">
        <f>13.88-0.41</f>
        <v>13.47</v>
      </c>
    </row>
    <row r="559" spans="1:6">
      <c r="A559" s="261"/>
      <c r="B559" s="261"/>
      <c r="C559" s="261" t="s">
        <v>915</v>
      </c>
      <c r="D559" s="261"/>
      <c r="E559" s="261"/>
      <c r="F559" s="261">
        <f>Elec.Data!K303</f>
        <v>238.13</v>
      </c>
    </row>
    <row r="560" spans="1:6">
      <c r="A560" s="261"/>
      <c r="B560" s="261"/>
      <c r="C560" s="271" t="s">
        <v>2352</v>
      </c>
      <c r="D560" s="261"/>
      <c r="E560" s="261"/>
      <c r="F560" s="272">
        <f>SUM(F557:F559)</f>
        <v>529.20000000000005</v>
      </c>
    </row>
    <row r="561" spans="1:6">
      <c r="A561" s="253" t="s">
        <v>1128</v>
      </c>
      <c r="B561" s="252" t="s">
        <v>2251</v>
      </c>
      <c r="C561" s="1081" t="s">
        <v>6113</v>
      </c>
      <c r="D561" s="1081"/>
      <c r="E561" s="296"/>
      <c r="F561" s="252"/>
    </row>
    <row r="562" spans="1:6">
      <c r="A562" s="252"/>
      <c r="B562" s="252"/>
      <c r="C562" s="358" t="s">
        <v>1586</v>
      </c>
      <c r="D562" s="252"/>
      <c r="E562" s="296"/>
      <c r="F562" s="252"/>
    </row>
    <row r="563" spans="1:6">
      <c r="A563" s="316">
        <f>Data!S552</f>
        <v>0.03</v>
      </c>
      <c r="B563" s="252" t="s">
        <v>869</v>
      </c>
      <c r="C563" s="296" t="s">
        <v>3994</v>
      </c>
      <c r="D563" s="252">
        <f>Data!V552</f>
        <v>7180.76</v>
      </c>
      <c r="E563" s="296" t="s">
        <v>869</v>
      </c>
      <c r="F563" s="252">
        <f>(A563*D563)</f>
        <v>215.42</v>
      </c>
    </row>
    <row r="564" spans="1:6">
      <c r="A564" s="316">
        <f>Data!S553</f>
        <v>0.5</v>
      </c>
      <c r="B564" s="252" t="s">
        <v>769</v>
      </c>
      <c r="C564" s="296" t="s">
        <v>2009</v>
      </c>
      <c r="D564" s="252">
        <f>Data!V553</f>
        <v>999</v>
      </c>
      <c r="E564" s="296" t="s">
        <v>769</v>
      </c>
      <c r="F564" s="252">
        <f>(A564*D564)</f>
        <v>499.5</v>
      </c>
    </row>
    <row r="565" spans="1:6">
      <c r="A565" s="316">
        <f>Data!S554</f>
        <v>0.75</v>
      </c>
      <c r="B565" s="252" t="s">
        <v>769</v>
      </c>
      <c r="C565" s="296" t="s">
        <v>1902</v>
      </c>
      <c r="D565" s="252">
        <f>Data!V554</f>
        <v>651</v>
      </c>
      <c r="E565" s="296" t="s">
        <v>769</v>
      </c>
      <c r="F565" s="252">
        <f>(A565*D565)</f>
        <v>488.25</v>
      </c>
    </row>
    <row r="566" spans="1:6">
      <c r="A566" s="252"/>
      <c r="B566" s="252" t="s">
        <v>449</v>
      </c>
      <c r="C566" s="296" t="s">
        <v>450</v>
      </c>
      <c r="D566" s="252">
        <f>Data!V555</f>
        <v>0</v>
      </c>
      <c r="E566" s="296" t="s">
        <v>449</v>
      </c>
      <c r="F566" s="252">
        <v>0</v>
      </c>
    </row>
    <row r="567" spans="1:6">
      <c r="A567" s="252"/>
      <c r="B567" s="252"/>
      <c r="C567" s="252"/>
      <c r="D567" s="252"/>
      <c r="E567" s="296"/>
      <c r="F567" s="358" t="s">
        <v>1586</v>
      </c>
    </row>
    <row r="568" spans="1:6">
      <c r="A568" s="252"/>
      <c r="B568" s="252"/>
      <c r="C568" s="296" t="s">
        <v>1748</v>
      </c>
      <c r="D568" s="252"/>
      <c r="E568" s="296"/>
      <c r="F568" s="252">
        <f>SUM(F563:F566)</f>
        <v>1203.17</v>
      </c>
    </row>
    <row r="569" spans="1:6">
      <c r="A569" s="252"/>
      <c r="B569" s="252"/>
      <c r="C569" s="252"/>
      <c r="D569" s="252"/>
      <c r="E569" s="296"/>
      <c r="F569" s="358" t="s">
        <v>1586</v>
      </c>
    </row>
    <row r="570" spans="1:6">
      <c r="A570" s="252"/>
      <c r="B570" s="252"/>
      <c r="C570" s="296" t="s">
        <v>3995</v>
      </c>
      <c r="D570" s="252"/>
      <c r="E570" s="296"/>
      <c r="F570" s="274">
        <f>(F568/0.743)</f>
        <v>1619.34</v>
      </c>
    </row>
    <row r="571" spans="1:6">
      <c r="A571" s="252"/>
      <c r="B571" s="252"/>
      <c r="C571" s="252"/>
      <c r="D571" s="252"/>
      <c r="E571" s="296"/>
      <c r="F571" s="358" t="s">
        <v>2055</v>
      </c>
    </row>
    <row r="572" spans="1:6">
      <c r="A572" s="384" t="s">
        <v>536</v>
      </c>
      <c r="B572" s="252" t="s">
        <v>1907</v>
      </c>
      <c r="C572" s="296" t="s">
        <v>551</v>
      </c>
      <c r="D572" s="252"/>
      <c r="E572" s="296"/>
      <c r="F572" s="252"/>
    </row>
    <row r="573" spans="1:6">
      <c r="A573" s="356"/>
      <c r="B573" s="252"/>
      <c r="C573" s="296" t="s">
        <v>537</v>
      </c>
      <c r="D573" s="252"/>
      <c r="E573" s="296"/>
      <c r="F573" s="252"/>
    </row>
    <row r="574" spans="1:6">
      <c r="A574" s="356"/>
      <c r="B574" s="252"/>
      <c r="C574" s="358" t="s">
        <v>1586</v>
      </c>
      <c r="D574" s="252"/>
      <c r="E574" s="296"/>
      <c r="F574" s="252"/>
    </row>
    <row r="575" spans="1:6">
      <c r="A575" s="252">
        <v>1</v>
      </c>
      <c r="B575" s="252" t="s">
        <v>526</v>
      </c>
      <c r="C575" s="296" t="s">
        <v>527</v>
      </c>
      <c r="D575" s="252">
        <f>Data!I1601</f>
        <v>58000</v>
      </c>
      <c r="E575" s="296" t="s">
        <v>528</v>
      </c>
      <c r="F575" s="252">
        <f>(A575*D575)/10</f>
        <v>5800</v>
      </c>
    </row>
    <row r="576" spans="1:6">
      <c r="A576" s="356">
        <v>0.01</v>
      </c>
      <c r="B576" s="252" t="s">
        <v>526</v>
      </c>
      <c r="C576" s="296" t="s">
        <v>192</v>
      </c>
      <c r="D576" s="252">
        <f>Data!I1602</f>
        <v>56350</v>
      </c>
      <c r="E576" s="296" t="s">
        <v>528</v>
      </c>
      <c r="F576" s="252">
        <f>(A576*D576)/10</f>
        <v>56.35</v>
      </c>
    </row>
    <row r="577" spans="1:6">
      <c r="A577" s="356">
        <v>3.5</v>
      </c>
      <c r="B577" s="252" t="s">
        <v>769</v>
      </c>
      <c r="C577" s="296" t="s">
        <v>529</v>
      </c>
      <c r="D577" s="252">
        <f>Data!I1603</f>
        <v>866</v>
      </c>
      <c r="E577" s="296" t="s">
        <v>769</v>
      </c>
      <c r="F577" s="252">
        <f>(A577*D577)</f>
        <v>3031</v>
      </c>
    </row>
    <row r="578" spans="1:6">
      <c r="A578" s="356"/>
      <c r="B578" s="252" t="s">
        <v>449</v>
      </c>
      <c r="C578" s="296" t="s">
        <v>450</v>
      </c>
      <c r="D578" s="252"/>
      <c r="E578" s="296" t="s">
        <v>449</v>
      </c>
      <c r="F578" s="252">
        <v>0</v>
      </c>
    </row>
    <row r="579" spans="1:6">
      <c r="A579" s="252"/>
      <c r="B579" s="252"/>
      <c r="C579" s="252"/>
      <c r="D579" s="252"/>
      <c r="E579" s="296"/>
      <c r="F579" s="358" t="s">
        <v>1586</v>
      </c>
    </row>
    <row r="580" spans="1:6">
      <c r="A580" s="252"/>
      <c r="B580" s="252"/>
      <c r="C580" s="296" t="s">
        <v>532</v>
      </c>
      <c r="D580" s="252"/>
      <c r="E580" s="296"/>
      <c r="F580" s="252">
        <f>SUM(F575:F578)</f>
        <v>8887.35</v>
      </c>
    </row>
    <row r="581" spans="1:6">
      <c r="A581" s="252"/>
      <c r="B581" s="252"/>
      <c r="C581" s="252"/>
      <c r="D581" s="252"/>
      <c r="E581" s="296"/>
      <c r="F581" s="358" t="s">
        <v>1586</v>
      </c>
    </row>
    <row r="582" spans="1:6">
      <c r="A582" s="252"/>
      <c r="B582" s="252"/>
      <c r="C582" s="255" t="s">
        <v>533</v>
      </c>
      <c r="D582" s="274"/>
      <c r="E582" s="276"/>
      <c r="F582" s="274">
        <f>(F580*10)</f>
        <v>88873.5</v>
      </c>
    </row>
    <row r="583" spans="1:6">
      <c r="A583" s="369">
        <v>238</v>
      </c>
      <c r="B583" s="252" t="s">
        <v>2251</v>
      </c>
      <c r="C583" s="296" t="s">
        <v>586</v>
      </c>
      <c r="D583" s="252"/>
      <c r="E583" s="296"/>
      <c r="F583" s="252"/>
    </row>
    <row r="584" spans="1:6">
      <c r="A584" s="252"/>
      <c r="B584" s="252"/>
      <c r="C584" s="296" t="s">
        <v>1970</v>
      </c>
      <c r="D584" s="252"/>
      <c r="E584" s="296"/>
      <c r="F584" s="252"/>
    </row>
    <row r="585" spans="1:6">
      <c r="A585" s="252"/>
      <c r="B585" s="252"/>
      <c r="C585" s="358" t="s">
        <v>1586</v>
      </c>
      <c r="D585" s="252"/>
      <c r="E585" s="296"/>
      <c r="F585" s="252"/>
    </row>
    <row r="586" spans="1:6">
      <c r="A586" s="252">
        <v>20</v>
      </c>
      <c r="B586" s="252" t="s">
        <v>1238</v>
      </c>
      <c r="C586" s="296" t="s">
        <v>6489</v>
      </c>
      <c r="D586" s="252">
        <f>Data!I1559</f>
        <v>116.2</v>
      </c>
      <c r="E586" s="296" t="s">
        <v>1238</v>
      </c>
      <c r="F586" s="252">
        <f>(A586*D586)</f>
        <v>2324</v>
      </c>
    </row>
    <row r="587" spans="1:6">
      <c r="A587" s="252"/>
      <c r="B587" s="252"/>
      <c r="C587" s="296" t="s">
        <v>588</v>
      </c>
      <c r="D587" s="252">
        <f>Data!I1560</f>
        <v>0</v>
      </c>
      <c r="E587" s="296"/>
      <c r="F587" s="296" t="s">
        <v>975</v>
      </c>
    </row>
    <row r="588" spans="1:6">
      <c r="A588" s="252">
        <v>50</v>
      </c>
      <c r="B588" s="252" t="s">
        <v>1645</v>
      </c>
      <c r="C588" s="296" t="s">
        <v>862</v>
      </c>
      <c r="D588" s="252">
        <f>Data!I1561</f>
        <v>6.04</v>
      </c>
      <c r="E588" s="296" t="s">
        <v>1645</v>
      </c>
      <c r="F588" s="252">
        <f>(A588*D588)</f>
        <v>302</v>
      </c>
    </row>
    <row r="589" spans="1:6">
      <c r="A589" s="252">
        <v>1</v>
      </c>
      <c r="B589" s="252" t="s">
        <v>449</v>
      </c>
      <c r="C589" s="296" t="s">
        <v>589</v>
      </c>
      <c r="D589" s="252">
        <f>Data!I1562</f>
        <v>75</v>
      </c>
      <c r="E589" s="296" t="s">
        <v>449</v>
      </c>
      <c r="F589" s="252">
        <f>(A589*D589)</f>
        <v>75</v>
      </c>
    </row>
    <row r="590" spans="1:6">
      <c r="A590" s="252">
        <v>1</v>
      </c>
      <c r="B590" s="252" t="s">
        <v>449</v>
      </c>
      <c r="C590" s="296" t="s">
        <v>590</v>
      </c>
      <c r="D590" s="252">
        <f>Data!I1563</f>
        <v>40</v>
      </c>
      <c r="E590" s="296" t="s">
        <v>449</v>
      </c>
      <c r="F590" s="252">
        <f>(A590*D590)</f>
        <v>40</v>
      </c>
    </row>
    <row r="591" spans="1:6">
      <c r="A591" s="252">
        <v>2.5</v>
      </c>
      <c r="B591" s="252" t="s">
        <v>449</v>
      </c>
      <c r="C591" s="296" t="s">
        <v>591</v>
      </c>
      <c r="D591" s="252">
        <f>Data!I1564</f>
        <v>772</v>
      </c>
      <c r="E591" s="296" t="s">
        <v>449</v>
      </c>
      <c r="F591" s="252">
        <f>(A591*D591)</f>
        <v>1930</v>
      </c>
    </row>
    <row r="592" spans="1:6">
      <c r="A592" s="252"/>
      <c r="B592" s="252" t="s">
        <v>449</v>
      </c>
      <c r="C592" s="296" t="s">
        <v>506</v>
      </c>
      <c r="D592" s="252"/>
      <c r="E592" s="296" t="s">
        <v>449</v>
      </c>
      <c r="F592" s="407">
        <v>1.5</v>
      </c>
    </row>
    <row r="593" spans="1:6">
      <c r="A593" s="252"/>
      <c r="B593" s="252"/>
      <c r="C593" s="252"/>
      <c r="D593" s="252"/>
      <c r="E593" s="296"/>
      <c r="F593" s="358" t="s">
        <v>1586</v>
      </c>
    </row>
    <row r="594" spans="1:6">
      <c r="A594" s="252"/>
      <c r="B594" s="252"/>
      <c r="C594" s="255" t="s">
        <v>592</v>
      </c>
      <c r="D594" s="274"/>
      <c r="E594" s="276"/>
      <c r="F594" s="274">
        <f>SUM(F586:F592)</f>
        <v>4672.5</v>
      </c>
    </row>
    <row r="595" spans="1:6">
      <c r="A595" s="252"/>
      <c r="B595" s="252"/>
      <c r="C595" s="296"/>
      <c r="D595" s="252"/>
      <c r="E595" s="296"/>
      <c r="F595" s="358" t="s">
        <v>1586</v>
      </c>
    </row>
    <row r="596" spans="1:6">
      <c r="A596" s="375">
        <v>1.1000000000000001</v>
      </c>
      <c r="B596" s="252" t="s">
        <v>975</v>
      </c>
      <c r="C596" s="296" t="s">
        <v>1424</v>
      </c>
      <c r="D596" s="252"/>
      <c r="E596" s="296"/>
      <c r="F596" s="252"/>
    </row>
    <row r="597" spans="1:6">
      <c r="A597" s="385" t="s">
        <v>975</v>
      </c>
      <c r="B597" s="252"/>
      <c r="C597" s="296" t="s">
        <v>1482</v>
      </c>
      <c r="D597" s="252"/>
      <c r="E597" s="296"/>
      <c r="F597" s="252"/>
    </row>
    <row r="598" spans="1:6">
      <c r="A598" s="252">
        <v>10</v>
      </c>
      <c r="B598" s="252" t="s">
        <v>869</v>
      </c>
      <c r="C598" s="296" t="s">
        <v>1177</v>
      </c>
      <c r="D598" s="252">
        <f>Data!I81</f>
        <v>112.05</v>
      </c>
      <c r="E598" s="296" t="s">
        <v>869</v>
      </c>
      <c r="F598" s="252">
        <f>(A598*D598)</f>
        <v>1120.5</v>
      </c>
    </row>
    <row r="599" spans="1:6">
      <c r="A599" s="252">
        <v>10</v>
      </c>
      <c r="B599" s="252" t="s">
        <v>869</v>
      </c>
      <c r="C599" s="296" t="s">
        <v>2011</v>
      </c>
      <c r="D599" s="252">
        <f>Data!I82</f>
        <v>112.05</v>
      </c>
      <c r="E599" s="296" t="s">
        <v>869</v>
      </c>
      <c r="F599" s="252">
        <f>(A599*D599)</f>
        <v>1120.5</v>
      </c>
    </row>
    <row r="600" spans="1:6">
      <c r="A600" s="252">
        <v>10</v>
      </c>
      <c r="B600" s="252" t="s">
        <v>869</v>
      </c>
      <c r="C600" s="296" t="s">
        <v>2013</v>
      </c>
      <c r="D600" s="252">
        <f>Data!I83</f>
        <v>12.98</v>
      </c>
      <c r="E600" s="296" t="s">
        <v>869</v>
      </c>
      <c r="F600" s="252">
        <f>(A600*D600)</f>
        <v>129.80000000000001</v>
      </c>
    </row>
    <row r="601" spans="1:6">
      <c r="A601" s="252"/>
      <c r="B601" s="252" t="s">
        <v>449</v>
      </c>
      <c r="C601" s="296" t="s">
        <v>450</v>
      </c>
      <c r="D601" s="252"/>
      <c r="E601" s="296" t="s">
        <v>449</v>
      </c>
      <c r="F601" s="252">
        <v>0</v>
      </c>
    </row>
    <row r="602" spans="1:6">
      <c r="A602" s="252"/>
      <c r="B602" s="252"/>
      <c r="C602" s="252"/>
      <c r="D602" s="252"/>
      <c r="E602" s="296"/>
      <c r="F602" s="358" t="s">
        <v>1586</v>
      </c>
    </row>
    <row r="603" spans="1:6">
      <c r="A603" s="252"/>
      <c r="B603" s="252"/>
      <c r="C603" s="296" t="s">
        <v>614</v>
      </c>
      <c r="D603" s="252"/>
      <c r="E603" s="296"/>
      <c r="F603" s="252">
        <f>SUM(F598:F601)</f>
        <v>2370.8000000000002</v>
      </c>
    </row>
    <row r="604" spans="1:6">
      <c r="A604" s="252"/>
      <c r="B604" s="252"/>
      <c r="C604" s="252"/>
      <c r="D604" s="252"/>
      <c r="E604" s="296"/>
      <c r="F604" s="358" t="s">
        <v>1586</v>
      </c>
    </row>
    <row r="605" spans="1:6">
      <c r="A605" s="252"/>
      <c r="B605" s="252"/>
      <c r="C605" s="276" t="s">
        <v>2049</v>
      </c>
      <c r="D605" s="274" t="s">
        <v>1399</v>
      </c>
      <c r="E605" s="276"/>
      <c r="F605" s="274">
        <f>(F603/10)</f>
        <v>237.08</v>
      </c>
    </row>
    <row r="606" spans="1:6">
      <c r="A606" s="375">
        <v>1.6</v>
      </c>
      <c r="B606" s="252"/>
      <c r="C606" s="296" t="s">
        <v>796</v>
      </c>
      <c r="D606" s="274"/>
      <c r="E606" s="296"/>
      <c r="F606" s="252"/>
    </row>
    <row r="607" spans="1:6">
      <c r="A607" s="252"/>
      <c r="B607" s="252"/>
      <c r="C607" s="296" t="s">
        <v>382</v>
      </c>
      <c r="D607" s="274" t="s">
        <v>1399</v>
      </c>
      <c r="E607" s="296"/>
      <c r="F607" s="274">
        <f>Data!K133</f>
        <v>168.08</v>
      </c>
    </row>
    <row r="608" spans="1:6">
      <c r="A608" s="253" t="s">
        <v>666</v>
      </c>
      <c r="B608" s="252" t="s">
        <v>2251</v>
      </c>
      <c r="C608" s="296" t="s">
        <v>667</v>
      </c>
      <c r="D608" s="252"/>
      <c r="E608" s="296"/>
      <c r="F608" s="252"/>
    </row>
    <row r="609" spans="1:6">
      <c r="A609" s="252"/>
      <c r="B609" s="252"/>
      <c r="C609" s="296" t="s">
        <v>669</v>
      </c>
      <c r="D609" s="252"/>
      <c r="E609" s="296"/>
      <c r="F609" s="252"/>
    </row>
    <row r="610" spans="1:6">
      <c r="A610" s="252"/>
      <c r="B610" s="252"/>
      <c r="C610" s="358" t="s">
        <v>1586</v>
      </c>
      <c r="D610" s="252"/>
      <c r="E610" s="296"/>
      <c r="F610" s="252"/>
    </row>
    <row r="611" spans="1:6">
      <c r="A611" s="252">
        <v>9</v>
      </c>
      <c r="B611" s="252" t="s">
        <v>869</v>
      </c>
      <c r="C611" s="296" t="s">
        <v>1638</v>
      </c>
      <c r="D611" s="252">
        <f>Data!I195</f>
        <v>1265.98</v>
      </c>
      <c r="E611" s="296" t="s">
        <v>869</v>
      </c>
      <c r="F611" s="252">
        <f>(A611*D611)</f>
        <v>11393.82</v>
      </c>
    </row>
    <row r="612" spans="1:6">
      <c r="A612" s="252">
        <v>4.5</v>
      </c>
      <c r="B612" s="252" t="s">
        <v>869</v>
      </c>
      <c r="C612" s="296" t="s">
        <v>1625</v>
      </c>
      <c r="D612" s="252">
        <f>Data!I196</f>
        <v>3319.98</v>
      </c>
      <c r="E612" s="296" t="s">
        <v>869</v>
      </c>
      <c r="F612" s="252">
        <f>(A612*D612)</f>
        <v>14939.91</v>
      </c>
    </row>
    <row r="613" spans="1:6">
      <c r="A613" s="252">
        <v>1.8</v>
      </c>
      <c r="B613" s="252" t="s">
        <v>868</v>
      </c>
      <c r="C613" s="296" t="s">
        <v>1712</v>
      </c>
      <c r="D613" s="252">
        <f>Data!I197</f>
        <v>932</v>
      </c>
      <c r="E613" s="296" t="s">
        <v>868</v>
      </c>
      <c r="F613" s="252">
        <f>(A613*D613)</f>
        <v>1677.6</v>
      </c>
    </row>
    <row r="614" spans="1:6">
      <c r="A614" s="252">
        <v>17.7</v>
      </c>
      <c r="B614" s="252" t="s">
        <v>868</v>
      </c>
      <c r="C614" s="296" t="s">
        <v>1902</v>
      </c>
      <c r="D614" s="252">
        <f>Data!I198</f>
        <v>651</v>
      </c>
      <c r="E614" s="296" t="s">
        <v>868</v>
      </c>
      <c r="F614" s="252">
        <f>(A614*D614)</f>
        <v>11522.7</v>
      </c>
    </row>
    <row r="615" spans="1:6">
      <c r="A615" s="252">
        <v>14.1</v>
      </c>
      <c r="B615" s="252" t="s">
        <v>868</v>
      </c>
      <c r="C615" s="296" t="s">
        <v>320</v>
      </c>
      <c r="D615" s="252">
        <f>Data!I199</f>
        <v>534</v>
      </c>
      <c r="E615" s="296" t="s">
        <v>868</v>
      </c>
      <c r="F615" s="252">
        <f>(A615*D615)</f>
        <v>7529.4</v>
      </c>
    </row>
    <row r="616" spans="1:6">
      <c r="A616" s="252"/>
      <c r="B616" s="252" t="s">
        <v>449</v>
      </c>
      <c r="C616" s="296" t="s">
        <v>450</v>
      </c>
      <c r="D616" s="252"/>
      <c r="E616" s="296" t="s">
        <v>449</v>
      </c>
      <c r="F616" s="252">
        <v>0</v>
      </c>
    </row>
    <row r="617" spans="1:6">
      <c r="A617" s="252"/>
      <c r="B617" s="252"/>
      <c r="C617" s="252"/>
      <c r="D617" s="252"/>
      <c r="E617" s="296"/>
      <c r="F617" s="358" t="s">
        <v>1586</v>
      </c>
    </row>
    <row r="618" spans="1:6">
      <c r="A618" s="252"/>
      <c r="B618" s="252"/>
      <c r="C618" s="252"/>
      <c r="D618" s="252"/>
      <c r="E618" s="296"/>
      <c r="F618" s="252">
        <f>SUM(F611:F616)</f>
        <v>47063.43</v>
      </c>
    </row>
    <row r="619" spans="1:6">
      <c r="A619" s="252"/>
      <c r="B619" s="252"/>
      <c r="C619" s="253" t="s">
        <v>614</v>
      </c>
      <c r="D619" s="252"/>
      <c r="E619" s="296"/>
      <c r="F619" s="358" t="s">
        <v>1586</v>
      </c>
    </row>
    <row r="620" spans="1:6">
      <c r="A620" s="252"/>
      <c r="B620" s="252"/>
      <c r="C620" s="252"/>
      <c r="D620" s="252"/>
      <c r="E620" s="296"/>
      <c r="F620" s="274">
        <f>(F618/10)</f>
        <v>4706.34</v>
      </c>
    </row>
    <row r="621" spans="1:6">
      <c r="A621" s="252"/>
      <c r="B621" s="252"/>
      <c r="C621" s="255" t="s">
        <v>773</v>
      </c>
      <c r="D621" s="252"/>
      <c r="E621" s="296"/>
      <c r="F621" s="358" t="s">
        <v>2055</v>
      </c>
    </row>
    <row r="622" spans="1:6">
      <c r="A622" s="253" t="s">
        <v>2071</v>
      </c>
      <c r="B622" s="252" t="s">
        <v>2251</v>
      </c>
      <c r="C622" s="296" t="s">
        <v>6103</v>
      </c>
      <c r="D622" s="252"/>
      <c r="E622" s="296"/>
      <c r="F622" s="252"/>
    </row>
    <row r="623" spans="1:6">
      <c r="A623" s="252"/>
      <c r="B623" s="252"/>
      <c r="C623" s="296" t="s">
        <v>2072</v>
      </c>
      <c r="D623" s="252"/>
      <c r="E623" s="296"/>
      <c r="F623" s="252"/>
    </row>
    <row r="624" spans="1:6">
      <c r="A624" s="252"/>
      <c r="B624" s="252"/>
      <c r="C624" s="358" t="s">
        <v>1586</v>
      </c>
      <c r="D624" s="252"/>
      <c r="E624" s="296"/>
      <c r="F624" s="252"/>
    </row>
    <row r="625" spans="1:6">
      <c r="A625" s="252">
        <v>9</v>
      </c>
      <c r="B625" s="252" t="s">
        <v>869</v>
      </c>
      <c r="C625" s="296" t="s">
        <v>1810</v>
      </c>
      <c r="D625" s="252">
        <f>Data!I225</f>
        <v>927.46</v>
      </c>
      <c r="E625" s="296" t="s">
        <v>869</v>
      </c>
      <c r="F625" s="252">
        <f>(A625*D625)</f>
        <v>8347.14</v>
      </c>
    </row>
    <row r="626" spans="1:6">
      <c r="A626" s="252">
        <v>4.5</v>
      </c>
      <c r="B626" s="252" t="s">
        <v>869</v>
      </c>
      <c r="C626" s="296" t="s">
        <v>1632</v>
      </c>
      <c r="D626" s="252">
        <f>Data!I226</f>
        <v>2667.66</v>
      </c>
      <c r="E626" s="296" t="s">
        <v>869</v>
      </c>
      <c r="F626" s="252">
        <f>(A626*D626)</f>
        <v>12004.47</v>
      </c>
    </row>
    <row r="627" spans="1:6">
      <c r="A627" s="252">
        <v>1.8</v>
      </c>
      <c r="B627" s="252" t="s">
        <v>868</v>
      </c>
      <c r="C627" s="296" t="s">
        <v>1712</v>
      </c>
      <c r="D627" s="252">
        <f>Data!I227</f>
        <v>932</v>
      </c>
      <c r="E627" s="296" t="s">
        <v>868</v>
      </c>
      <c r="F627" s="252">
        <f>(A627*D627)</f>
        <v>1677.6</v>
      </c>
    </row>
    <row r="628" spans="1:6">
      <c r="A628" s="252">
        <v>17.7</v>
      </c>
      <c r="B628" s="252" t="s">
        <v>868</v>
      </c>
      <c r="C628" s="296" t="s">
        <v>1902</v>
      </c>
      <c r="D628" s="252">
        <f>Data!I228</f>
        <v>651</v>
      </c>
      <c r="E628" s="296" t="s">
        <v>868</v>
      </c>
      <c r="F628" s="252">
        <f>(A628*D628)</f>
        <v>11522.7</v>
      </c>
    </row>
    <row r="629" spans="1:6">
      <c r="A629" s="252">
        <v>14.1</v>
      </c>
      <c r="B629" s="252" t="s">
        <v>868</v>
      </c>
      <c r="C629" s="296" t="s">
        <v>320</v>
      </c>
      <c r="D629" s="252">
        <f>Data!I229</f>
        <v>534</v>
      </c>
      <c r="E629" s="296" t="s">
        <v>868</v>
      </c>
      <c r="F629" s="252">
        <f>(A629*D629)</f>
        <v>7529.4</v>
      </c>
    </row>
    <row r="630" spans="1:6">
      <c r="A630" s="252"/>
      <c r="B630" s="252" t="s">
        <v>449</v>
      </c>
      <c r="C630" s="296" t="s">
        <v>450</v>
      </c>
      <c r="D630" s="252"/>
      <c r="E630" s="296" t="s">
        <v>449</v>
      </c>
      <c r="F630" s="252">
        <v>0</v>
      </c>
    </row>
    <row r="631" spans="1:6">
      <c r="A631" s="252"/>
      <c r="B631" s="252"/>
      <c r="C631" s="252"/>
      <c r="D631" s="252"/>
      <c r="E631" s="296"/>
      <c r="F631" s="358" t="s">
        <v>1586</v>
      </c>
    </row>
    <row r="632" spans="1:6">
      <c r="A632" s="252"/>
      <c r="B632" s="252"/>
      <c r="C632" s="252"/>
      <c r="D632" s="252"/>
      <c r="E632" s="296"/>
      <c r="F632" s="252">
        <f>SUM(F625:F630)</f>
        <v>41081.31</v>
      </c>
    </row>
    <row r="633" spans="1:6">
      <c r="A633" s="252"/>
      <c r="B633" s="252"/>
      <c r="C633" s="296" t="s">
        <v>614</v>
      </c>
      <c r="D633" s="252"/>
      <c r="E633" s="296"/>
      <c r="F633" s="358" t="s">
        <v>1586</v>
      </c>
    </row>
    <row r="634" spans="1:6">
      <c r="A634" s="252"/>
      <c r="B634" s="252"/>
      <c r="C634" s="252"/>
      <c r="D634" s="252"/>
      <c r="E634" s="296"/>
      <c r="F634" s="274">
        <f>(F632/10)</f>
        <v>4108.13</v>
      </c>
    </row>
    <row r="635" spans="1:6">
      <c r="A635" s="252"/>
      <c r="B635" s="252"/>
      <c r="C635" s="255" t="s">
        <v>773</v>
      </c>
      <c r="D635" s="252"/>
      <c r="E635" s="296"/>
      <c r="F635" s="358" t="s">
        <v>2055</v>
      </c>
    </row>
    <row r="636" spans="1:6">
      <c r="A636" s="375">
        <v>6.5</v>
      </c>
      <c r="B636" s="252" t="s">
        <v>2251</v>
      </c>
      <c r="C636" s="296" t="s">
        <v>2812</v>
      </c>
      <c r="D636" s="252"/>
      <c r="E636" s="296"/>
      <c r="F636" s="252"/>
    </row>
    <row r="637" spans="1:6">
      <c r="A637" s="252"/>
      <c r="B637" s="252"/>
      <c r="C637" s="296" t="s">
        <v>2905</v>
      </c>
      <c r="D637" s="252"/>
      <c r="E637" s="296"/>
      <c r="F637" s="252"/>
    </row>
    <row r="638" spans="1:6">
      <c r="A638" s="252"/>
      <c r="B638" s="252"/>
      <c r="C638" s="358" t="s">
        <v>1586</v>
      </c>
      <c r="D638" s="252"/>
      <c r="E638" s="296"/>
      <c r="F638" s="252"/>
    </row>
    <row r="639" spans="1:6">
      <c r="A639" s="252">
        <v>4800</v>
      </c>
      <c r="B639" s="252" t="s">
        <v>1425</v>
      </c>
      <c r="C639" s="252" t="str">
        <f>C637</f>
        <v>Bricks of size 22x11x7 cm</v>
      </c>
      <c r="D639" s="252">
        <f>Data!I311</f>
        <v>5882.89</v>
      </c>
      <c r="E639" s="296" t="s">
        <v>1594</v>
      </c>
      <c r="F639" s="252">
        <f>(A639*D639)/1000</f>
        <v>28237.87</v>
      </c>
    </row>
    <row r="640" spans="1:6">
      <c r="A640" s="252">
        <v>2.5</v>
      </c>
      <c r="B640" s="252" t="s">
        <v>869</v>
      </c>
      <c r="C640" s="296" t="s">
        <v>1625</v>
      </c>
      <c r="D640" s="252">
        <f>Data!I312</f>
        <v>3319.98</v>
      </c>
      <c r="E640" s="296" t="s">
        <v>869</v>
      </c>
      <c r="F640" s="252">
        <f>(A640*D640)</f>
        <v>8299.9500000000007</v>
      </c>
    </row>
    <row r="641" spans="1:6">
      <c r="A641" s="252">
        <v>3.5</v>
      </c>
      <c r="B641" s="252" t="s">
        <v>868</v>
      </c>
      <c r="C641" s="296" t="s">
        <v>2009</v>
      </c>
      <c r="D641" s="252">
        <f>Data!I313</f>
        <v>999</v>
      </c>
      <c r="E641" s="296" t="s">
        <v>868</v>
      </c>
      <c r="F641" s="252">
        <f>(A641*D641)</f>
        <v>3496.5</v>
      </c>
    </row>
    <row r="642" spans="1:6">
      <c r="A642" s="252">
        <v>10.6</v>
      </c>
      <c r="B642" s="252" t="s">
        <v>868</v>
      </c>
      <c r="C642" s="296" t="s">
        <v>1712</v>
      </c>
      <c r="D642" s="252">
        <f>Data!I314</f>
        <v>932</v>
      </c>
      <c r="E642" s="296" t="s">
        <v>868</v>
      </c>
      <c r="F642" s="252">
        <f>(A642*D642)</f>
        <v>9879.2000000000007</v>
      </c>
    </row>
    <row r="643" spans="1:6">
      <c r="A643" s="252">
        <v>7.1</v>
      </c>
      <c r="B643" s="252" t="s">
        <v>868</v>
      </c>
      <c r="C643" s="296" t="s">
        <v>1902</v>
      </c>
      <c r="D643" s="252">
        <f>Data!I315</f>
        <v>651</v>
      </c>
      <c r="E643" s="296" t="s">
        <v>868</v>
      </c>
      <c r="F643" s="252">
        <f>(A643*D643)</f>
        <v>4622.1000000000004</v>
      </c>
    </row>
    <row r="644" spans="1:6">
      <c r="A644" s="252">
        <v>21.2</v>
      </c>
      <c r="B644" s="252" t="s">
        <v>868</v>
      </c>
      <c r="C644" s="296" t="s">
        <v>320</v>
      </c>
      <c r="D644" s="252">
        <f>Data!I316</f>
        <v>534</v>
      </c>
      <c r="E644" s="296" t="s">
        <v>868</v>
      </c>
      <c r="F644" s="252">
        <f>(A644*D644)</f>
        <v>11320.8</v>
      </c>
    </row>
    <row r="645" spans="1:6">
      <c r="A645" s="252"/>
      <c r="B645" s="252" t="s">
        <v>449</v>
      </c>
      <c r="C645" s="296" t="s">
        <v>450</v>
      </c>
      <c r="D645" s="252"/>
      <c r="E645" s="296" t="s">
        <v>449</v>
      </c>
      <c r="F645" s="252">
        <v>5</v>
      </c>
    </row>
    <row r="646" spans="1:6">
      <c r="A646" s="252"/>
      <c r="B646" s="252"/>
      <c r="C646" s="252"/>
      <c r="D646" s="252"/>
      <c r="E646" s="296"/>
      <c r="F646" s="358" t="s">
        <v>1586</v>
      </c>
    </row>
    <row r="647" spans="1:6">
      <c r="A647" s="252"/>
      <c r="B647" s="252"/>
      <c r="C647" s="296" t="s">
        <v>614</v>
      </c>
      <c r="D647" s="252"/>
      <c r="E647" s="296"/>
      <c r="F647" s="252">
        <f>SUM(F639:F645)</f>
        <v>65861.42</v>
      </c>
    </row>
    <row r="648" spans="1:6">
      <c r="A648" s="252"/>
      <c r="B648" s="252"/>
      <c r="C648" s="252"/>
      <c r="D648" s="252"/>
      <c r="E648" s="296"/>
      <c r="F648" s="358" t="s">
        <v>1586</v>
      </c>
    </row>
    <row r="649" spans="1:6">
      <c r="A649" s="252"/>
      <c r="B649" s="252"/>
      <c r="C649" s="255" t="s">
        <v>773</v>
      </c>
      <c r="D649" s="252"/>
      <c r="E649" s="296"/>
      <c r="F649" s="274">
        <f>(F647/10)</f>
        <v>6586.14</v>
      </c>
    </row>
    <row r="650" spans="1:6">
      <c r="A650" s="252"/>
      <c r="B650" s="252"/>
      <c r="C650" s="252"/>
      <c r="D650" s="252"/>
      <c r="E650" s="296"/>
      <c r="F650" s="358" t="s">
        <v>2055</v>
      </c>
    </row>
    <row r="651" spans="1:6">
      <c r="A651" s="252"/>
      <c r="B651" s="252"/>
      <c r="C651" s="253" t="s">
        <v>1833</v>
      </c>
      <c r="D651" s="252"/>
      <c r="E651" s="296"/>
      <c r="F651" s="252"/>
    </row>
    <row r="652" spans="1:6">
      <c r="A652" s="252"/>
      <c r="B652" s="252"/>
      <c r="C652" s="358" t="s">
        <v>1586</v>
      </c>
      <c r="D652" s="252"/>
      <c r="E652" s="296"/>
      <c r="F652" s="252"/>
    </row>
    <row r="653" spans="1:6">
      <c r="A653" s="369">
        <v>10</v>
      </c>
      <c r="B653" s="252" t="s">
        <v>2251</v>
      </c>
      <c r="C653" s="296" t="s">
        <v>2758</v>
      </c>
      <c r="D653" s="252"/>
      <c r="E653" s="296"/>
      <c r="F653" s="252"/>
    </row>
    <row r="654" spans="1:6">
      <c r="A654" s="252"/>
      <c r="B654" s="252"/>
      <c r="C654" s="252" t="str">
        <f>C586</f>
        <v>ANTI-CORROSIVE(COROLOK-CP ( qtn)</v>
      </c>
      <c r="D654" s="252"/>
      <c r="E654" s="296"/>
      <c r="F654" s="252"/>
    </row>
    <row r="655" spans="1:6">
      <c r="A655" s="252"/>
      <c r="B655" s="252"/>
      <c r="C655" s="358" t="s">
        <v>1586</v>
      </c>
      <c r="D655" s="252"/>
      <c r="E655" s="296"/>
      <c r="F655" s="252"/>
    </row>
    <row r="656" spans="1:6">
      <c r="A656" s="252">
        <f>[7]Data!F379</f>
        <v>4800</v>
      </c>
      <c r="B656" s="252" t="s">
        <v>1425</v>
      </c>
      <c r="C656" s="252" t="str">
        <f>C586</f>
        <v>ANTI-CORROSIVE(COROLOK-CP ( qtn)</v>
      </c>
      <c r="D656" s="252">
        <f>Data!I379</f>
        <v>5882.89</v>
      </c>
      <c r="E656" s="296" t="s">
        <v>1594</v>
      </c>
      <c r="F656" s="252">
        <f>(A656*D656)/1000</f>
        <v>28237.87</v>
      </c>
    </row>
    <row r="657" spans="1:6">
      <c r="A657" s="252">
        <v>1.59</v>
      </c>
      <c r="B657" s="252" t="s">
        <v>869</v>
      </c>
      <c r="C657" s="296" t="s">
        <v>1307</v>
      </c>
      <c r="D657" s="252">
        <f>Data!I380</f>
        <v>3754.86</v>
      </c>
      <c r="E657" s="296" t="s">
        <v>869</v>
      </c>
      <c r="F657" s="252">
        <f>(A657*D657)</f>
        <v>5970.23</v>
      </c>
    </row>
    <row r="658" spans="1:6">
      <c r="A658" s="252">
        <v>7</v>
      </c>
      <c r="B658" s="252" t="s">
        <v>868</v>
      </c>
      <c r="C658" s="296" t="s">
        <v>2009</v>
      </c>
      <c r="D658" s="252">
        <f>Data!I381</f>
        <v>999</v>
      </c>
      <c r="E658" s="296" t="s">
        <v>868</v>
      </c>
      <c r="F658" s="252">
        <f>(A658*D658)</f>
        <v>6993</v>
      </c>
    </row>
    <row r="659" spans="1:6">
      <c r="A659" s="252">
        <v>7.1</v>
      </c>
      <c r="B659" s="252" t="s">
        <v>868</v>
      </c>
      <c r="C659" s="296" t="s">
        <v>1712</v>
      </c>
      <c r="D659" s="252">
        <f>Data!I382</f>
        <v>932</v>
      </c>
      <c r="E659" s="296" t="s">
        <v>868</v>
      </c>
      <c r="F659" s="252">
        <f>(A659*D659)</f>
        <v>6617.2</v>
      </c>
    </row>
    <row r="660" spans="1:6">
      <c r="A660" s="252">
        <v>7.1</v>
      </c>
      <c r="B660" s="252" t="s">
        <v>868</v>
      </c>
      <c r="C660" s="296" t="s">
        <v>1902</v>
      </c>
      <c r="D660" s="252">
        <f>Data!I383</f>
        <v>651</v>
      </c>
      <c r="E660" s="296" t="s">
        <v>868</v>
      </c>
      <c r="F660" s="252">
        <f>(A660*D660)</f>
        <v>4622.1000000000004</v>
      </c>
    </row>
    <row r="661" spans="1:6">
      <c r="A661" s="252">
        <v>21.2</v>
      </c>
      <c r="B661" s="252" t="s">
        <v>868</v>
      </c>
      <c r="C661" s="296" t="s">
        <v>320</v>
      </c>
      <c r="D661" s="252">
        <f>Data!I384</f>
        <v>534</v>
      </c>
      <c r="E661" s="296" t="s">
        <v>868</v>
      </c>
      <c r="F661" s="252">
        <f>(A661*D661)</f>
        <v>11320.8</v>
      </c>
    </row>
    <row r="662" spans="1:6">
      <c r="A662" s="252"/>
      <c r="B662" s="252" t="s">
        <v>449</v>
      </c>
      <c r="C662" s="296" t="s">
        <v>450</v>
      </c>
      <c r="D662" s="252" t="str">
        <f>Data!I385</f>
        <v/>
      </c>
      <c r="E662" s="296" t="s">
        <v>449</v>
      </c>
      <c r="F662" s="252">
        <v>0</v>
      </c>
    </row>
    <row r="663" spans="1:6">
      <c r="A663" s="252"/>
      <c r="B663" s="252"/>
      <c r="C663" s="252"/>
      <c r="D663" s="252"/>
      <c r="E663" s="296"/>
      <c r="F663" s="358" t="s">
        <v>1586</v>
      </c>
    </row>
    <row r="664" spans="1:6">
      <c r="A664" s="252"/>
      <c r="B664" s="252"/>
      <c r="C664" s="296" t="s">
        <v>614</v>
      </c>
      <c r="D664" s="252"/>
      <c r="E664" s="296"/>
      <c r="F664" s="252">
        <f>SUM(F656:F662)</f>
        <v>63761.2</v>
      </c>
    </row>
    <row r="665" spans="1:6">
      <c r="A665" s="252"/>
      <c r="B665" s="252"/>
      <c r="C665" s="252"/>
      <c r="D665" s="252"/>
      <c r="E665" s="296"/>
      <c r="F665" s="358" t="s">
        <v>1586</v>
      </c>
    </row>
    <row r="666" spans="1:6">
      <c r="A666" s="252"/>
      <c r="B666" s="252"/>
      <c r="C666" s="296" t="s">
        <v>773</v>
      </c>
      <c r="D666" s="252"/>
      <c r="E666" s="296"/>
      <c r="F666" s="252">
        <f>(F664/10)</f>
        <v>6376.12</v>
      </c>
    </row>
    <row r="667" spans="1:6">
      <c r="A667" s="252"/>
      <c r="B667" s="252"/>
      <c r="C667" s="252"/>
      <c r="D667" s="252"/>
      <c r="E667" s="296"/>
      <c r="F667" s="358" t="s">
        <v>2055</v>
      </c>
    </row>
    <row r="668" spans="1:6">
      <c r="A668" s="252"/>
      <c r="B668" s="252"/>
      <c r="C668" s="252"/>
      <c r="D668" s="252"/>
      <c r="E668" s="296"/>
      <c r="F668" s="252"/>
    </row>
    <row r="669" spans="1:6">
      <c r="A669" s="252"/>
      <c r="B669" s="252" t="s">
        <v>675</v>
      </c>
      <c r="C669" s="296" t="s">
        <v>2908</v>
      </c>
      <c r="D669" s="252"/>
      <c r="E669" s="296"/>
      <c r="F669" s="252"/>
    </row>
    <row r="670" spans="1:6">
      <c r="A670" s="252"/>
      <c r="B670" s="252"/>
      <c r="C670" s="358" t="s">
        <v>1586</v>
      </c>
      <c r="D670" s="252"/>
      <c r="E670" s="296"/>
      <c r="F670" s="252"/>
    </row>
    <row r="671" spans="1:6">
      <c r="A671" s="252">
        <v>1.1000000000000001</v>
      </c>
      <c r="B671" s="252" t="s">
        <v>869</v>
      </c>
      <c r="C671" s="296" t="s">
        <v>1119</v>
      </c>
      <c r="D671" s="252">
        <f>(F666)</f>
        <v>6376.12</v>
      </c>
      <c r="E671" s="296" t="s">
        <v>869</v>
      </c>
      <c r="F671" s="252">
        <f>(A671*D671)</f>
        <v>7013.73</v>
      </c>
    </row>
    <row r="672" spans="1:6">
      <c r="A672" s="252">
        <v>1</v>
      </c>
      <c r="B672" s="252" t="s">
        <v>769</v>
      </c>
      <c r="C672" s="296" t="s">
        <v>2009</v>
      </c>
      <c r="D672" s="252">
        <f>Data!I395</f>
        <v>999</v>
      </c>
      <c r="E672" s="296" t="s">
        <v>868</v>
      </c>
      <c r="F672" s="252">
        <f>(A672*D672)</f>
        <v>999</v>
      </c>
    </row>
    <row r="673" spans="1:6">
      <c r="A673" s="252"/>
      <c r="B673" s="252" t="s">
        <v>449</v>
      </c>
      <c r="C673" s="296" t="s">
        <v>450</v>
      </c>
      <c r="D673" s="296" t="s">
        <v>975</v>
      </c>
      <c r="E673" s="296" t="s">
        <v>449</v>
      </c>
      <c r="F673" s="252">
        <v>0</v>
      </c>
    </row>
    <row r="674" spans="1:6">
      <c r="A674" s="252"/>
      <c r="B674" s="252"/>
      <c r="C674" s="252"/>
      <c r="D674" s="252"/>
      <c r="E674" s="296"/>
      <c r="F674" s="358" t="s">
        <v>1586</v>
      </c>
    </row>
    <row r="675" spans="1:6">
      <c r="A675" s="252"/>
      <c r="B675" s="252"/>
      <c r="C675" s="296" t="s">
        <v>441</v>
      </c>
      <c r="D675" s="252"/>
      <c r="E675" s="296"/>
      <c r="F675" s="252">
        <f>SUM(F671:F673)</f>
        <v>8012.73</v>
      </c>
    </row>
    <row r="676" spans="1:6">
      <c r="A676" s="252"/>
      <c r="B676" s="252"/>
      <c r="C676" s="252"/>
      <c r="D676" s="252"/>
      <c r="E676" s="296"/>
      <c r="F676" s="358" t="s">
        <v>1586</v>
      </c>
    </row>
    <row r="677" spans="1:6">
      <c r="A677" s="252"/>
      <c r="B677" s="252"/>
      <c r="C677" s="296" t="s">
        <v>552</v>
      </c>
      <c r="D677" s="252"/>
      <c r="E677" s="296"/>
      <c r="F677" s="274">
        <f>(F675/10)</f>
        <v>801.27</v>
      </c>
    </row>
    <row r="678" spans="1:6">
      <c r="A678" s="252"/>
      <c r="B678" s="252"/>
      <c r="C678" s="252"/>
      <c r="D678" s="252"/>
      <c r="E678" s="296"/>
      <c r="F678" s="358" t="s">
        <v>2055</v>
      </c>
    </row>
    <row r="679" spans="1:6">
      <c r="A679" s="253" t="s">
        <v>225</v>
      </c>
      <c r="B679" s="252" t="s">
        <v>2251</v>
      </c>
      <c r="C679" s="296" t="s">
        <v>1922</v>
      </c>
      <c r="D679" s="252"/>
      <c r="E679" s="296"/>
      <c r="F679" s="252"/>
    </row>
    <row r="680" spans="1:6">
      <c r="A680" s="252"/>
      <c r="B680" s="252"/>
      <c r="C680" s="296" t="s">
        <v>933</v>
      </c>
      <c r="D680" s="252"/>
      <c r="E680" s="296"/>
      <c r="F680" s="252"/>
    </row>
    <row r="681" spans="1:6">
      <c r="A681" s="252"/>
      <c r="B681" s="252"/>
      <c r="C681" s="358" t="s">
        <v>1586</v>
      </c>
      <c r="D681" s="252"/>
      <c r="E681" s="296"/>
      <c r="F681" s="252"/>
    </row>
    <row r="682" spans="1:6">
      <c r="A682" s="252">
        <v>0.22</v>
      </c>
      <c r="B682" s="252" t="s">
        <v>869</v>
      </c>
      <c r="C682" s="296" t="s">
        <v>1307</v>
      </c>
      <c r="D682" s="252">
        <f>Data!I1200</f>
        <v>3754.86</v>
      </c>
      <c r="E682" s="296" t="s">
        <v>869</v>
      </c>
      <c r="F682" s="252">
        <f>(A682*D682)</f>
        <v>826.07</v>
      </c>
    </row>
    <row r="683" spans="1:6">
      <c r="A683" s="252">
        <v>2.2000000000000002</v>
      </c>
      <c r="B683" s="252" t="s">
        <v>769</v>
      </c>
      <c r="C683" s="296" t="s">
        <v>2009</v>
      </c>
      <c r="D683" s="252">
        <f>Data!I1201</f>
        <v>999</v>
      </c>
      <c r="E683" s="296" t="s">
        <v>769</v>
      </c>
      <c r="F683" s="252">
        <f>(A683*D683)</f>
        <v>2197.8000000000002</v>
      </c>
    </row>
    <row r="684" spans="1:6">
      <c r="A684" s="252">
        <v>0.5</v>
      </c>
      <c r="B684" s="252" t="s">
        <v>769</v>
      </c>
      <c r="C684" s="296" t="s">
        <v>934</v>
      </c>
      <c r="D684" s="252">
        <f>Data!I1202</f>
        <v>651</v>
      </c>
      <c r="E684" s="296" t="s">
        <v>769</v>
      </c>
      <c r="F684" s="252">
        <f>(A684*D684)</f>
        <v>325.5</v>
      </c>
    </row>
    <row r="685" spans="1:6">
      <c r="A685" s="252">
        <v>3.2</v>
      </c>
      <c r="B685" s="252" t="s">
        <v>769</v>
      </c>
      <c r="C685" s="296" t="s">
        <v>320</v>
      </c>
      <c r="D685" s="252">
        <f>Data!I1203</f>
        <v>534</v>
      </c>
      <c r="E685" s="296" t="s">
        <v>769</v>
      </c>
      <c r="F685" s="252">
        <f>(A685*D685)</f>
        <v>1708.8</v>
      </c>
    </row>
    <row r="686" spans="1:6">
      <c r="A686" s="252"/>
      <c r="B686" s="252" t="s">
        <v>449</v>
      </c>
      <c r="C686" s="296" t="s">
        <v>450</v>
      </c>
      <c r="D686" s="252">
        <f>Data!I1204</f>
        <v>0</v>
      </c>
      <c r="E686" s="296" t="s">
        <v>449</v>
      </c>
      <c r="F686" s="252">
        <v>5</v>
      </c>
    </row>
    <row r="687" spans="1:6">
      <c r="A687" s="252"/>
      <c r="B687" s="252"/>
      <c r="C687" s="252"/>
      <c r="D687" s="252"/>
      <c r="E687" s="296"/>
      <c r="F687" s="358" t="s">
        <v>1586</v>
      </c>
    </row>
    <row r="688" spans="1:6">
      <c r="A688" s="252"/>
      <c r="B688" s="252"/>
      <c r="C688" s="296" t="s">
        <v>441</v>
      </c>
      <c r="D688" s="252"/>
      <c r="E688" s="296"/>
      <c r="F688" s="252">
        <f>SUM(F682:F686)</f>
        <v>5063.17</v>
      </c>
    </row>
    <row r="689" spans="1:6">
      <c r="A689" s="252" t="s">
        <v>975</v>
      </c>
      <c r="B689" s="252"/>
      <c r="C689" s="252"/>
      <c r="D689" s="252"/>
      <c r="E689" s="296"/>
      <c r="F689" s="358" t="s">
        <v>1586</v>
      </c>
    </row>
    <row r="690" spans="1:6">
      <c r="A690" s="252"/>
      <c r="B690" s="252"/>
      <c r="C690" s="255" t="s">
        <v>552</v>
      </c>
      <c r="D690" s="252"/>
      <c r="E690" s="296"/>
      <c r="F690" s="274">
        <f>(F688/10)</f>
        <v>506.32</v>
      </c>
    </row>
    <row r="691" spans="1:6">
      <c r="A691" s="252"/>
      <c r="B691" s="252"/>
      <c r="C691" s="252"/>
      <c r="D691" s="252"/>
      <c r="E691" s="296"/>
      <c r="F691" s="358" t="s">
        <v>2055</v>
      </c>
    </row>
    <row r="692" spans="1:6">
      <c r="A692" s="253" t="s">
        <v>5</v>
      </c>
      <c r="B692" s="252" t="s">
        <v>2251</v>
      </c>
      <c r="C692" s="296" t="s">
        <v>6</v>
      </c>
      <c r="D692" s="252"/>
      <c r="E692" s="296"/>
      <c r="F692" s="252"/>
    </row>
    <row r="693" spans="1:6">
      <c r="A693" s="252"/>
      <c r="B693" s="252"/>
      <c r="C693" s="358" t="s">
        <v>1586</v>
      </c>
      <c r="D693" s="252"/>
      <c r="E693" s="296"/>
      <c r="F693" s="252"/>
    </row>
    <row r="694" spans="1:6">
      <c r="A694" s="252">
        <v>0.14000000000000001</v>
      </c>
      <c r="B694" s="252" t="s">
        <v>869</v>
      </c>
      <c r="C694" s="296" t="s">
        <v>1307</v>
      </c>
      <c r="D694" s="252">
        <f>Data!I1405</f>
        <v>3754.86</v>
      </c>
      <c r="E694" s="296" t="s">
        <v>869</v>
      </c>
      <c r="F694" s="252">
        <f>(A694*D694)</f>
        <v>525.67999999999995</v>
      </c>
    </row>
    <row r="695" spans="1:6">
      <c r="A695" s="252">
        <v>1.1000000000000001</v>
      </c>
      <c r="B695" s="252" t="s">
        <v>868</v>
      </c>
      <c r="C695" s="296" t="s">
        <v>2009</v>
      </c>
      <c r="D695" s="252">
        <f>Data!I1406</f>
        <v>999</v>
      </c>
      <c r="E695" s="296" t="s">
        <v>868</v>
      </c>
      <c r="F695" s="252">
        <f>(A695*D695)</f>
        <v>1098.9000000000001</v>
      </c>
    </row>
    <row r="696" spans="1:6">
      <c r="A696" s="252">
        <v>0.5</v>
      </c>
      <c r="B696" s="252" t="s">
        <v>868</v>
      </c>
      <c r="C696" s="296" t="s">
        <v>1902</v>
      </c>
      <c r="D696" s="252">
        <f>Data!I1407</f>
        <v>651</v>
      </c>
      <c r="E696" s="296" t="s">
        <v>868</v>
      </c>
      <c r="F696" s="252">
        <f>(A696*D696)</f>
        <v>325.5</v>
      </c>
    </row>
    <row r="697" spans="1:6">
      <c r="A697" s="252">
        <v>1.1000000000000001</v>
      </c>
      <c r="B697" s="252" t="s">
        <v>868</v>
      </c>
      <c r="C697" s="296" t="s">
        <v>320</v>
      </c>
      <c r="D697" s="252">
        <f>Data!I1408</f>
        <v>534</v>
      </c>
      <c r="E697" s="296" t="s">
        <v>868</v>
      </c>
      <c r="F697" s="252">
        <f>(A697*D697)</f>
        <v>587.4</v>
      </c>
    </row>
    <row r="698" spans="1:6">
      <c r="A698" s="252"/>
      <c r="B698" s="252" t="s">
        <v>449</v>
      </c>
      <c r="C698" s="296" t="s">
        <v>450</v>
      </c>
      <c r="D698" s="252" t="str">
        <f>Data!I1409</f>
        <v/>
      </c>
      <c r="E698" s="296" t="s">
        <v>449</v>
      </c>
      <c r="F698" s="252">
        <v>5</v>
      </c>
    </row>
    <row r="699" spans="1:6">
      <c r="A699" s="252"/>
      <c r="B699" s="252"/>
      <c r="C699" s="296"/>
      <c r="D699" s="296"/>
      <c r="E699" s="296"/>
      <c r="F699" s="252"/>
    </row>
    <row r="700" spans="1:6">
      <c r="A700" s="252"/>
      <c r="B700" s="252"/>
      <c r="C700" s="252"/>
      <c r="D700" s="252"/>
      <c r="E700" s="296"/>
      <c r="F700" s="358" t="s">
        <v>1586</v>
      </c>
    </row>
    <row r="701" spans="1:6">
      <c r="A701" s="252"/>
      <c r="B701" s="252"/>
      <c r="C701" s="296" t="s">
        <v>441</v>
      </c>
      <c r="D701" s="252"/>
      <c r="E701" s="296"/>
      <c r="F701" s="252">
        <f>SUM(F694:F698)</f>
        <v>2542.48</v>
      </c>
    </row>
    <row r="702" spans="1:6">
      <c r="A702" s="252"/>
      <c r="B702" s="252"/>
      <c r="C702" s="252"/>
      <c r="D702" s="252"/>
      <c r="E702" s="296"/>
      <c r="F702" s="358" t="s">
        <v>1586</v>
      </c>
    </row>
    <row r="703" spans="1:6">
      <c r="A703" s="252"/>
      <c r="B703" s="252"/>
      <c r="C703" s="255" t="s">
        <v>552</v>
      </c>
      <c r="D703" s="252"/>
      <c r="E703" s="296"/>
      <c r="F703" s="274">
        <f>(F701/10)</f>
        <v>254.25</v>
      </c>
    </row>
    <row r="704" spans="1:6">
      <c r="A704" s="252"/>
      <c r="B704" s="252"/>
      <c r="C704" s="252"/>
      <c r="D704" s="252"/>
      <c r="E704" s="296"/>
      <c r="F704" s="358" t="s">
        <v>2055</v>
      </c>
    </row>
    <row r="705" spans="1:6">
      <c r="A705" s="252"/>
      <c r="B705" s="296" t="s">
        <v>2251</v>
      </c>
      <c r="C705" s="276" t="s">
        <v>3824</v>
      </c>
      <c r="D705" s="252"/>
      <c r="E705" s="252"/>
      <c r="F705" s="252"/>
    </row>
    <row r="706" spans="1:6">
      <c r="A706" s="252"/>
      <c r="B706" s="252"/>
      <c r="C706" s="276" t="s">
        <v>3825</v>
      </c>
      <c r="D706" s="252"/>
      <c r="E706" s="252"/>
      <c r="F706" s="252"/>
    </row>
    <row r="707" spans="1:6">
      <c r="A707" s="252"/>
      <c r="B707" s="252"/>
      <c r="C707" s="276" t="s">
        <v>153</v>
      </c>
      <c r="D707" s="252"/>
      <c r="E707" s="252"/>
      <c r="F707" s="252"/>
    </row>
    <row r="708" spans="1:6">
      <c r="A708" s="252"/>
      <c r="B708" s="252"/>
      <c r="C708" s="358" t="s">
        <v>1586</v>
      </c>
      <c r="D708" s="252"/>
      <c r="E708" s="252"/>
      <c r="F708" s="252"/>
    </row>
    <row r="709" spans="1:6">
      <c r="A709" s="252"/>
      <c r="B709" s="296" t="s">
        <v>154</v>
      </c>
      <c r="C709" s="620" t="s">
        <v>3826</v>
      </c>
      <c r="D709" s="252"/>
      <c r="E709" s="252"/>
      <c r="F709" s="252"/>
    </row>
    <row r="710" spans="1:6">
      <c r="A710" s="252"/>
      <c r="B710" s="252"/>
      <c r="C710" s="358" t="s">
        <v>1586</v>
      </c>
      <c r="D710" s="252"/>
      <c r="E710" s="252"/>
      <c r="F710" s="252"/>
    </row>
    <row r="711" spans="1:6">
      <c r="A711" s="252">
        <v>18.899999999999999</v>
      </c>
      <c r="B711" s="296" t="s">
        <v>869</v>
      </c>
      <c r="C711" s="296" t="s">
        <v>617</v>
      </c>
      <c r="D711" s="252">
        <f>Data!I3660</f>
        <v>224.1</v>
      </c>
      <c r="E711" s="296" t="s">
        <v>869</v>
      </c>
      <c r="F711" s="252">
        <f>(A711*D711)</f>
        <v>4235.49</v>
      </c>
    </row>
    <row r="712" spans="1:6">
      <c r="A712" s="252">
        <v>18.63</v>
      </c>
      <c r="B712" s="296" t="s">
        <v>869</v>
      </c>
      <c r="C712" s="296" t="s">
        <v>2157</v>
      </c>
      <c r="D712" s="252">
        <f>Data!I3661</f>
        <v>38.950000000000003</v>
      </c>
      <c r="E712" s="296" t="s">
        <v>869</v>
      </c>
      <c r="F712" s="252">
        <f>(A712*D712)</f>
        <v>725.64</v>
      </c>
    </row>
    <row r="713" spans="1:6" ht="31.5">
      <c r="A713" s="252">
        <v>30</v>
      </c>
      <c r="B713" s="296" t="s">
        <v>1771</v>
      </c>
      <c r="C713" s="275" t="s">
        <v>5979</v>
      </c>
      <c r="D713" s="252">
        <f>Data!I3662</f>
        <v>288</v>
      </c>
      <c r="E713" s="296" t="s">
        <v>1771</v>
      </c>
      <c r="F713" s="252">
        <f>(A713*D713)</f>
        <v>8640</v>
      </c>
    </row>
    <row r="714" spans="1:6">
      <c r="A714" s="252"/>
      <c r="B714" s="252"/>
      <c r="C714" s="252"/>
      <c r="D714" s="252">
        <f>Data!I3663</f>
        <v>0</v>
      </c>
      <c r="E714" s="252"/>
      <c r="F714" s="252"/>
    </row>
    <row r="715" spans="1:6">
      <c r="A715" s="252">
        <v>30</v>
      </c>
      <c r="B715" s="296" t="s">
        <v>1771</v>
      </c>
      <c r="C715" s="296" t="s">
        <v>2158</v>
      </c>
      <c r="D715" s="252">
        <f>Data!I3664</f>
        <v>19.100000000000001</v>
      </c>
      <c r="E715" s="296" t="s">
        <v>1771</v>
      </c>
      <c r="F715" s="252">
        <f>(A715*D715)</f>
        <v>573</v>
      </c>
    </row>
    <row r="716" spans="1:6">
      <c r="A716" s="252"/>
      <c r="B716" s="252"/>
      <c r="C716" s="296" t="s">
        <v>2159</v>
      </c>
      <c r="D716" s="252">
        <f>Data!I3665</f>
        <v>0</v>
      </c>
      <c r="E716" s="252"/>
      <c r="F716" s="252"/>
    </row>
    <row r="717" spans="1:6">
      <c r="A717" s="252"/>
      <c r="B717" s="252"/>
      <c r="C717" s="296" t="s">
        <v>2160</v>
      </c>
      <c r="D717" s="252">
        <f>Data!I3666</f>
        <v>0</v>
      </c>
      <c r="E717" s="252"/>
      <c r="F717" s="252"/>
    </row>
    <row r="718" spans="1:6">
      <c r="A718" s="252"/>
      <c r="B718" s="252"/>
      <c r="C718" s="296" t="s">
        <v>2161</v>
      </c>
      <c r="D718" s="252">
        <f>Data!I3667</f>
        <v>0</v>
      </c>
      <c r="E718" s="252"/>
      <c r="F718" s="252"/>
    </row>
    <row r="719" spans="1:6">
      <c r="A719" s="252"/>
      <c r="B719" s="252"/>
      <c r="C719" s="296" t="s">
        <v>5980</v>
      </c>
      <c r="D719" s="252">
        <f>Data!I3668</f>
        <v>0</v>
      </c>
      <c r="E719" s="252"/>
      <c r="F719" s="252"/>
    </row>
    <row r="720" spans="1:6">
      <c r="A720" s="252"/>
      <c r="B720" s="252"/>
      <c r="C720" s="296"/>
      <c r="D720" s="252">
        <f>Data!I3669</f>
        <v>0</v>
      </c>
      <c r="E720" s="252"/>
      <c r="F720" s="252"/>
    </row>
    <row r="721" spans="1:6">
      <c r="A721" s="252">
        <v>5</v>
      </c>
      <c r="B721" s="296" t="s">
        <v>769</v>
      </c>
      <c r="C721" s="389" t="s">
        <v>5473</v>
      </c>
      <c r="D721" s="252">
        <f>Data!I3670</f>
        <v>44.9</v>
      </c>
      <c r="E721" s="296" t="s">
        <v>769</v>
      </c>
      <c r="F721" s="252">
        <f>(A721*D721)</f>
        <v>224.5</v>
      </c>
    </row>
    <row r="722" spans="1:6">
      <c r="A722" s="252">
        <v>1</v>
      </c>
      <c r="B722" s="296" t="s">
        <v>449</v>
      </c>
      <c r="C722" s="296" t="s">
        <v>1684</v>
      </c>
      <c r="D722" s="252">
        <f>Data!I3671</f>
        <v>12.1</v>
      </c>
      <c r="E722" s="296" t="s">
        <v>449</v>
      </c>
      <c r="F722" s="252">
        <f>(A722*D722)</f>
        <v>12.1</v>
      </c>
    </row>
    <row r="723" spans="1:6">
      <c r="A723" s="252"/>
      <c r="B723" s="296" t="s">
        <v>449</v>
      </c>
      <c r="C723" s="296" t="s">
        <v>450</v>
      </c>
      <c r="D723" s="252"/>
      <c r="E723" s="296" t="s">
        <v>449</v>
      </c>
      <c r="F723" s="252">
        <v>17.100000000000001</v>
      </c>
    </row>
    <row r="724" spans="1:6">
      <c r="A724" s="252"/>
      <c r="B724" s="252"/>
      <c r="C724" s="252"/>
      <c r="D724" s="252"/>
      <c r="E724" s="252"/>
      <c r="F724" s="252"/>
    </row>
    <row r="725" spans="1:6">
      <c r="A725" s="252"/>
      <c r="B725" s="252"/>
      <c r="C725" s="252"/>
      <c r="D725" s="252"/>
      <c r="E725" s="252"/>
      <c r="F725" s="358" t="s">
        <v>1586</v>
      </c>
    </row>
    <row r="726" spans="1:6">
      <c r="A726" s="252"/>
      <c r="B726" s="252"/>
      <c r="C726" s="296" t="s">
        <v>1544</v>
      </c>
      <c r="D726" s="252"/>
      <c r="E726" s="252"/>
      <c r="F726" s="252">
        <f>SUM(F711:F723)</f>
        <v>14427.83</v>
      </c>
    </row>
    <row r="727" spans="1:6">
      <c r="A727" s="252"/>
      <c r="B727" s="252"/>
      <c r="C727" s="252"/>
      <c r="D727" s="252"/>
      <c r="E727" s="252"/>
      <c r="F727" s="358" t="s">
        <v>1586</v>
      </c>
    </row>
    <row r="728" spans="1:6">
      <c r="A728" s="252"/>
      <c r="B728" s="252"/>
      <c r="C728" s="296" t="s">
        <v>1545</v>
      </c>
      <c r="D728" s="252"/>
      <c r="E728" s="252"/>
      <c r="F728" s="274">
        <f>(F726/30)</f>
        <v>480.93</v>
      </c>
    </row>
    <row r="729" spans="1:6">
      <c r="A729" s="252"/>
      <c r="B729" s="252"/>
      <c r="C729" s="252"/>
      <c r="D729" s="252"/>
      <c r="E729" s="252"/>
      <c r="F729" s="358" t="s">
        <v>1586</v>
      </c>
    </row>
    <row r="730" spans="1:6">
      <c r="A730" s="253" t="s">
        <v>384</v>
      </c>
      <c r="B730" s="252" t="s">
        <v>2251</v>
      </c>
      <c r="C730" s="296" t="s">
        <v>385</v>
      </c>
      <c r="D730" s="252"/>
      <c r="E730" s="296"/>
      <c r="F730" s="252"/>
    </row>
    <row r="731" spans="1:6">
      <c r="A731" s="252"/>
      <c r="B731" s="252"/>
      <c r="C731" s="296" t="s">
        <v>6097</v>
      </c>
      <c r="D731" s="252"/>
      <c r="E731" s="296"/>
      <c r="F731" s="252"/>
    </row>
    <row r="732" spans="1:6">
      <c r="A732" s="252"/>
      <c r="B732" s="252"/>
      <c r="C732" s="358" t="s">
        <v>1586</v>
      </c>
      <c r="D732" s="252"/>
      <c r="E732" s="296"/>
      <c r="F732" s="252"/>
    </row>
    <row r="733" spans="1:6">
      <c r="A733" s="252">
        <v>1</v>
      </c>
      <c r="B733" s="252" t="s">
        <v>869</v>
      </c>
      <c r="C733" s="296" t="s">
        <v>379</v>
      </c>
      <c r="D733" s="252">
        <f>Data!I140</f>
        <v>1464.46</v>
      </c>
      <c r="E733" s="296" t="s">
        <v>869</v>
      </c>
      <c r="F733" s="252">
        <f>(A733*D733)</f>
        <v>1464.46</v>
      </c>
    </row>
    <row r="734" spans="1:6">
      <c r="A734" s="252">
        <v>1</v>
      </c>
      <c r="B734" s="252" t="s">
        <v>869</v>
      </c>
      <c r="C734" s="296" t="s">
        <v>1354</v>
      </c>
      <c r="D734" s="252">
        <f>Data!I141</f>
        <v>34.200000000000003</v>
      </c>
      <c r="E734" s="296" t="s">
        <v>869</v>
      </c>
      <c r="F734" s="252">
        <f>(A734*D734)</f>
        <v>34.200000000000003</v>
      </c>
    </row>
    <row r="735" spans="1:6">
      <c r="A735" s="252"/>
      <c r="B735" s="252" t="s">
        <v>449</v>
      </c>
      <c r="C735" s="296" t="s">
        <v>450</v>
      </c>
      <c r="D735" s="252" t="str">
        <f>Data!I142</f>
        <v/>
      </c>
      <c r="E735" s="296" t="s">
        <v>449</v>
      </c>
      <c r="F735" s="252">
        <v>0</v>
      </c>
    </row>
    <row r="736" spans="1:6">
      <c r="A736" s="252"/>
      <c r="B736" s="252"/>
      <c r="C736" s="252"/>
      <c r="D736" s="252"/>
      <c r="E736" s="296"/>
      <c r="F736" s="358" t="s">
        <v>1586</v>
      </c>
    </row>
    <row r="737" spans="1:6">
      <c r="A737" s="252"/>
      <c r="B737" s="252"/>
      <c r="C737" s="296" t="s">
        <v>193</v>
      </c>
      <c r="D737" s="252"/>
      <c r="E737" s="296"/>
      <c r="F737" s="274">
        <f>SUM(F731:F735)</f>
        <v>1498.66</v>
      </c>
    </row>
    <row r="738" spans="1:6">
      <c r="A738" s="252"/>
      <c r="B738" s="252"/>
      <c r="C738" s="252"/>
      <c r="D738" s="252"/>
      <c r="E738" s="296"/>
      <c r="F738" s="358" t="s">
        <v>1586</v>
      </c>
    </row>
    <row r="739" spans="1:6">
      <c r="A739" s="253" t="s">
        <v>384</v>
      </c>
      <c r="B739" s="252" t="s">
        <v>2251</v>
      </c>
      <c r="C739" s="296" t="s">
        <v>385</v>
      </c>
      <c r="D739" s="252"/>
      <c r="E739" s="296"/>
      <c r="F739" s="252"/>
    </row>
    <row r="740" spans="1:6">
      <c r="A740" s="252"/>
      <c r="B740" s="252"/>
      <c r="C740" s="296" t="s">
        <v>6098</v>
      </c>
      <c r="D740" s="252"/>
      <c r="E740" s="296"/>
      <c r="F740" s="252"/>
    </row>
    <row r="741" spans="1:6">
      <c r="A741" s="252"/>
      <c r="B741" s="252"/>
      <c r="C741" s="358" t="s">
        <v>1586</v>
      </c>
      <c r="D741" s="252"/>
      <c r="E741" s="296"/>
      <c r="F741" s="252"/>
    </row>
    <row r="742" spans="1:6">
      <c r="A742" s="252">
        <v>1</v>
      </c>
      <c r="B742" s="252" t="s">
        <v>869</v>
      </c>
      <c r="C742" s="296" t="s">
        <v>1921</v>
      </c>
      <c r="D742" s="252">
        <f>Data!P140</f>
        <v>222.7</v>
      </c>
      <c r="E742" s="296" t="s">
        <v>869</v>
      </c>
      <c r="F742" s="252">
        <f>(A742*D742)</f>
        <v>222.7</v>
      </c>
    </row>
    <row r="743" spans="1:6">
      <c r="A743" s="252">
        <v>1</v>
      </c>
      <c r="B743" s="252" t="s">
        <v>869</v>
      </c>
      <c r="C743" s="296" t="s">
        <v>1354</v>
      </c>
      <c r="D743" s="252">
        <f>Data!P141</f>
        <v>38.950000000000003</v>
      </c>
      <c r="E743" s="296" t="s">
        <v>869</v>
      </c>
      <c r="F743" s="252">
        <f>(A743*D743)</f>
        <v>38.950000000000003</v>
      </c>
    </row>
    <row r="744" spans="1:6">
      <c r="A744" s="252"/>
      <c r="B744" s="252" t="s">
        <v>449</v>
      </c>
      <c r="C744" s="296" t="s">
        <v>450</v>
      </c>
      <c r="D744" s="252" t="str">
        <f>Data!P142</f>
        <v/>
      </c>
      <c r="E744" s="296" t="s">
        <v>449</v>
      </c>
      <c r="F744" s="252">
        <v>0</v>
      </c>
    </row>
    <row r="745" spans="1:6">
      <c r="A745" s="252"/>
      <c r="B745" s="252"/>
      <c r="C745" s="252"/>
      <c r="D745" s="252"/>
      <c r="E745" s="296"/>
      <c r="F745" s="358" t="s">
        <v>1586</v>
      </c>
    </row>
    <row r="746" spans="1:6">
      <c r="A746" s="252"/>
      <c r="B746" s="252"/>
      <c r="C746" s="296" t="s">
        <v>1516</v>
      </c>
      <c r="D746" s="252"/>
      <c r="E746" s="296"/>
      <c r="F746" s="274">
        <f>SUM(F742:F744)</f>
        <v>261.64999999999998</v>
      </c>
    </row>
    <row r="747" spans="1:6">
      <c r="A747" s="252"/>
      <c r="B747" s="252"/>
      <c r="C747" s="296" t="s">
        <v>2027</v>
      </c>
      <c r="D747" s="252"/>
      <c r="E747" s="296"/>
      <c r="F747" s="358" t="s">
        <v>1586</v>
      </c>
    </row>
    <row r="748" spans="1:6" ht="31.5">
      <c r="A748" s="252"/>
      <c r="B748" s="252"/>
      <c r="C748" s="275" t="s">
        <v>2026</v>
      </c>
      <c r="D748" s="252"/>
      <c r="E748" s="296"/>
      <c r="F748" s="252"/>
    </row>
    <row r="749" spans="1:6">
      <c r="A749" s="252"/>
      <c r="B749" s="252"/>
      <c r="C749" s="252"/>
      <c r="D749" s="252"/>
      <c r="E749" s="296"/>
      <c r="F749" s="252"/>
    </row>
    <row r="750" spans="1:6">
      <c r="A750" s="252" t="s">
        <v>2027</v>
      </c>
      <c r="B750" s="252"/>
      <c r="C750" s="252" t="s">
        <v>2028</v>
      </c>
      <c r="D750" s="252"/>
      <c r="E750" s="296"/>
      <c r="F750" s="252"/>
    </row>
    <row r="751" spans="1:6">
      <c r="A751" s="252"/>
      <c r="B751" s="252"/>
      <c r="C751" s="252" t="s">
        <v>352</v>
      </c>
      <c r="D751" s="252"/>
      <c r="E751" s="296"/>
      <c r="F751" s="252"/>
    </row>
    <row r="752" spans="1:6">
      <c r="A752" s="252"/>
      <c r="B752" s="252"/>
      <c r="C752" s="252"/>
      <c r="D752" s="252"/>
      <c r="E752" s="296"/>
      <c r="F752" s="252"/>
    </row>
    <row r="753" spans="1:6">
      <c r="A753" s="252">
        <v>1.96</v>
      </c>
      <c r="B753" s="252" t="s">
        <v>2151</v>
      </c>
      <c r="C753" s="252" t="s">
        <v>353</v>
      </c>
      <c r="D753" s="252">
        <f>Data!I2383</f>
        <v>5605.48</v>
      </c>
      <c r="E753" s="296" t="s">
        <v>869</v>
      </c>
      <c r="F753" s="252">
        <f t="shared" ref="F753:F758" si="6">(A753*D753)</f>
        <v>10986.74</v>
      </c>
    </row>
    <row r="754" spans="1:6">
      <c r="A754" s="252">
        <v>2</v>
      </c>
      <c r="B754" s="252" t="s">
        <v>1394</v>
      </c>
      <c r="C754" s="252" t="s">
        <v>354</v>
      </c>
      <c r="D754" s="252">
        <f>Data!I2384</f>
        <v>999</v>
      </c>
      <c r="E754" s="296" t="s">
        <v>868</v>
      </c>
      <c r="F754" s="252">
        <f t="shared" si="6"/>
        <v>1998</v>
      </c>
    </row>
    <row r="755" spans="1:6">
      <c r="A755" s="252">
        <v>2</v>
      </c>
      <c r="B755" s="252" t="s">
        <v>1394</v>
      </c>
      <c r="C755" s="252" t="s">
        <v>355</v>
      </c>
      <c r="D755" s="252">
        <f>Data!I2385</f>
        <v>534</v>
      </c>
      <c r="E755" s="296" t="s">
        <v>868</v>
      </c>
      <c r="F755" s="252">
        <f t="shared" si="6"/>
        <v>1068</v>
      </c>
    </row>
    <row r="756" spans="1:6">
      <c r="A756" s="252">
        <v>0.28000000000000003</v>
      </c>
      <c r="B756" s="252" t="s">
        <v>2283</v>
      </c>
      <c r="C756" s="252" t="s">
        <v>356</v>
      </c>
      <c r="D756" s="252">
        <f>Data!I2386</f>
        <v>848.08</v>
      </c>
      <c r="E756" s="296" t="s">
        <v>868</v>
      </c>
      <c r="F756" s="252">
        <f t="shared" si="6"/>
        <v>237.46</v>
      </c>
    </row>
    <row r="757" spans="1:6">
      <c r="A757" s="252">
        <v>500</v>
      </c>
      <c r="B757" s="252" t="s">
        <v>1394</v>
      </c>
      <c r="C757" s="389" t="s">
        <v>2146</v>
      </c>
      <c r="D757" s="252">
        <f>Data!I2387</f>
        <v>2</v>
      </c>
      <c r="E757" s="296" t="s">
        <v>868</v>
      </c>
      <c r="F757" s="252">
        <f t="shared" si="6"/>
        <v>1000</v>
      </c>
    </row>
    <row r="758" spans="1:6">
      <c r="A758" s="252">
        <v>8.5</v>
      </c>
      <c r="B758" s="252" t="s">
        <v>2147</v>
      </c>
      <c r="C758" s="252" t="s">
        <v>4232</v>
      </c>
      <c r="D758" s="252">
        <f>Data!I2388</f>
        <v>43.6</v>
      </c>
      <c r="E758" s="296" t="s">
        <v>2147</v>
      </c>
      <c r="F758" s="252">
        <f t="shared" si="6"/>
        <v>370.6</v>
      </c>
    </row>
    <row r="759" spans="1:6">
      <c r="A759" s="252"/>
      <c r="B759" s="252"/>
      <c r="C759" s="252" t="s">
        <v>2271</v>
      </c>
      <c r="D759" s="252"/>
      <c r="E759" s="296"/>
      <c r="F759" s="407">
        <v>1.96</v>
      </c>
    </row>
    <row r="760" spans="1:6">
      <c r="A760" s="252"/>
      <c r="B760" s="252"/>
      <c r="C760" s="252"/>
      <c r="D760" s="252" t="s">
        <v>1729</v>
      </c>
      <c r="E760" s="296"/>
      <c r="F760" s="252">
        <f>SUM(F753:F759)</f>
        <v>15662.76</v>
      </c>
    </row>
    <row r="761" spans="1:6">
      <c r="A761" s="252"/>
      <c r="B761" s="252"/>
      <c r="C761" s="252"/>
      <c r="D761" s="252"/>
      <c r="E761" s="296"/>
      <c r="F761" s="358" t="s">
        <v>1586</v>
      </c>
    </row>
    <row r="762" spans="1:6">
      <c r="A762" s="252"/>
      <c r="B762" s="252"/>
      <c r="C762" s="252"/>
      <c r="D762" s="252" t="s">
        <v>1730</v>
      </c>
      <c r="E762" s="296"/>
      <c r="F762" s="274">
        <f>F760/39.2</f>
        <v>399.56</v>
      </c>
    </row>
    <row r="763" spans="1:6">
      <c r="A763" s="252"/>
      <c r="B763" s="252"/>
      <c r="C763" s="252"/>
      <c r="D763" s="252"/>
      <c r="E763" s="296"/>
      <c r="F763" s="358" t="s">
        <v>2055</v>
      </c>
    </row>
    <row r="764" spans="1:6">
      <c r="A764" s="252"/>
      <c r="B764" s="252"/>
      <c r="C764" s="1087" t="s">
        <v>1166</v>
      </c>
      <c r="D764" s="1088"/>
      <c r="E764" s="1088"/>
      <c r="F764" s="252"/>
    </row>
    <row r="765" spans="1:6">
      <c r="A765" s="252">
        <v>0.47</v>
      </c>
      <c r="B765" s="252" t="s">
        <v>2151</v>
      </c>
      <c r="C765" s="252" t="s">
        <v>357</v>
      </c>
      <c r="D765" s="252">
        <f>Data!P2344</f>
        <v>224.1</v>
      </c>
      <c r="E765" s="296" t="s">
        <v>1398</v>
      </c>
      <c r="F765" s="252">
        <f>D765*A765</f>
        <v>105.33</v>
      </c>
    </row>
    <row r="766" spans="1:6">
      <c r="A766" s="252">
        <v>2</v>
      </c>
      <c r="B766" s="252"/>
      <c r="C766" s="252"/>
      <c r="D766" s="252">
        <f>Data!P2345</f>
        <v>0</v>
      </c>
      <c r="E766" s="252"/>
      <c r="F766" s="252">
        <f>D766*A766</f>
        <v>0</v>
      </c>
    </row>
    <row r="767" spans="1:6">
      <c r="A767" s="252">
        <v>0.24</v>
      </c>
      <c r="B767" s="252" t="s">
        <v>2151</v>
      </c>
      <c r="C767" s="252" t="s">
        <v>1167</v>
      </c>
      <c r="D767" s="252">
        <f>Data!P2346</f>
        <v>1265.98</v>
      </c>
      <c r="E767" s="296" t="s">
        <v>1398</v>
      </c>
      <c r="F767" s="252">
        <f>D767*A767</f>
        <v>303.83999999999997</v>
      </c>
    </row>
    <row r="768" spans="1:6" ht="31.5">
      <c r="A768" s="252">
        <v>0.79</v>
      </c>
      <c r="B768" s="296" t="s">
        <v>2283</v>
      </c>
      <c r="C768" s="430" t="s">
        <v>5342</v>
      </c>
      <c r="D768" s="252">
        <f>Data!P2347</f>
        <v>1641.32</v>
      </c>
      <c r="E768" s="296" t="s">
        <v>449</v>
      </c>
      <c r="F768" s="252">
        <f>D768*A768</f>
        <v>1296.6400000000001</v>
      </c>
    </row>
    <row r="769" spans="1:6">
      <c r="A769" s="252">
        <v>0.24</v>
      </c>
      <c r="B769" s="252" t="s">
        <v>2151</v>
      </c>
      <c r="C769" s="252" t="s">
        <v>912</v>
      </c>
      <c r="D769" s="252">
        <f>Data!P2348</f>
        <v>1464.46</v>
      </c>
      <c r="E769" s="296"/>
      <c r="F769" s="252">
        <f>D769*A769</f>
        <v>351.47</v>
      </c>
    </row>
    <row r="770" spans="1:6">
      <c r="A770" s="252"/>
      <c r="B770" s="252"/>
      <c r="C770" s="252" t="s">
        <v>2271</v>
      </c>
      <c r="D770" s="252"/>
      <c r="E770" s="296"/>
      <c r="F770" s="252" t="s">
        <v>1309</v>
      </c>
    </row>
    <row r="771" spans="1:6">
      <c r="A771" s="252"/>
      <c r="B771" s="252"/>
      <c r="C771" s="252"/>
      <c r="D771" s="252"/>
      <c r="E771" s="252"/>
      <c r="F771" s="274">
        <f>SUM(F765:F769)</f>
        <v>2057.2800000000002</v>
      </c>
    </row>
    <row r="772" spans="1:6">
      <c r="A772" s="253" t="s">
        <v>397</v>
      </c>
      <c r="B772" s="252" t="s">
        <v>2251</v>
      </c>
      <c r="C772" s="296" t="s">
        <v>1133</v>
      </c>
      <c r="D772" s="252"/>
      <c r="E772" s="296"/>
      <c r="F772" s="252"/>
    </row>
    <row r="773" spans="1:6">
      <c r="A773" s="252"/>
      <c r="B773" s="252"/>
      <c r="C773" s="296" t="s">
        <v>294</v>
      </c>
      <c r="D773" s="252"/>
      <c r="E773" s="296"/>
      <c r="F773" s="252"/>
    </row>
    <row r="774" spans="1:6">
      <c r="A774" s="252"/>
      <c r="B774" s="252"/>
      <c r="C774" s="358" t="s">
        <v>1586</v>
      </c>
      <c r="D774" s="252"/>
      <c r="E774" s="296"/>
      <c r="F774" s="252"/>
    </row>
    <row r="775" spans="1:6">
      <c r="A775" s="252">
        <v>1</v>
      </c>
      <c r="B775" s="252" t="s">
        <v>868</v>
      </c>
      <c r="C775" s="296" t="s">
        <v>294</v>
      </c>
      <c r="D775" s="252">
        <f>Data!I2104</f>
        <v>170.35</v>
      </c>
      <c r="E775" s="296" t="s">
        <v>868</v>
      </c>
      <c r="F775" s="252">
        <f>(A775*D775)</f>
        <v>170.35</v>
      </c>
    </row>
    <row r="776" spans="1:6">
      <c r="A776" s="252">
        <v>0.05</v>
      </c>
      <c r="B776" s="252" t="s">
        <v>869</v>
      </c>
      <c r="C776" s="296" t="s">
        <v>1175</v>
      </c>
      <c r="D776" s="252">
        <f>Data!I2105</f>
        <v>4035.23</v>
      </c>
      <c r="E776" s="296" t="s">
        <v>869</v>
      </c>
      <c r="F776" s="252">
        <f>(A776*D776)</f>
        <v>201.76</v>
      </c>
    </row>
    <row r="777" spans="1:6">
      <c r="A777" s="252">
        <v>0.5</v>
      </c>
      <c r="B777" s="252" t="s">
        <v>868</v>
      </c>
      <c r="C777" s="296" t="s">
        <v>2103</v>
      </c>
      <c r="D777" s="252">
        <f>Data!I2106</f>
        <v>866</v>
      </c>
      <c r="E777" s="296" t="s">
        <v>868</v>
      </c>
      <c r="F777" s="252">
        <f>(A777*D777)</f>
        <v>433</v>
      </c>
    </row>
    <row r="778" spans="1:6">
      <c r="A778" s="252">
        <v>1</v>
      </c>
      <c r="B778" s="252" t="s">
        <v>868</v>
      </c>
      <c r="C778" s="296" t="s">
        <v>1902</v>
      </c>
      <c r="D778" s="252">
        <f>Data!I2107</f>
        <v>651</v>
      </c>
      <c r="E778" s="296" t="s">
        <v>868</v>
      </c>
      <c r="F778" s="252">
        <f>(A778*D778)</f>
        <v>651</v>
      </c>
    </row>
    <row r="779" spans="1:6">
      <c r="A779" s="252">
        <v>1</v>
      </c>
      <c r="B779" s="252" t="s">
        <v>868</v>
      </c>
      <c r="C779" s="296" t="s">
        <v>320</v>
      </c>
      <c r="D779" s="252">
        <f>Data!I2108</f>
        <v>534</v>
      </c>
      <c r="E779" s="296" t="s">
        <v>868</v>
      </c>
      <c r="F779" s="252">
        <f>(A779*D779)</f>
        <v>534</v>
      </c>
    </row>
    <row r="780" spans="1:6">
      <c r="A780" s="252"/>
      <c r="B780" s="252" t="s">
        <v>449</v>
      </c>
      <c r="C780" s="296" t="s">
        <v>450</v>
      </c>
      <c r="D780" s="252" t="str">
        <f>Data!I2109</f>
        <v/>
      </c>
      <c r="E780" s="296" t="s">
        <v>449</v>
      </c>
      <c r="F780" s="252">
        <v>0.54</v>
      </c>
    </row>
    <row r="781" spans="1:6">
      <c r="A781" s="252"/>
      <c r="B781" s="252"/>
      <c r="C781" s="296" t="s">
        <v>975</v>
      </c>
      <c r="D781" s="252"/>
      <c r="E781" s="296"/>
      <c r="F781" s="358" t="s">
        <v>1586</v>
      </c>
    </row>
    <row r="782" spans="1:6">
      <c r="A782" s="252"/>
      <c r="B782" s="252"/>
      <c r="C782" s="296" t="s">
        <v>1751</v>
      </c>
      <c r="D782" s="252"/>
      <c r="E782" s="296"/>
      <c r="F782" s="274">
        <f>SUM(F775:F780)</f>
        <v>1990.65</v>
      </c>
    </row>
    <row r="783" spans="1:6">
      <c r="A783" s="252"/>
      <c r="B783" s="252"/>
      <c r="C783" s="252"/>
      <c r="D783" s="252"/>
      <c r="E783" s="296"/>
      <c r="F783" s="358" t="s">
        <v>2055</v>
      </c>
    </row>
    <row r="784" spans="1:6" ht="141.75">
      <c r="A784" s="261"/>
      <c r="B784" s="261"/>
      <c r="C784" s="260" t="s">
        <v>2900</v>
      </c>
      <c r="D784" s="261"/>
      <c r="E784" s="261"/>
      <c r="F784" s="261"/>
    </row>
    <row r="785" spans="1:6">
      <c r="A785" s="261"/>
      <c r="B785" s="261"/>
      <c r="C785" s="261"/>
      <c r="D785" s="261"/>
      <c r="E785" s="261"/>
      <c r="F785" s="261"/>
    </row>
    <row r="786" spans="1:6" ht="31.5">
      <c r="A786" s="261">
        <v>360</v>
      </c>
      <c r="B786" s="261" t="s">
        <v>826</v>
      </c>
      <c r="C786" s="260" t="s">
        <v>3900</v>
      </c>
      <c r="D786" s="261">
        <f>Elec.Data!I701</f>
        <v>40.950000000000003</v>
      </c>
      <c r="E786" s="261" t="s">
        <v>826</v>
      </c>
      <c r="F786" s="261">
        <f>A786*D786</f>
        <v>14742</v>
      </c>
    </row>
    <row r="787" spans="1:6">
      <c r="A787" s="261">
        <v>4</v>
      </c>
      <c r="B787" s="261" t="s">
        <v>1645</v>
      </c>
      <c r="C787" s="261" t="s">
        <v>3324</v>
      </c>
      <c r="D787" s="261">
        <f>Elec.Data!I702</f>
        <v>101.5</v>
      </c>
      <c r="E787" s="261" t="s">
        <v>1645</v>
      </c>
      <c r="F787" s="261">
        <f>A787*D787</f>
        <v>406</v>
      </c>
    </row>
    <row r="788" spans="1:6">
      <c r="A788" s="261">
        <v>360</v>
      </c>
      <c r="B788" s="261" t="s">
        <v>1398</v>
      </c>
      <c r="C788" s="261" t="s">
        <v>2701</v>
      </c>
      <c r="D788" s="261">
        <f>Elec.Data!I703</f>
        <v>0.55000000000000004</v>
      </c>
      <c r="E788" s="261" t="s">
        <v>1398</v>
      </c>
      <c r="F788" s="261">
        <f>A788*D788</f>
        <v>198</v>
      </c>
    </row>
    <row r="789" spans="1:6">
      <c r="A789" s="261">
        <v>1.5</v>
      </c>
      <c r="B789" s="261" t="s">
        <v>1645</v>
      </c>
      <c r="C789" s="261" t="s">
        <v>2702</v>
      </c>
      <c r="D789" s="261">
        <f>Elec.Data!I704</f>
        <v>101.5</v>
      </c>
      <c r="E789" s="261" t="s">
        <v>1645</v>
      </c>
      <c r="F789" s="261">
        <f>A789*D789</f>
        <v>152.25</v>
      </c>
    </row>
    <row r="790" spans="1:6">
      <c r="A790" s="261"/>
      <c r="B790" s="261"/>
      <c r="C790" s="261" t="s">
        <v>4650</v>
      </c>
      <c r="D790" s="261"/>
      <c r="E790" s="261"/>
      <c r="F790" s="261">
        <f>Elec.Data!K705</f>
        <v>9256.5</v>
      </c>
    </row>
    <row r="791" spans="1:6">
      <c r="A791" s="261"/>
      <c r="B791" s="261"/>
      <c r="C791" s="261" t="s">
        <v>2703</v>
      </c>
      <c r="D791" s="261"/>
      <c r="E791" s="261"/>
      <c r="F791" s="261">
        <v>22.25</v>
      </c>
    </row>
    <row r="792" spans="1:6">
      <c r="A792" s="261"/>
      <c r="B792" s="261"/>
      <c r="C792" s="269" t="s">
        <v>2704</v>
      </c>
      <c r="D792" s="261"/>
      <c r="E792" s="261"/>
      <c r="F792" s="261">
        <f>SUM(F786:F791)</f>
        <v>24777</v>
      </c>
    </row>
    <row r="793" spans="1:6">
      <c r="A793" s="261"/>
      <c r="B793" s="261"/>
      <c r="C793" s="271" t="s">
        <v>2394</v>
      </c>
      <c r="D793" s="261"/>
      <c r="E793" s="261"/>
      <c r="F793" s="272">
        <f>F792/90</f>
        <v>275.3</v>
      </c>
    </row>
    <row r="794" spans="1:6" ht="189">
      <c r="A794" s="261"/>
      <c r="B794" s="261"/>
      <c r="C794" s="260" t="s">
        <v>2529</v>
      </c>
      <c r="D794" s="261"/>
      <c r="E794" s="261"/>
      <c r="F794" s="261"/>
    </row>
    <row r="795" spans="1:6">
      <c r="A795" s="261"/>
      <c r="B795" s="261"/>
      <c r="C795" s="261"/>
      <c r="D795" s="261"/>
      <c r="E795" s="261"/>
      <c r="F795" s="261"/>
    </row>
    <row r="796" spans="1:6" ht="31.5">
      <c r="A796" s="261">
        <v>5</v>
      </c>
      <c r="B796" s="261" t="s">
        <v>826</v>
      </c>
      <c r="C796" s="262" t="s">
        <v>2538</v>
      </c>
      <c r="D796" s="261">
        <f>Elec.Data!I141</f>
        <v>16.55</v>
      </c>
      <c r="E796" s="261" t="s">
        <v>2365</v>
      </c>
      <c r="F796" s="261">
        <f>A796*D796</f>
        <v>82.75</v>
      </c>
    </row>
    <row r="797" spans="1:6" ht="31.5">
      <c r="A797" s="261">
        <v>2.5</v>
      </c>
      <c r="B797" s="261" t="s">
        <v>826</v>
      </c>
      <c r="C797" s="260" t="s">
        <v>2364</v>
      </c>
      <c r="D797" s="261">
        <f>Elec.Data!I142</f>
        <v>20</v>
      </c>
      <c r="E797" s="261" t="s">
        <v>826</v>
      </c>
      <c r="F797" s="261">
        <f>A797*D797</f>
        <v>50</v>
      </c>
    </row>
    <row r="798" spans="1:6">
      <c r="A798" s="261">
        <v>1</v>
      </c>
      <c r="B798" s="261" t="s">
        <v>1394</v>
      </c>
      <c r="C798" s="260" t="str">
        <f>C781</f>
        <v/>
      </c>
      <c r="D798" s="261">
        <f>Elec.Data!I143</f>
        <v>40.31</v>
      </c>
      <c r="E798" s="261" t="s">
        <v>1394</v>
      </c>
      <c r="F798" s="261">
        <f>A798*D798</f>
        <v>40.31</v>
      </c>
    </row>
    <row r="799" spans="1:6">
      <c r="A799" s="261"/>
      <c r="B799" s="261"/>
      <c r="C799" s="261" t="s">
        <v>915</v>
      </c>
      <c r="D799" s="261"/>
      <c r="E799" s="261"/>
      <c r="F799" s="261">
        <f>Elec.Data!K144</f>
        <v>670.83</v>
      </c>
    </row>
    <row r="800" spans="1:6">
      <c r="A800" s="261"/>
      <c r="B800" s="261"/>
      <c r="C800" s="261" t="s">
        <v>2271</v>
      </c>
      <c r="D800" s="261"/>
      <c r="E800" s="261"/>
      <c r="F800" s="261">
        <v>25.61</v>
      </c>
    </row>
    <row r="801" spans="1:6">
      <c r="A801" s="261"/>
      <c r="B801" s="261"/>
      <c r="C801" s="271" t="s">
        <v>3147</v>
      </c>
      <c r="D801" s="261"/>
      <c r="E801" s="261"/>
      <c r="F801" s="272">
        <f>SUM(F796:F800)</f>
        <v>869.5</v>
      </c>
    </row>
    <row r="802" spans="1:6">
      <c r="A802" s="261"/>
      <c r="B802" s="261"/>
      <c r="C802" s="261" t="s">
        <v>3110</v>
      </c>
      <c r="D802" s="261"/>
      <c r="E802" s="261"/>
      <c r="F802" s="261"/>
    </row>
    <row r="803" spans="1:6" ht="63">
      <c r="A803" s="261"/>
      <c r="B803" s="261"/>
      <c r="C803" s="260" t="s">
        <v>3441</v>
      </c>
      <c r="D803" s="261"/>
      <c r="E803" s="261"/>
      <c r="F803" s="261"/>
    </row>
    <row r="804" spans="1:6">
      <c r="A804" s="261"/>
      <c r="B804" s="261"/>
      <c r="C804" s="261"/>
      <c r="D804" s="261"/>
      <c r="E804" s="261"/>
      <c r="F804" s="261"/>
    </row>
    <row r="805" spans="1:6">
      <c r="A805" s="261">
        <v>9.5</v>
      </c>
      <c r="B805" s="261" t="s">
        <v>1645</v>
      </c>
      <c r="C805" s="261" t="s">
        <v>4614</v>
      </c>
      <c r="D805" s="261">
        <v>101.5</v>
      </c>
      <c r="E805" s="261" t="s">
        <v>1645</v>
      </c>
      <c r="F805" s="261">
        <f>A805*D805</f>
        <v>964.25</v>
      </c>
    </row>
    <row r="806" spans="1:6">
      <c r="A806" s="261">
        <v>0.5</v>
      </c>
      <c r="B806" s="261" t="s">
        <v>1645</v>
      </c>
      <c r="C806" s="261" t="s">
        <v>5982</v>
      </c>
      <c r="D806" s="261">
        <v>21.3</v>
      </c>
      <c r="E806" s="261"/>
      <c r="F806" s="261">
        <f>A806*D806</f>
        <v>10.65</v>
      </c>
    </row>
    <row r="807" spans="1:6">
      <c r="A807" s="261"/>
      <c r="B807" s="261"/>
      <c r="C807" s="261" t="s">
        <v>1822</v>
      </c>
      <c r="D807" s="261"/>
      <c r="E807" s="261"/>
      <c r="F807" s="261">
        <f>Elec.Data!K460</f>
        <v>1464</v>
      </c>
    </row>
    <row r="808" spans="1:6">
      <c r="A808" s="261"/>
      <c r="B808" s="261"/>
      <c r="C808" s="261" t="s">
        <v>2271</v>
      </c>
      <c r="D808" s="261"/>
      <c r="E808" s="261"/>
      <c r="F808" s="261">
        <v>3.2</v>
      </c>
    </row>
    <row r="809" spans="1:6">
      <c r="A809" s="261"/>
      <c r="B809" s="261"/>
      <c r="C809" s="269" t="s">
        <v>3360</v>
      </c>
      <c r="D809" s="261"/>
      <c r="E809" s="261"/>
      <c r="F809" s="270">
        <f>SUM(F805:F808)</f>
        <v>2442.1</v>
      </c>
    </row>
    <row r="810" spans="1:6">
      <c r="A810" s="261"/>
      <c r="B810" s="261"/>
      <c r="C810" s="271" t="s">
        <v>2749</v>
      </c>
      <c r="D810" s="261"/>
      <c r="E810" s="261"/>
      <c r="F810" s="272">
        <f>F809/90</f>
        <v>27.13</v>
      </c>
    </row>
    <row r="811" spans="1:6">
      <c r="A811" s="261"/>
      <c r="B811" s="261"/>
      <c r="C811" s="271"/>
      <c r="D811" s="261"/>
      <c r="E811" s="261"/>
      <c r="F811" s="272"/>
    </row>
    <row r="812" spans="1:6">
      <c r="A812" s="261"/>
      <c r="B812" s="261"/>
      <c r="C812" s="252" t="s">
        <v>5315</v>
      </c>
      <c r="D812" s="274">
        <v>3325</v>
      </c>
      <c r="E812" s="364" t="s">
        <v>609</v>
      </c>
      <c r="F812" s="272"/>
    </row>
    <row r="813" spans="1:6" ht="63">
      <c r="A813" s="261"/>
      <c r="B813" s="261"/>
      <c r="C813" s="260" t="s">
        <v>2647</v>
      </c>
      <c r="D813" s="261"/>
      <c r="E813" s="261"/>
      <c r="F813" s="261"/>
    </row>
    <row r="814" spans="1:6">
      <c r="A814" s="261">
        <v>2.5</v>
      </c>
      <c r="B814" s="261" t="s">
        <v>826</v>
      </c>
      <c r="C814" s="261" t="s">
        <v>5406</v>
      </c>
      <c r="D814" s="261">
        <f>Elec.Data!I475</f>
        <v>163</v>
      </c>
      <c r="E814" s="261" t="s">
        <v>826</v>
      </c>
      <c r="F814" s="261">
        <f>A814*D814</f>
        <v>407.5</v>
      </c>
    </row>
    <row r="815" spans="1:6">
      <c r="A815" s="261">
        <v>1</v>
      </c>
      <c r="B815" s="261" t="s">
        <v>826</v>
      </c>
      <c r="C815" s="261" t="s">
        <v>4615</v>
      </c>
      <c r="D815" s="261">
        <f>Elec.Data!I476</f>
        <v>98.6</v>
      </c>
      <c r="E815" s="261" t="s">
        <v>826</v>
      </c>
      <c r="F815" s="261">
        <f t="shared" ref="F815:F824" si="7">A815*D815</f>
        <v>98.6</v>
      </c>
    </row>
    <row r="816" spans="1:6">
      <c r="A816" s="261">
        <v>1</v>
      </c>
      <c r="B816" s="261" t="s">
        <v>826</v>
      </c>
      <c r="C816" s="261" t="s">
        <v>4616</v>
      </c>
      <c r="D816" s="261">
        <f>Elec.Data!I477</f>
        <v>69.8</v>
      </c>
      <c r="E816" s="261" t="s">
        <v>826</v>
      </c>
      <c r="F816" s="261">
        <f t="shared" si="7"/>
        <v>69.8</v>
      </c>
    </row>
    <row r="817" spans="1:6">
      <c r="A817" s="261">
        <v>1</v>
      </c>
      <c r="B817" s="261" t="s">
        <v>1394</v>
      </c>
      <c r="C817" s="261" t="s">
        <v>4617</v>
      </c>
      <c r="D817" s="261">
        <f>Elec.Data!I478</f>
        <v>52</v>
      </c>
      <c r="E817" s="261" t="s">
        <v>1394</v>
      </c>
      <c r="F817" s="261">
        <f t="shared" si="7"/>
        <v>52</v>
      </c>
    </row>
    <row r="818" spans="1:6">
      <c r="A818" s="261">
        <v>1</v>
      </c>
      <c r="B818" s="261" t="s">
        <v>282</v>
      </c>
      <c r="C818" s="261" t="s">
        <v>2651</v>
      </c>
      <c r="D818" s="261">
        <f>Elec.Data!I479</f>
        <v>24.1</v>
      </c>
      <c r="E818" s="261" t="s">
        <v>282</v>
      </c>
      <c r="F818" s="261">
        <f t="shared" si="7"/>
        <v>24.1</v>
      </c>
    </row>
    <row r="819" spans="1:6">
      <c r="A819" s="261">
        <v>1</v>
      </c>
      <c r="B819" s="261" t="s">
        <v>657</v>
      </c>
      <c r="C819" s="261" t="s">
        <v>4671</v>
      </c>
      <c r="D819" s="261">
        <f>Elec.Data!I480</f>
        <v>447</v>
      </c>
      <c r="E819" s="261" t="s">
        <v>657</v>
      </c>
      <c r="F819" s="261">
        <f t="shared" si="7"/>
        <v>447</v>
      </c>
    </row>
    <row r="820" spans="1:6">
      <c r="A820" s="261">
        <v>1</v>
      </c>
      <c r="B820" s="261" t="s">
        <v>1394</v>
      </c>
      <c r="C820" s="261" t="s">
        <v>2653</v>
      </c>
      <c r="D820" s="261">
        <f>Elec.Data!I481</f>
        <v>100</v>
      </c>
      <c r="E820" s="261" t="s">
        <v>1394</v>
      </c>
      <c r="F820" s="261">
        <f t="shared" si="7"/>
        <v>100</v>
      </c>
    </row>
    <row r="821" spans="1:6">
      <c r="A821" s="261">
        <v>40</v>
      </c>
      <c r="B821" s="261" t="s">
        <v>1645</v>
      </c>
      <c r="C821" s="261" t="s">
        <v>5984</v>
      </c>
      <c r="D821" s="261">
        <f>Elec.Data!I482</f>
        <v>5</v>
      </c>
      <c r="E821" s="261" t="s">
        <v>1645</v>
      </c>
      <c r="F821" s="261">
        <f t="shared" si="7"/>
        <v>200</v>
      </c>
    </row>
    <row r="822" spans="1:6">
      <c r="A822" s="261">
        <v>2</v>
      </c>
      <c r="B822" s="261" t="s">
        <v>1394</v>
      </c>
      <c r="C822" s="261" t="s">
        <v>4618</v>
      </c>
      <c r="D822" s="261">
        <f>Elec.Data!I483</f>
        <v>13.6</v>
      </c>
      <c r="E822" s="261" t="s">
        <v>1394</v>
      </c>
      <c r="F822" s="261">
        <f t="shared" si="7"/>
        <v>27.2</v>
      </c>
    </row>
    <row r="823" spans="1:6">
      <c r="A823" s="261">
        <v>4</v>
      </c>
      <c r="B823" s="261" t="s">
        <v>1394</v>
      </c>
      <c r="C823" s="261" t="s">
        <v>4619</v>
      </c>
      <c r="D823" s="261">
        <f>Elec.Data!I484</f>
        <v>13.6</v>
      </c>
      <c r="E823" s="261" t="s">
        <v>1394</v>
      </c>
      <c r="F823" s="261">
        <f t="shared" si="7"/>
        <v>54.4</v>
      </c>
    </row>
    <row r="824" spans="1:6">
      <c r="A824" s="261">
        <v>10</v>
      </c>
      <c r="B824" s="261" t="s">
        <v>1645</v>
      </c>
      <c r="C824" s="261" t="s">
        <v>5985</v>
      </c>
      <c r="D824" s="261">
        <f>Elec.Data!I485</f>
        <v>3.7</v>
      </c>
      <c r="E824" s="261" t="s">
        <v>1645</v>
      </c>
      <c r="F824" s="261">
        <f t="shared" si="7"/>
        <v>37</v>
      </c>
    </row>
    <row r="825" spans="1:6">
      <c r="A825" s="261"/>
      <c r="B825" s="261"/>
      <c r="C825" s="261" t="s">
        <v>2271</v>
      </c>
      <c r="D825" s="261"/>
      <c r="E825" s="261"/>
      <c r="F825" s="261">
        <v>10</v>
      </c>
    </row>
    <row r="826" spans="1:6">
      <c r="A826" s="261"/>
      <c r="B826" s="261"/>
      <c r="C826" s="261" t="s">
        <v>915</v>
      </c>
      <c r="D826" s="261"/>
      <c r="E826" s="261"/>
      <c r="F826" s="261">
        <f>Elec.Data!K487</f>
        <v>1470</v>
      </c>
    </row>
    <row r="827" spans="1:6">
      <c r="A827" s="261"/>
      <c r="B827" s="261"/>
      <c r="C827" s="271" t="s">
        <v>1062</v>
      </c>
      <c r="D827" s="261"/>
      <c r="E827" s="261"/>
      <c r="F827" s="272">
        <f>SUM(F814:F826)</f>
        <v>2997.6</v>
      </c>
    </row>
    <row r="828" spans="1:6">
      <c r="A828" s="261"/>
      <c r="B828" s="261"/>
      <c r="C828" s="272" t="s">
        <v>2496</v>
      </c>
      <c r="D828" s="261"/>
      <c r="E828" s="261"/>
      <c r="F828" s="261"/>
    </row>
    <row r="829" spans="1:6">
      <c r="A829" s="261"/>
      <c r="B829" s="261"/>
      <c r="C829" s="261"/>
      <c r="D829" s="261"/>
      <c r="E829" s="261"/>
      <c r="F829" s="261"/>
    </row>
    <row r="830" spans="1:6">
      <c r="A830" s="261">
        <v>1</v>
      </c>
      <c r="B830" s="261" t="s">
        <v>1394</v>
      </c>
      <c r="C830" s="261" t="s">
        <v>4287</v>
      </c>
      <c r="D830" s="296">
        <f>Elec.Data!I633</f>
        <v>1876</v>
      </c>
      <c r="E830" s="261" t="s">
        <v>1394</v>
      </c>
      <c r="F830" s="261">
        <f>A830*D830</f>
        <v>1876</v>
      </c>
    </row>
    <row r="831" spans="1:6">
      <c r="A831" s="261">
        <v>3</v>
      </c>
      <c r="B831" s="261" t="s">
        <v>1394</v>
      </c>
      <c r="C831" s="261" t="s">
        <v>4286</v>
      </c>
      <c r="D831" s="296">
        <f>Elec.Data!I634</f>
        <v>128</v>
      </c>
      <c r="E831" s="261" t="s">
        <v>1394</v>
      </c>
      <c r="F831" s="261">
        <f>A831*D831</f>
        <v>384</v>
      </c>
    </row>
    <row r="832" spans="1:6">
      <c r="A832" s="261"/>
      <c r="B832" s="261"/>
      <c r="C832" s="261" t="s">
        <v>2842</v>
      </c>
      <c r="D832" s="261"/>
      <c r="E832" s="261"/>
      <c r="F832" s="261">
        <f>Elec.Data!K635</f>
        <v>826.3</v>
      </c>
    </row>
    <row r="833" spans="1:6">
      <c r="A833" s="261"/>
      <c r="B833" s="261"/>
      <c r="C833" s="261" t="s">
        <v>2271</v>
      </c>
      <c r="D833" s="261"/>
      <c r="E833" s="261"/>
      <c r="F833" s="261">
        <f>5</f>
        <v>5</v>
      </c>
    </row>
    <row r="834" spans="1:6">
      <c r="A834" s="261"/>
      <c r="B834" s="261"/>
      <c r="C834" s="271" t="s">
        <v>2843</v>
      </c>
      <c r="D834" s="261"/>
      <c r="E834" s="261"/>
      <c r="F834" s="272">
        <f>SUM(F830:F833)</f>
        <v>3091.3</v>
      </c>
    </row>
    <row r="835" spans="1:6" ht="204.75">
      <c r="A835" s="261"/>
      <c r="B835" s="261"/>
      <c r="C835" s="260" t="s">
        <v>4657</v>
      </c>
      <c r="D835" s="261"/>
      <c r="E835" s="261"/>
      <c r="F835" s="261"/>
    </row>
    <row r="836" spans="1:6" ht="31.5">
      <c r="A836" s="261">
        <v>90</v>
      </c>
      <c r="B836" s="261" t="s">
        <v>826</v>
      </c>
      <c r="C836" s="268" t="s">
        <v>2538</v>
      </c>
      <c r="D836" s="261">
        <f>Elec.Data!I1063</f>
        <v>16.55</v>
      </c>
      <c r="E836" s="261" t="s">
        <v>2539</v>
      </c>
      <c r="F836" s="261">
        <f>A836*D836</f>
        <v>1489.5</v>
      </c>
    </row>
    <row r="837" spans="1:6" ht="31.5">
      <c r="A837" s="261">
        <v>30</v>
      </c>
      <c r="B837" s="261" t="s">
        <v>826</v>
      </c>
      <c r="C837" s="260" t="s">
        <v>2364</v>
      </c>
      <c r="D837" s="261">
        <f>Elec.Data!I1064</f>
        <v>20</v>
      </c>
      <c r="E837" s="261" t="s">
        <v>826</v>
      </c>
      <c r="F837" s="261">
        <f t="shared" ref="F837:F846" si="8">A837*D837</f>
        <v>600</v>
      </c>
    </row>
    <row r="838" spans="1:6">
      <c r="A838" s="261">
        <v>10</v>
      </c>
      <c r="B838" s="261" t="s">
        <v>1394</v>
      </c>
      <c r="C838" s="261" t="s">
        <v>2366</v>
      </c>
      <c r="D838" s="261">
        <f>Elec.Data!I1065</f>
        <v>3.15</v>
      </c>
      <c r="E838" s="261" t="s">
        <v>1394</v>
      </c>
      <c r="F838" s="261">
        <f t="shared" si="8"/>
        <v>31.5</v>
      </c>
    </row>
    <row r="839" spans="1:6">
      <c r="A839" s="261">
        <v>5</v>
      </c>
      <c r="B839" s="261" t="s">
        <v>1394</v>
      </c>
      <c r="C839" s="261" t="s">
        <v>3375</v>
      </c>
      <c r="D839" s="261">
        <f>Elec.Data!I1066</f>
        <v>1.34</v>
      </c>
      <c r="E839" s="261" t="s">
        <v>1394</v>
      </c>
      <c r="F839" s="261">
        <f t="shared" si="8"/>
        <v>6.7</v>
      </c>
    </row>
    <row r="840" spans="1:6">
      <c r="A840" s="261">
        <v>10</v>
      </c>
      <c r="B840" s="261" t="s">
        <v>1394</v>
      </c>
      <c r="C840" s="261" t="s">
        <v>2443</v>
      </c>
      <c r="D840" s="261">
        <f>Elec.Data!I1067</f>
        <v>20.11</v>
      </c>
      <c r="E840" s="261" t="s">
        <v>1394</v>
      </c>
      <c r="F840" s="261">
        <f t="shared" si="8"/>
        <v>201.1</v>
      </c>
    </row>
    <row r="841" spans="1:6">
      <c r="A841" s="261">
        <v>5</v>
      </c>
      <c r="B841" s="261" t="s">
        <v>1394</v>
      </c>
      <c r="C841" s="261" t="s">
        <v>4661</v>
      </c>
      <c r="D841" s="261">
        <f>Elec.Data!I1068</f>
        <v>5.58</v>
      </c>
      <c r="E841" s="261" t="s">
        <v>1398</v>
      </c>
      <c r="F841" s="261">
        <f t="shared" si="8"/>
        <v>27.9</v>
      </c>
    </row>
    <row r="842" spans="1:6">
      <c r="A842" s="261">
        <v>5</v>
      </c>
      <c r="B842" s="261" t="s">
        <v>1394</v>
      </c>
      <c r="C842" s="261" t="s">
        <v>2628</v>
      </c>
      <c r="D842" s="261">
        <f>Elec.Data!I1069</f>
        <v>13.8</v>
      </c>
      <c r="E842" s="261" t="s">
        <v>1394</v>
      </c>
      <c r="F842" s="261">
        <f t="shared" si="8"/>
        <v>69</v>
      </c>
    </row>
    <row r="843" spans="1:6">
      <c r="A843" s="265">
        <v>0.09</v>
      </c>
      <c r="B843" s="261" t="s">
        <v>2283</v>
      </c>
      <c r="C843" s="261" t="s">
        <v>2551</v>
      </c>
      <c r="D843" s="261">
        <f>Elec.Data!I1070</f>
        <v>661</v>
      </c>
      <c r="E843" s="261" t="s">
        <v>2283</v>
      </c>
      <c r="F843" s="261">
        <f t="shared" si="8"/>
        <v>59.49</v>
      </c>
    </row>
    <row r="844" spans="1:6">
      <c r="A844" s="261">
        <v>1</v>
      </c>
      <c r="B844" s="261" t="s">
        <v>2632</v>
      </c>
      <c r="C844" s="261" t="s">
        <v>390</v>
      </c>
      <c r="D844" s="261">
        <f>Elec.Data!I1071</f>
        <v>302</v>
      </c>
      <c r="E844" s="261" t="s">
        <v>2632</v>
      </c>
      <c r="F844" s="261">
        <f t="shared" si="8"/>
        <v>302</v>
      </c>
    </row>
    <row r="845" spans="1:6">
      <c r="A845" s="261">
        <v>6</v>
      </c>
      <c r="B845" s="261" t="s">
        <v>1394</v>
      </c>
      <c r="C845" s="261" t="s">
        <v>4660</v>
      </c>
      <c r="D845" s="261">
        <f>Elec.Data!I1072</f>
        <v>16.5</v>
      </c>
      <c r="E845" s="261" t="s">
        <v>1398</v>
      </c>
      <c r="F845" s="261">
        <f t="shared" si="8"/>
        <v>99</v>
      </c>
    </row>
    <row r="846" spans="1:6" ht="31.5">
      <c r="A846" s="261">
        <v>30</v>
      </c>
      <c r="B846" s="261" t="s">
        <v>826</v>
      </c>
      <c r="C846" s="268" t="s">
        <v>2638</v>
      </c>
      <c r="D846" s="261">
        <f>Elec.Data!I1073</f>
        <v>16.55</v>
      </c>
      <c r="E846" s="261" t="s">
        <v>2539</v>
      </c>
      <c r="F846" s="261">
        <f t="shared" si="8"/>
        <v>496.5</v>
      </c>
    </row>
    <row r="847" spans="1:6">
      <c r="A847" s="261"/>
      <c r="B847" s="261"/>
      <c r="C847" s="261" t="s">
        <v>915</v>
      </c>
      <c r="D847" s="261"/>
      <c r="E847" s="261"/>
      <c r="F847" s="261">
        <f>Elec.Data!K1074</f>
        <v>7635</v>
      </c>
    </row>
    <row r="848" spans="1:6">
      <c r="A848" s="261"/>
      <c r="B848" s="261"/>
      <c r="C848" s="261" t="s">
        <v>2271</v>
      </c>
      <c r="D848" s="261"/>
      <c r="E848" s="261"/>
      <c r="F848" s="261">
        <v>12.8</v>
      </c>
    </row>
    <row r="849" spans="1:6">
      <c r="A849" s="261"/>
      <c r="B849" s="261"/>
      <c r="C849" s="269" t="s">
        <v>2552</v>
      </c>
      <c r="D849" s="261"/>
      <c r="E849" s="261"/>
      <c r="F849" s="270">
        <f>SUM(F836:F848)</f>
        <v>11030.49</v>
      </c>
    </row>
    <row r="850" spans="1:6">
      <c r="A850" s="261"/>
      <c r="B850" s="261"/>
      <c r="C850" s="271" t="s">
        <v>3147</v>
      </c>
      <c r="D850" s="261"/>
      <c r="E850" s="261"/>
      <c r="F850" s="272">
        <f>F849/5</f>
        <v>2206.1</v>
      </c>
    </row>
  </sheetData>
  <mergeCells count="2">
    <mergeCell ref="C561:D561"/>
    <mergeCell ref="C764:E764"/>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6062</v>
      </c>
      <c r="D5" s="122"/>
      <c r="E5" s="122"/>
      <c r="F5" s="122"/>
    </row>
    <row r="6" spans="1:6">
      <c r="A6" s="133"/>
      <c r="B6" s="134"/>
      <c r="C6" s="135" t="s">
        <v>6063</v>
      </c>
      <c r="D6" s="136"/>
      <c r="E6" s="137"/>
      <c r="F6" s="138"/>
    </row>
    <row r="7" spans="1:6">
      <c r="A7" s="133"/>
      <c r="B7" s="134"/>
      <c r="C7" s="139" t="s">
        <v>6064</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6065</v>
      </c>
      <c r="D44" s="136">
        <v>114</v>
      </c>
      <c r="E44" s="137" t="s">
        <v>826</v>
      </c>
      <c r="F44" s="133">
        <f t="shared" si="0"/>
        <v>417.24</v>
      </c>
    </row>
    <row r="45" spans="1:6">
      <c r="A45" s="133">
        <v>15.4</v>
      </c>
      <c r="B45" s="139" t="s">
        <v>913</v>
      </c>
      <c r="C45" s="139" t="s">
        <v>6066</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6067</v>
      </c>
      <c r="D48" s="123">
        <v>188.4</v>
      </c>
      <c r="E48" s="126" t="s">
        <v>1398</v>
      </c>
      <c r="F48" s="133">
        <f t="shared" si="0"/>
        <v>565.20000000000005</v>
      </c>
    </row>
    <row r="49" spans="1:6">
      <c r="A49" s="123">
        <v>1</v>
      </c>
      <c r="B49" s="124" t="s">
        <v>560</v>
      </c>
      <c r="C49" s="128" t="s">
        <v>6068</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6069</v>
      </c>
      <c r="D52" s="250">
        <v>575</v>
      </c>
      <c r="E52" s="126" t="s">
        <v>1398</v>
      </c>
      <c r="F52" s="133">
        <f t="shared" si="0"/>
        <v>575</v>
      </c>
    </row>
    <row r="53" spans="1:6">
      <c r="A53" s="123">
        <v>1</v>
      </c>
      <c r="B53" s="124" t="s">
        <v>560</v>
      </c>
      <c r="C53" s="128" t="s">
        <v>6070</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6071</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16</vt:i4>
      </vt:variant>
    </vt:vector>
  </HeadingPairs>
  <TitlesOfParts>
    <vt:vector size="29"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2023-09-23T00:46:55Z</cp:lastPrinted>
  <dcterms:created xsi:type="dcterms:W3CDTF">2003-09-02T05:17:23Z</dcterms:created>
  <dcterms:modified xsi:type="dcterms:W3CDTF">2023-09-23T00:46:59Z</dcterms:modified>
</cp:coreProperties>
</file>